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sharifi\Desktop\بازنگری\04\"/>
    </mc:Choice>
  </mc:AlternateContent>
  <xr:revisionPtr revIDLastSave="0" documentId="13_ncr:1_{53291464-73BD-4A47-B4D8-27DA40706BB9}" xr6:coauthVersionLast="47" xr6:coauthVersionMax="47" xr10:uidLastSave="{00000000-0000-0000-0000-000000000000}"/>
  <bookViews>
    <workbookView xWindow="-120" yWindow="-120" windowWidth="24240" windowHeight="13140" tabRatio="883" activeTab="2" xr2:uid="{00000000-000D-0000-FFFF-FFFF00000000}"/>
  </bookViews>
  <sheets>
    <sheet name="نمای کل" sheetId="67" r:id="rId1"/>
    <sheet name="مقدار فروش " sheetId="72" r:id="rId2"/>
    <sheet name=" تولید " sheetId="73" r:id="rId3"/>
    <sheet name="ضایعات" sheetId="70" r:id="rId4"/>
    <sheet name="تولید" sheetId="69" state="hidden" r:id="rId5"/>
    <sheet name="نرخ وکیوم و حمل" sheetId="71" r:id="rId6"/>
    <sheet name="فروش سه ماهه آخر 94" sheetId="60" state="hidden" r:id="rId7"/>
    <sheet name="تولید سه ماهه آخر 94" sheetId="61" state="hidden" r:id="rId8"/>
    <sheet name="بهای تمام شده 95" sheetId="62" state="hidden" r:id="rId9"/>
    <sheet name="مظروف سازی 95" sheetId="64" state="hidden" r:id="rId10"/>
    <sheet name="اسناد تعدیلات تلفیق" sheetId="65" state="hidden" r:id="rId11"/>
  </sheets>
  <externalReferences>
    <externalReference r:id="rId12"/>
  </externalReferences>
  <definedNames>
    <definedName name="_Key1" localSheetId="8" hidden="1">#REF!</definedName>
    <definedName name="_Key1" localSheetId="7" hidden="1">#REF!</definedName>
    <definedName name="_Key1" localSheetId="6" hidden="1">#REF!</definedName>
    <definedName name="_Key1" localSheetId="9" hidden="1">#REF!</definedName>
    <definedName name="_Key1" hidden="1">#REF!</definedName>
    <definedName name="_Key2" localSheetId="8" hidden="1">#REF!</definedName>
    <definedName name="_Key2" localSheetId="7" hidden="1">#REF!</definedName>
    <definedName name="_Key2" localSheetId="6" hidden="1">#REF!</definedName>
    <definedName name="_Key2" localSheetId="9" hidden="1">#REF!</definedName>
    <definedName name="_Key2" hidden="1">#REF!</definedName>
    <definedName name="_Order1" hidden="1">255</definedName>
    <definedName name="_Order2" hidden="1">255</definedName>
    <definedName name="_Parse_In" localSheetId="8" hidden="1">[1]CIV!#REF!</definedName>
    <definedName name="_Parse_In" localSheetId="7" hidden="1">[1]CIV!#REF!</definedName>
    <definedName name="_Parse_In" localSheetId="6" hidden="1">[1]CIV!#REF!</definedName>
    <definedName name="_Parse_In" localSheetId="9" hidden="1">[1]CIV!#REF!</definedName>
    <definedName name="_Parse_In" hidden="1">[1]CIV!#REF!</definedName>
    <definedName name="_Parse_Out" localSheetId="8" hidden="1">#REF!</definedName>
    <definedName name="_Parse_Out" localSheetId="7" hidden="1">#REF!</definedName>
    <definedName name="_Parse_Out" localSheetId="6" hidden="1">#REF!</definedName>
    <definedName name="_Parse_Out" localSheetId="9" hidden="1">#REF!</definedName>
    <definedName name="_Parse_Out" hidden="1">#REF!</definedName>
    <definedName name="_Sort" localSheetId="8" hidden="1">#REF!</definedName>
    <definedName name="_Sort" localSheetId="7" hidden="1">#REF!</definedName>
    <definedName name="_Sort" localSheetId="6" hidden="1">#REF!</definedName>
    <definedName name="_Sort" localSheetId="9" hidden="1">#REF!</definedName>
    <definedName name="_Sort" hidden="1">#REF!</definedName>
    <definedName name="fdfdfd" localSheetId="8" hidden="1">#REF!</definedName>
    <definedName name="fdfdfd" localSheetId="9" hidden="1">#REF!</definedName>
    <definedName name="fdfdfd" hidden="1">#REF!</definedName>
    <definedName name="feeffe" localSheetId="9" hidden="1">#REF!</definedName>
    <definedName name="feeffe" hidden="1">#REF!</definedName>
    <definedName name="_xlnm.Print_Area" localSheetId="2">' تولید '!$A$1:$O$66</definedName>
    <definedName name="_xlnm.Print_Area" localSheetId="10">'اسناد تعدیلات تلفیق'!$F$1:$I$6</definedName>
    <definedName name="_xlnm.Print_Area" localSheetId="4">تولید!$A$2:$O$58</definedName>
    <definedName name="_xlnm.Print_Area" localSheetId="7">'تولید سه ماهه آخر 94'!$A$1:$Z$29</definedName>
    <definedName name="_xlnm.Print_Area" localSheetId="3">ضایعات!$A$1:$D$13</definedName>
    <definedName name="_xlnm.Print_Area" localSheetId="6">'فروش سه ماهه آخر 94'!$A$1:$T$29</definedName>
    <definedName name="_xlnm.Print_Area" localSheetId="1">'مقدار فروش '!$A$1:$N$39</definedName>
    <definedName name="_xlnm.Print_Area" localSheetId="5">'نرخ وکیوم و حمل'!$A$1:$B$26</definedName>
    <definedName name="_xlnm.Print_Area" localSheetId="0">'نمای کل'!$A$1:$L$27</definedName>
    <definedName name="t" localSheetId="8" hidden="1">#REF!</definedName>
    <definedName name="t" localSheetId="9" hidden="1">#REF!</definedName>
    <definedName name="t" hidden="1">#REF!</definedName>
  </definedNames>
  <calcPr calcId="191029"/>
  <customWorkbookViews>
    <customWorkbookView name="محمدحسين نجارزاده - Personal View" guid="{303D0139-012A-4EF0-9E3F-30D9AECFDE8B}" mergeInterval="0" personalView="1" maximized="1" windowWidth="1362" windowHeight="543" tabRatio="677" activeSheetId="2"/>
  </customWorkbookViews>
</workbook>
</file>

<file path=xl/calcChain.xml><?xml version="1.0" encoding="utf-8"?>
<calcChain xmlns="http://schemas.openxmlformats.org/spreadsheetml/2006/main">
  <c r="N32" i="72" l="1"/>
  <c r="C6" i="73"/>
  <c r="C11" i="73" l="1"/>
  <c r="J9" i="73"/>
  <c r="J8" i="73"/>
  <c r="J7" i="73"/>
  <c r="J6" i="73"/>
  <c r="I6" i="73"/>
  <c r="D6" i="73"/>
  <c r="C10" i="73"/>
  <c r="K32" i="72"/>
  <c r="M32" i="72"/>
  <c r="L32" i="72"/>
  <c r="J32" i="72"/>
  <c r="I32" i="72"/>
  <c r="B29" i="72" l="1"/>
  <c r="N22" i="73"/>
  <c r="M22" i="73"/>
  <c r="L22" i="73"/>
  <c r="K22" i="73"/>
  <c r="J22" i="73"/>
  <c r="I22" i="73"/>
  <c r="H22" i="73"/>
  <c r="G22" i="73"/>
  <c r="F22" i="73"/>
  <c r="N13" i="72"/>
  <c r="M13" i="72"/>
  <c r="L13" i="72"/>
  <c r="K13" i="72"/>
  <c r="Q24" i="72"/>
  <c r="B8" i="72"/>
  <c r="J7" i="72"/>
  <c r="N7" i="72"/>
  <c r="R4" i="72" s="1"/>
  <c r="I20" i="72"/>
  <c r="I21" i="72"/>
  <c r="I7" i="72"/>
  <c r="I13" i="72"/>
  <c r="I15" i="72"/>
  <c r="I14" i="72"/>
  <c r="J20" i="72"/>
  <c r="N20" i="72"/>
  <c r="M20" i="72"/>
  <c r="L20" i="72"/>
  <c r="K20" i="72"/>
  <c r="Q28" i="72" l="1"/>
  <c r="Q27" i="72"/>
  <c r="S5" i="72"/>
  <c r="R11" i="72"/>
  <c r="M7" i="72"/>
  <c r="K7" i="72"/>
  <c r="L7" i="72"/>
  <c r="H7" i="72"/>
  <c r="P4" i="72"/>
  <c r="R10" i="72"/>
  <c r="P6" i="72"/>
  <c r="J14" i="72"/>
  <c r="K14" i="72"/>
  <c r="L14" i="72"/>
  <c r="M14" i="72"/>
  <c r="N14" i="72"/>
  <c r="Q21" i="72"/>
  <c r="Q20" i="72"/>
  <c r="Q13" i="72"/>
  <c r="P21" i="72"/>
  <c r="P20" i="72"/>
  <c r="P29" i="72"/>
  <c r="B9" i="72"/>
  <c r="Q3" i="72" l="1"/>
  <c r="P25" i="72"/>
  <c r="Q5" i="72"/>
  <c r="R14" i="72"/>
  <c r="Q15" i="72"/>
  <c r="R15" i="72" s="1"/>
  <c r="B14" i="72"/>
  <c r="P17" i="72" s="1"/>
  <c r="Q17" i="72" s="1"/>
  <c r="Q10" i="72"/>
  <c r="Q11" i="72" s="1"/>
  <c r="B6" i="72"/>
  <c r="B5" i="72"/>
  <c r="B4" i="72"/>
  <c r="Q9" i="72"/>
  <c r="Q8" i="72"/>
  <c r="Q7" i="72"/>
  <c r="P11" i="72" l="1"/>
  <c r="H6" i="73" l="1"/>
  <c r="G6" i="73"/>
  <c r="H36" i="73" l="1"/>
  <c r="H37" i="73"/>
  <c r="N9" i="73" l="1"/>
  <c r="B24" i="72" l="1"/>
  <c r="B20" i="72"/>
  <c r="B21" i="72" s="1"/>
  <c r="B13" i="72"/>
  <c r="B15" i="72" l="1"/>
  <c r="N15" i="72"/>
  <c r="O22" i="73"/>
  <c r="C36" i="73"/>
  <c r="C32" i="73"/>
  <c r="C38" i="73" l="1"/>
  <c r="C40" i="73" s="1"/>
  <c r="C37" i="73"/>
  <c r="I13" i="67" l="1"/>
  <c r="L6" i="73"/>
  <c r="M6" i="73"/>
  <c r="N6" i="73"/>
  <c r="O6" i="73" s="1"/>
  <c r="D32" i="73"/>
  <c r="R17" i="72" l="1"/>
  <c r="B32" i="72" l="1"/>
  <c r="I10" i="67" s="1"/>
  <c r="C15" i="72"/>
  <c r="G7" i="72" l="1"/>
  <c r="F7" i="72"/>
  <c r="E7" i="72"/>
  <c r="D7" i="72"/>
  <c r="C7" i="72"/>
  <c r="C17" i="72" s="1"/>
  <c r="B7" i="72" l="1"/>
  <c r="P12" i="72"/>
  <c r="P13" i="72" s="1"/>
  <c r="P14" i="72" s="1"/>
  <c r="P15" i="72" s="1"/>
  <c r="E32" i="73"/>
  <c r="P7" i="72" l="1"/>
  <c r="P9" i="72"/>
  <c r="P8" i="72"/>
  <c r="C60" i="73"/>
  <c r="C18" i="73" l="1"/>
  <c r="C48" i="73"/>
  <c r="C12" i="73"/>
  <c r="C15" i="73"/>
  <c r="C13" i="73"/>
  <c r="C14" i="73"/>
  <c r="C50" i="73"/>
  <c r="L25" i="72" l="1"/>
  <c r="D15" i="72"/>
  <c r="D21" i="72"/>
  <c r="C21" i="72"/>
  <c r="C29" i="72" l="1"/>
  <c r="C27" i="72"/>
  <c r="B17" i="72"/>
  <c r="D13" i="67"/>
  <c r="G5" i="67"/>
  <c r="F43" i="73" l="1"/>
  <c r="F44" i="73" s="1"/>
  <c r="F45" i="73"/>
  <c r="F32" i="73" s="1"/>
  <c r="C31" i="73" l="1"/>
  <c r="D31" i="73"/>
  <c r="E31" i="73"/>
  <c r="F31" i="73"/>
  <c r="G31" i="73"/>
  <c r="H31" i="73"/>
  <c r="I31" i="73"/>
  <c r="J31" i="73"/>
  <c r="K31" i="73"/>
  <c r="L31" i="73"/>
  <c r="M31" i="73"/>
  <c r="N31" i="73"/>
  <c r="F25" i="72" l="1"/>
  <c r="I25" i="72"/>
  <c r="D36" i="73" l="1"/>
  <c r="E36" i="73"/>
  <c r="F36" i="73"/>
  <c r="G36" i="73"/>
  <c r="I36" i="73"/>
  <c r="J36" i="73"/>
  <c r="K36" i="73"/>
  <c r="L36" i="73"/>
  <c r="M36" i="73"/>
  <c r="N36" i="73"/>
  <c r="C28" i="73"/>
  <c r="D9" i="73"/>
  <c r="E9" i="73"/>
  <c r="E6" i="73" s="1"/>
  <c r="F9" i="73"/>
  <c r="F6" i="73" s="1"/>
  <c r="I9" i="73"/>
  <c r="K9" i="73"/>
  <c r="L9" i="73"/>
  <c r="M9" i="73"/>
  <c r="D13" i="73"/>
  <c r="I8" i="73"/>
  <c r="K8" i="73"/>
  <c r="L8" i="73"/>
  <c r="M8" i="73"/>
  <c r="N8" i="73"/>
  <c r="E10" i="73"/>
  <c r="E15" i="72"/>
  <c r="E17" i="72" s="1"/>
  <c r="F15" i="72"/>
  <c r="G15" i="72"/>
  <c r="H15" i="72"/>
  <c r="J15" i="72"/>
  <c r="K15" i="72"/>
  <c r="L15" i="72"/>
  <c r="M15" i="72"/>
  <c r="I27" i="72" l="1"/>
  <c r="I17" i="72"/>
  <c r="D17" i="72"/>
  <c r="C17" i="73"/>
  <c r="C16" i="73"/>
  <c r="H5" i="67"/>
  <c r="E11" i="73"/>
  <c r="H10" i="73"/>
  <c r="K6" i="73"/>
  <c r="D11" i="73" l="1"/>
  <c r="D12" i="73" s="1"/>
  <c r="D43" i="73"/>
  <c r="D45" i="73" s="1"/>
  <c r="E43" i="73"/>
  <c r="G43" i="73"/>
  <c r="H43" i="73"/>
  <c r="H45" i="73" s="1"/>
  <c r="H32" i="73" s="1"/>
  <c r="I43" i="73"/>
  <c r="I45" i="73" s="1"/>
  <c r="I32" i="73" s="1"/>
  <c r="J43" i="73"/>
  <c r="J45" i="73" s="1"/>
  <c r="J32" i="73" s="1"/>
  <c r="K43" i="73"/>
  <c r="L43" i="73"/>
  <c r="L45" i="73" s="1"/>
  <c r="L32" i="73" s="1"/>
  <c r="M43" i="73"/>
  <c r="M45" i="73" s="1"/>
  <c r="M32" i="73" s="1"/>
  <c r="N43" i="73"/>
  <c r="N45" i="73" s="1"/>
  <c r="N32" i="73" s="1"/>
  <c r="C43" i="73"/>
  <c r="C45" i="73" s="1"/>
  <c r="N47" i="73"/>
  <c r="M47" i="73"/>
  <c r="L47" i="73"/>
  <c r="K47" i="73"/>
  <c r="J47" i="73"/>
  <c r="I47" i="73"/>
  <c r="H47" i="73"/>
  <c r="G47" i="73"/>
  <c r="F47" i="73"/>
  <c r="E47" i="73"/>
  <c r="D47" i="73"/>
  <c r="C47" i="73"/>
  <c r="O47" i="73" s="1"/>
  <c r="O46" i="73"/>
  <c r="N44" i="73"/>
  <c r="M44" i="73"/>
  <c r="L44" i="73"/>
  <c r="J44" i="73"/>
  <c r="I44" i="73"/>
  <c r="H44" i="73"/>
  <c r="G44" i="73"/>
  <c r="D44" i="73"/>
  <c r="C44" i="73"/>
  <c r="N25" i="72"/>
  <c r="M25" i="72"/>
  <c r="K25" i="72"/>
  <c r="J25" i="72"/>
  <c r="H25" i="72"/>
  <c r="G25" i="72"/>
  <c r="E25" i="72"/>
  <c r="D25" i="72"/>
  <c r="C25" i="72"/>
  <c r="B25" i="72" l="1"/>
  <c r="K45" i="73"/>
  <c r="K32" i="73" s="1"/>
  <c r="O32" i="73" s="1"/>
  <c r="K44" i="73"/>
  <c r="E45" i="73"/>
  <c r="E44" i="73"/>
  <c r="O44" i="73" s="1"/>
  <c r="G45" i="73"/>
  <c r="G32" i="73" s="1"/>
  <c r="O43" i="73"/>
  <c r="I5" i="67"/>
  <c r="O45" i="73"/>
  <c r="D38" i="73"/>
  <c r="D51" i="73" s="1"/>
  <c r="E38" i="73"/>
  <c r="E51" i="73" s="1"/>
  <c r="F38" i="73"/>
  <c r="F51" i="73" s="1"/>
  <c r="G38" i="73"/>
  <c r="G51" i="73" s="1"/>
  <c r="H38" i="73"/>
  <c r="H51" i="73" s="1"/>
  <c r="I38" i="73"/>
  <c r="I51" i="73" s="1"/>
  <c r="J38" i="73"/>
  <c r="J51" i="73" s="1"/>
  <c r="K38" i="73"/>
  <c r="K51" i="73" s="1"/>
  <c r="L38" i="73"/>
  <c r="L51" i="73" s="1"/>
  <c r="M38" i="73"/>
  <c r="M51" i="73" s="1"/>
  <c r="N38" i="73"/>
  <c r="N51" i="73" s="1"/>
  <c r="C51" i="73"/>
  <c r="O51" i="73" s="1"/>
  <c r="I14" i="67" l="1"/>
  <c r="B27" i="72"/>
  <c r="G7" i="67"/>
  <c r="D37" i="73"/>
  <c r="E37" i="73"/>
  <c r="F37" i="73"/>
  <c r="G37" i="73"/>
  <c r="I37" i="73"/>
  <c r="J37" i="73"/>
  <c r="K37" i="73"/>
  <c r="L37" i="73"/>
  <c r="M37" i="73"/>
  <c r="N37" i="73"/>
  <c r="D60" i="73" l="1"/>
  <c r="E60" i="73"/>
  <c r="F60" i="73"/>
  <c r="G60" i="73"/>
  <c r="H60" i="73"/>
  <c r="I60" i="73"/>
  <c r="J60" i="73"/>
  <c r="K60" i="73"/>
  <c r="L60" i="73"/>
  <c r="M60" i="73"/>
  <c r="N60" i="73"/>
  <c r="D29" i="72" l="1"/>
  <c r="E21" i="72"/>
  <c r="E29" i="72" s="1"/>
  <c r="F21" i="72"/>
  <c r="F27" i="72" s="1"/>
  <c r="G21" i="72"/>
  <c r="H21" i="72"/>
  <c r="J21" i="72"/>
  <c r="K21" i="72"/>
  <c r="L21" i="72"/>
  <c r="M21" i="72"/>
  <c r="N21" i="72"/>
  <c r="J27" i="72" l="1"/>
  <c r="I29" i="72"/>
  <c r="H27" i="72"/>
  <c r="G27" i="72"/>
  <c r="E27" i="72"/>
  <c r="D27" i="72"/>
  <c r="K27" i="72"/>
  <c r="L27" i="72"/>
  <c r="M27" i="72"/>
  <c r="N27" i="72"/>
  <c r="G6" i="67" l="1"/>
  <c r="E13" i="73"/>
  <c r="F13" i="73"/>
  <c r="G13" i="73"/>
  <c r="H13" i="73"/>
  <c r="I13" i="73"/>
  <c r="J13" i="73"/>
  <c r="K13" i="73"/>
  <c r="L13" i="73"/>
  <c r="M13" i="73"/>
  <c r="N13" i="73"/>
  <c r="I6" i="67" l="1"/>
  <c r="G8" i="67"/>
  <c r="D14" i="67"/>
  <c r="D15" i="67" s="1"/>
  <c r="E13" i="67" s="1"/>
  <c r="I7" i="73"/>
  <c r="I10" i="73" s="1"/>
  <c r="K7" i="73"/>
  <c r="L7" i="73"/>
  <c r="M7" i="73"/>
  <c r="N7" i="73"/>
  <c r="N10" i="73" s="1"/>
  <c r="O10" i="73" s="1"/>
  <c r="L16" i="67"/>
  <c r="G11" i="73" l="1"/>
  <c r="G10" i="73"/>
  <c r="F11" i="73"/>
  <c r="F10" i="73"/>
  <c r="N11" i="73"/>
  <c r="N50" i="73" s="1"/>
  <c r="N12" i="73"/>
  <c r="M11" i="73"/>
  <c r="L11" i="73"/>
  <c r="K11" i="73"/>
  <c r="J11" i="73"/>
  <c r="I11" i="73"/>
  <c r="I50" i="73" s="1"/>
  <c r="H11" i="73"/>
  <c r="D50" i="73"/>
  <c r="E14" i="67"/>
  <c r="E15" i="67"/>
  <c r="H8" i="67"/>
  <c r="I15" i="67"/>
  <c r="I7" i="67"/>
  <c r="I8" i="67"/>
  <c r="E12" i="73" l="1"/>
  <c r="E50" i="73"/>
  <c r="F12" i="73"/>
  <c r="F50" i="73"/>
  <c r="G12" i="73"/>
  <c r="G50" i="73"/>
  <c r="H12" i="73"/>
  <c r="H50" i="73"/>
  <c r="I12" i="73"/>
  <c r="J12" i="73"/>
  <c r="J50" i="73"/>
  <c r="K12" i="73"/>
  <c r="K50" i="73"/>
  <c r="L12" i="73"/>
  <c r="L50" i="73"/>
  <c r="M12" i="73"/>
  <c r="M50" i="73"/>
  <c r="O37" i="73"/>
  <c r="O50" i="73" l="1"/>
  <c r="D5" i="70"/>
  <c r="O9" i="73"/>
  <c r="N17" i="72" l="1"/>
  <c r="N29" i="72" s="1"/>
  <c r="M17" i="72"/>
  <c r="M29" i="72" s="1"/>
  <c r="L17" i="72"/>
  <c r="L29" i="72" s="1"/>
  <c r="K17" i="72"/>
  <c r="K29" i="72" s="1"/>
  <c r="J17" i="72"/>
  <c r="J29" i="72" s="1"/>
  <c r="H17" i="72"/>
  <c r="H29" i="72" s="1"/>
  <c r="G17" i="72"/>
  <c r="G29" i="72" s="1"/>
  <c r="F17" i="72"/>
  <c r="F29" i="72" s="1"/>
  <c r="P28" i="72" l="1"/>
  <c r="AF7" i="73"/>
  <c r="AE7" i="73"/>
  <c r="AD7" i="73"/>
  <c r="AC7" i="73"/>
  <c r="AB7" i="73"/>
  <c r="AA7" i="73"/>
  <c r="Z7" i="73"/>
  <c r="Y7" i="73"/>
  <c r="X7" i="73"/>
  <c r="W7" i="73"/>
  <c r="V7" i="73"/>
  <c r="U7" i="73"/>
  <c r="D10" i="73"/>
  <c r="K10" i="73"/>
  <c r="O36" i="73"/>
  <c r="D34" i="73"/>
  <c r="E34" i="73"/>
  <c r="F34" i="73"/>
  <c r="G34" i="73"/>
  <c r="H34" i="73"/>
  <c r="I34" i="73"/>
  <c r="J34" i="73"/>
  <c r="K34" i="73"/>
  <c r="L34" i="73"/>
  <c r="M34" i="73"/>
  <c r="N34" i="73"/>
  <c r="C34" i="73"/>
  <c r="O33" i="73"/>
  <c r="D18" i="73"/>
  <c r="E18" i="73"/>
  <c r="E57" i="73" s="1"/>
  <c r="F18" i="73"/>
  <c r="F57" i="73" s="1"/>
  <c r="G18" i="73"/>
  <c r="G57" i="73" s="1"/>
  <c r="H18" i="73"/>
  <c r="H57" i="73" s="1"/>
  <c r="I18" i="73"/>
  <c r="I57" i="73" s="1"/>
  <c r="J18" i="73"/>
  <c r="K18" i="73"/>
  <c r="L18" i="73"/>
  <c r="M18" i="73"/>
  <c r="N18" i="73"/>
  <c r="C55" i="73"/>
  <c r="C54" i="73"/>
  <c r="C53" i="73"/>
  <c r="D52" i="73"/>
  <c r="G52" i="73"/>
  <c r="I52" i="73"/>
  <c r="E52" i="73"/>
  <c r="F52" i="73"/>
  <c r="H52" i="73"/>
  <c r="D14" i="73"/>
  <c r="E14" i="73"/>
  <c r="E53" i="73" s="1"/>
  <c r="F14" i="73"/>
  <c r="F53" i="73" s="1"/>
  <c r="G14" i="73"/>
  <c r="G53" i="73" s="1"/>
  <c r="H14" i="73"/>
  <c r="H53" i="73" s="1"/>
  <c r="I14" i="73"/>
  <c r="I53" i="73" s="1"/>
  <c r="D15" i="73"/>
  <c r="D54" i="73" s="1"/>
  <c r="E15" i="73"/>
  <c r="E54" i="73" s="1"/>
  <c r="F15" i="73"/>
  <c r="F54" i="73" s="1"/>
  <c r="G15" i="73"/>
  <c r="G54" i="73" s="1"/>
  <c r="H15" i="73"/>
  <c r="H54" i="73" s="1"/>
  <c r="I15" i="73"/>
  <c r="I54" i="73" s="1"/>
  <c r="D17" i="73"/>
  <c r="D55" i="73" s="1"/>
  <c r="E17" i="73"/>
  <c r="E55" i="73" s="1"/>
  <c r="F17" i="73"/>
  <c r="F55" i="73" s="1"/>
  <c r="G17" i="73"/>
  <c r="G55" i="73" s="1"/>
  <c r="H17" i="73"/>
  <c r="H55" i="73" s="1"/>
  <c r="I17" i="73"/>
  <c r="I55" i="73" s="1"/>
  <c r="J10" i="73"/>
  <c r="L10" i="73"/>
  <c r="M10" i="73"/>
  <c r="D53" i="73" l="1"/>
  <c r="O18" i="73"/>
  <c r="C57" i="73"/>
  <c r="D57" i="73"/>
  <c r="J15" i="73" l="1"/>
  <c r="J14" i="73"/>
  <c r="O39" i="73" l="1"/>
  <c r="G40" i="73"/>
  <c r="O38" i="73" l="1"/>
  <c r="E28" i="73"/>
  <c r="E48" i="73" s="1"/>
  <c r="F28" i="73"/>
  <c r="F48" i="73" s="1"/>
  <c r="G28" i="73"/>
  <c r="G48" i="73" s="1"/>
  <c r="H28" i="73" l="1"/>
  <c r="H48" i="73" s="1"/>
  <c r="E40" i="73" l="1"/>
  <c r="D40" i="73"/>
  <c r="F40" i="73"/>
  <c r="H40" i="73"/>
  <c r="I40" i="73"/>
  <c r="J40" i="73"/>
  <c r="K40" i="73"/>
  <c r="L40" i="73"/>
  <c r="M40" i="73"/>
  <c r="N40" i="73"/>
  <c r="O40" i="73" l="1"/>
  <c r="C18" i="67"/>
  <c r="N28" i="73"/>
  <c r="N48" i="73" s="1"/>
  <c r="M28" i="73"/>
  <c r="M48" i="73" s="1"/>
  <c r="J28" i="73"/>
  <c r="J48" i="73" s="1"/>
  <c r="I28" i="73"/>
  <c r="I48" i="73" s="1"/>
  <c r="L28" i="73"/>
  <c r="L48" i="73" s="1"/>
  <c r="K28" i="73"/>
  <c r="K48" i="73" s="1"/>
  <c r="O34" i="73" l="1"/>
  <c r="D28" i="73"/>
  <c r="D48" i="73" s="1"/>
  <c r="O48" i="73" s="1"/>
  <c r="O30" i="73"/>
  <c r="O31" i="73" s="1"/>
  <c r="O60" i="73"/>
  <c r="O24" i="73"/>
  <c r="O25" i="73"/>
  <c r="O26" i="73"/>
  <c r="O27" i="73"/>
  <c r="O23" i="73"/>
  <c r="Y106" i="73"/>
  <c r="X105" i="73" s="1"/>
  <c r="U105" i="73"/>
  <c r="U104" i="73"/>
  <c r="U103" i="73"/>
  <c r="Z100" i="73"/>
  <c r="U100" i="73"/>
  <c r="Z99" i="73"/>
  <c r="S99" i="73"/>
  <c r="U99" i="73" s="1"/>
  <c r="Z98" i="73"/>
  <c r="U98" i="73"/>
  <c r="N57" i="73"/>
  <c r="M57" i="73"/>
  <c r="L57" i="73"/>
  <c r="K57" i="73"/>
  <c r="J57" i="73"/>
  <c r="N17" i="73"/>
  <c r="N55" i="73" s="1"/>
  <c r="M17" i="73"/>
  <c r="M55" i="73" s="1"/>
  <c r="L17" i="73"/>
  <c r="L55" i="73" s="1"/>
  <c r="K17" i="73"/>
  <c r="K55" i="73" s="1"/>
  <c r="J17" i="73"/>
  <c r="J55" i="73" s="1"/>
  <c r="O55" i="73" s="1"/>
  <c r="N15" i="73"/>
  <c r="N54" i="73" s="1"/>
  <c r="M15" i="73"/>
  <c r="M54" i="73" s="1"/>
  <c r="L15" i="73"/>
  <c r="L54" i="73" s="1"/>
  <c r="K15" i="73"/>
  <c r="K54" i="73" s="1"/>
  <c r="J54" i="73"/>
  <c r="O54" i="73" s="1"/>
  <c r="N14" i="73"/>
  <c r="N53" i="73" s="1"/>
  <c r="M14" i="73"/>
  <c r="M53" i="73" s="1"/>
  <c r="L14" i="73"/>
  <c r="L53" i="73" s="1"/>
  <c r="K14" i="73"/>
  <c r="K53" i="73" s="1"/>
  <c r="J53" i="73"/>
  <c r="O53" i="73" s="1"/>
  <c r="N52" i="73"/>
  <c r="M52" i="73"/>
  <c r="L52" i="73"/>
  <c r="K52" i="73"/>
  <c r="J52" i="73"/>
  <c r="O57" i="73" l="1"/>
  <c r="M16" i="73"/>
  <c r="M56" i="73" s="1"/>
  <c r="G16" i="73"/>
  <c r="G56" i="73" s="1"/>
  <c r="F16" i="73"/>
  <c r="F56" i="73" s="1"/>
  <c r="I16" i="73"/>
  <c r="I56" i="73" s="1"/>
  <c r="I58" i="73" s="1"/>
  <c r="D16" i="73"/>
  <c r="H16" i="73"/>
  <c r="E16" i="73"/>
  <c r="E56" i="73" s="1"/>
  <c r="H70" i="73"/>
  <c r="O28" i="73"/>
  <c r="O7" i="73"/>
  <c r="O15" i="73"/>
  <c r="O14" i="73"/>
  <c r="O17" i="73"/>
  <c r="J16" i="73"/>
  <c r="J56" i="73" s="1"/>
  <c r="N16" i="73"/>
  <c r="N56" i="73" s="1"/>
  <c r="X104" i="73"/>
  <c r="K16" i="73"/>
  <c r="K56" i="73" s="1"/>
  <c r="L16" i="73"/>
  <c r="L56" i="73" s="1"/>
  <c r="J58" i="73"/>
  <c r="K58" i="73"/>
  <c r="X103" i="73"/>
  <c r="I34" i="69"/>
  <c r="J34" i="69"/>
  <c r="N31" i="69"/>
  <c r="M31" i="69"/>
  <c r="L31" i="69"/>
  <c r="K31" i="69"/>
  <c r="J31" i="69"/>
  <c r="I31" i="69"/>
  <c r="N30" i="69"/>
  <c r="M30" i="69"/>
  <c r="L30" i="69"/>
  <c r="K30" i="69"/>
  <c r="J30" i="69"/>
  <c r="I30" i="69"/>
  <c r="N28" i="69"/>
  <c r="M28" i="69"/>
  <c r="L28" i="69"/>
  <c r="K28" i="69"/>
  <c r="J28" i="69"/>
  <c r="I28" i="69"/>
  <c r="N27" i="69"/>
  <c r="M27" i="69"/>
  <c r="L27" i="69"/>
  <c r="K27" i="69"/>
  <c r="J27" i="69"/>
  <c r="I27" i="69"/>
  <c r="AA113" i="69"/>
  <c r="Z112" i="69" s="1"/>
  <c r="W112" i="69"/>
  <c r="W111" i="69"/>
  <c r="W110" i="69"/>
  <c r="AB107" i="69"/>
  <c r="W107" i="69"/>
  <c r="AB106" i="69"/>
  <c r="U106" i="69"/>
  <c r="W106" i="69" s="1"/>
  <c r="AB105" i="69"/>
  <c r="W105" i="69"/>
  <c r="AA75" i="69"/>
  <c r="M29" i="69" s="1"/>
  <c r="D56" i="73" l="1"/>
  <c r="D58" i="73" s="1"/>
  <c r="D19" i="73"/>
  <c r="N58" i="73"/>
  <c r="E70" i="73"/>
  <c r="E58" i="73"/>
  <c r="F70" i="73"/>
  <c r="F58" i="73"/>
  <c r="D70" i="73"/>
  <c r="G70" i="73"/>
  <c r="G58" i="73"/>
  <c r="G19" i="73"/>
  <c r="E19" i="73"/>
  <c r="F19" i="73"/>
  <c r="C56" i="73"/>
  <c r="N29" i="69"/>
  <c r="H56" i="73"/>
  <c r="H58" i="73" s="1"/>
  <c r="H19" i="73"/>
  <c r="O30" i="69"/>
  <c r="K19" i="73"/>
  <c r="Z110" i="69"/>
  <c r="J29" i="69"/>
  <c r="N19" i="73"/>
  <c r="K70" i="73"/>
  <c r="J19" i="73"/>
  <c r="J70" i="73"/>
  <c r="N70" i="73"/>
  <c r="Z111" i="69"/>
  <c r="K29" i="69"/>
  <c r="L29" i="69"/>
  <c r="I29" i="69"/>
  <c r="O16" i="73"/>
  <c r="M58" i="73"/>
  <c r="M19" i="73"/>
  <c r="L58" i="73"/>
  <c r="L19" i="73"/>
  <c r="I70" i="73"/>
  <c r="I19" i="73"/>
  <c r="O56" i="73" l="1"/>
  <c r="L70" i="73"/>
  <c r="M70" i="73"/>
  <c r="O29" i="69" l="1"/>
  <c r="O28" i="69"/>
  <c r="O27" i="69"/>
  <c r="Z33" i="69"/>
  <c r="AA33" i="69"/>
  <c r="J6" i="69"/>
  <c r="J24" i="69" s="1"/>
  <c r="K6" i="69"/>
  <c r="K24" i="69" s="1"/>
  <c r="L6" i="69"/>
  <c r="L24" i="69" s="1"/>
  <c r="M6" i="69"/>
  <c r="N6" i="69"/>
  <c r="I6" i="69"/>
  <c r="J23" i="69"/>
  <c r="K23" i="69"/>
  <c r="C23" i="69"/>
  <c r="C44" i="69"/>
  <c r="H23" i="69"/>
  <c r="C39" i="69"/>
  <c r="L44" i="69"/>
  <c r="D50" i="69"/>
  <c r="E50" i="69"/>
  <c r="F50" i="69"/>
  <c r="G50" i="69"/>
  <c r="H50" i="69"/>
  <c r="I50" i="69"/>
  <c r="J50" i="69"/>
  <c r="K50" i="69"/>
  <c r="L50" i="69"/>
  <c r="M50" i="69"/>
  <c r="N50" i="69"/>
  <c r="C50" i="69"/>
  <c r="O42" i="69"/>
  <c r="H39" i="69"/>
  <c r="I44" i="69"/>
  <c r="J44" i="69"/>
  <c r="O50" i="69" l="1"/>
  <c r="H46" i="69"/>
  <c r="L23" i="69"/>
  <c r="L25" i="69"/>
  <c r="L26" i="69" s="1"/>
  <c r="L32" i="69"/>
  <c r="I23" i="69"/>
  <c r="I24" i="69"/>
  <c r="K25" i="69"/>
  <c r="K26" i="69" s="1"/>
  <c r="K32" i="69"/>
  <c r="M23" i="69"/>
  <c r="M24" i="69"/>
  <c r="M25" i="69" s="1"/>
  <c r="M26" i="69" s="1"/>
  <c r="N23" i="69"/>
  <c r="N24" i="69"/>
  <c r="N25" i="69" s="1"/>
  <c r="N26" i="69" s="1"/>
  <c r="J25" i="69"/>
  <c r="J26" i="69" s="1"/>
  <c r="J32" i="69"/>
  <c r="O31" i="69"/>
  <c r="O24" i="69" l="1"/>
  <c r="I25" i="69"/>
  <c r="I26" i="69" s="1"/>
  <c r="O26" i="69" s="1"/>
  <c r="I48" i="69"/>
  <c r="N32" i="69"/>
  <c r="D44" i="69"/>
  <c r="E44" i="69"/>
  <c r="F44" i="69"/>
  <c r="G44" i="69"/>
  <c r="H44" i="69"/>
  <c r="K44" i="69"/>
  <c r="M44" i="69"/>
  <c r="N44" i="69"/>
  <c r="M32" i="69"/>
  <c r="H25" i="69"/>
  <c r="H32" i="69" s="1"/>
  <c r="G25" i="69"/>
  <c r="G32" i="69" s="1"/>
  <c r="F25" i="69"/>
  <c r="F32" i="69" s="1"/>
  <c r="E25" i="69"/>
  <c r="E32" i="69" s="1"/>
  <c r="D25" i="69"/>
  <c r="D32" i="69" s="1"/>
  <c r="C25" i="69"/>
  <c r="C32" i="69" s="1"/>
  <c r="I32" i="69" l="1"/>
  <c r="O32" i="69" s="1"/>
  <c r="N48" i="69"/>
  <c r="O25" i="69" l="1"/>
  <c r="G23" i="69"/>
  <c r="F23" i="69"/>
  <c r="E23" i="69"/>
  <c r="D23" i="69"/>
  <c r="O23" i="69" l="1"/>
  <c r="D6" i="70"/>
  <c r="C46" i="69"/>
  <c r="C49" i="69"/>
  <c r="D39" i="69"/>
  <c r="D46" i="69" s="1"/>
  <c r="E39" i="69"/>
  <c r="F39" i="69"/>
  <c r="G39" i="69"/>
  <c r="J39" i="69"/>
  <c r="J46" i="69" s="1"/>
  <c r="I39" i="69"/>
  <c r="I46" i="69" s="1"/>
  <c r="C48" i="69"/>
  <c r="O35" i="69" l="1"/>
  <c r="O36" i="69"/>
  <c r="O37" i="69"/>
  <c r="O38" i="69"/>
  <c r="O34" i="69"/>
  <c r="K39" i="69"/>
  <c r="L39" i="69"/>
  <c r="M39" i="69"/>
  <c r="M46" i="69" s="1"/>
  <c r="N39" i="69"/>
  <c r="N46" i="69" s="1"/>
  <c r="O7" i="69"/>
  <c r="O8" i="69"/>
  <c r="O9" i="69"/>
  <c r="O10" i="69"/>
  <c r="O11" i="69"/>
  <c r="O12" i="69"/>
  <c r="O13" i="69"/>
  <c r="O14" i="69"/>
  <c r="O15" i="69"/>
  <c r="O16" i="69"/>
  <c r="O17" i="69"/>
  <c r="O18" i="69"/>
  <c r="O19" i="69"/>
  <c r="O20" i="69"/>
  <c r="O21" i="69"/>
  <c r="O22" i="69"/>
  <c r="O6" i="69"/>
  <c r="O43" i="69"/>
  <c r="O41" i="69"/>
  <c r="O40" i="69"/>
  <c r="O39" i="69" l="1"/>
  <c r="Q41" i="69"/>
  <c r="O44" i="69"/>
  <c r="D57" i="69"/>
  <c r="E57" i="69"/>
  <c r="F57" i="69"/>
  <c r="G57" i="69"/>
  <c r="H57" i="69"/>
  <c r="I57" i="69"/>
  <c r="J57" i="69"/>
  <c r="K57" i="69"/>
  <c r="L57" i="69"/>
  <c r="M57" i="69"/>
  <c r="N57" i="69"/>
  <c r="C57" i="69"/>
  <c r="E46" i="69"/>
  <c r="F46" i="69"/>
  <c r="G46" i="69"/>
  <c r="K46" i="69"/>
  <c r="L46" i="69"/>
  <c r="L55" i="69"/>
  <c r="D55" i="69"/>
  <c r="L54" i="69"/>
  <c r="D54" i="69"/>
  <c r="L53" i="69"/>
  <c r="D53" i="69"/>
  <c r="N51" i="69"/>
  <c r="M51" i="69"/>
  <c r="L51" i="69"/>
  <c r="K51" i="69"/>
  <c r="J51" i="69"/>
  <c r="I51" i="69"/>
  <c r="H51" i="69"/>
  <c r="G51" i="69"/>
  <c r="O51" i="69" s="1"/>
  <c r="F51" i="69"/>
  <c r="E51" i="69"/>
  <c r="D51" i="69"/>
  <c r="C51" i="69"/>
  <c r="N49" i="69"/>
  <c r="M49" i="69"/>
  <c r="L49" i="69"/>
  <c r="K49" i="69"/>
  <c r="J49" i="69"/>
  <c r="I49" i="69"/>
  <c r="H49" i="69"/>
  <c r="G49" i="69"/>
  <c r="F49" i="69"/>
  <c r="E49" i="69"/>
  <c r="D49" i="69"/>
  <c r="N55" i="69"/>
  <c r="M55" i="69"/>
  <c r="K55" i="69"/>
  <c r="J55" i="69"/>
  <c r="I55" i="69"/>
  <c r="H55" i="69"/>
  <c r="G55" i="69"/>
  <c r="F55" i="69"/>
  <c r="E55" i="69"/>
  <c r="C55" i="69"/>
  <c r="N56" i="69"/>
  <c r="M56" i="69"/>
  <c r="L56" i="69"/>
  <c r="K56" i="69"/>
  <c r="J56" i="69"/>
  <c r="I56" i="69"/>
  <c r="H56" i="69"/>
  <c r="G56" i="69"/>
  <c r="F56" i="69"/>
  <c r="E56" i="69"/>
  <c r="D56" i="69"/>
  <c r="C56" i="69"/>
  <c r="N54" i="69"/>
  <c r="M54" i="69"/>
  <c r="K54" i="69"/>
  <c r="J54" i="69"/>
  <c r="I54" i="69"/>
  <c r="H54" i="69"/>
  <c r="G54" i="69"/>
  <c r="F54" i="69"/>
  <c r="E54" i="69"/>
  <c r="C54" i="69"/>
  <c r="N53" i="69"/>
  <c r="M53" i="69"/>
  <c r="K53" i="69"/>
  <c r="J53" i="69"/>
  <c r="I53" i="69"/>
  <c r="H53" i="69"/>
  <c r="G53" i="69"/>
  <c r="F53" i="69"/>
  <c r="E53" i="69"/>
  <c r="C53" i="69"/>
  <c r="H48" i="69"/>
  <c r="O46" i="69" l="1"/>
  <c r="O49" i="69"/>
  <c r="O54" i="69"/>
  <c r="M48" i="69"/>
  <c r="M52" i="69"/>
  <c r="L48" i="69"/>
  <c r="L52" i="69"/>
  <c r="O55" i="69"/>
  <c r="E48" i="69"/>
  <c r="E52" i="69"/>
  <c r="K48" i="69"/>
  <c r="K52" i="69"/>
  <c r="H52" i="69"/>
  <c r="H58" i="69" s="1"/>
  <c r="O53" i="69"/>
  <c r="O57" i="69"/>
  <c r="O56" i="69"/>
  <c r="E58" i="69" l="1"/>
  <c r="M58" i="69"/>
  <c r="K58" i="69"/>
  <c r="L58" i="69"/>
  <c r="J48" i="69"/>
  <c r="J52" i="69"/>
  <c r="D52" i="69"/>
  <c r="D48" i="69"/>
  <c r="F52" i="69"/>
  <c r="F48" i="69"/>
  <c r="N52" i="69"/>
  <c r="N58" i="69" s="1"/>
  <c r="G52" i="69"/>
  <c r="G48" i="69"/>
  <c r="I52" i="69"/>
  <c r="I58" i="69" s="1"/>
  <c r="D58" i="69" l="1"/>
  <c r="F58" i="69"/>
  <c r="G58" i="69"/>
  <c r="J58" i="69"/>
  <c r="O48" i="69"/>
  <c r="C52" i="69"/>
  <c r="C58" i="69" s="1"/>
  <c r="O52" i="69" l="1"/>
  <c r="O58" i="69" s="1"/>
  <c r="D18" i="65" l="1"/>
  <c r="D15" i="65"/>
  <c r="C12" i="65"/>
  <c r="D13" i="65" s="1"/>
  <c r="C10" i="65"/>
  <c r="D11" i="65" s="1"/>
  <c r="C8" i="65"/>
  <c r="D9" i="65" s="1"/>
  <c r="C6" i="65"/>
  <c r="D7" i="65" s="1"/>
  <c r="D5" i="65"/>
  <c r="G4" i="65"/>
  <c r="F4" i="65"/>
  <c r="G2" i="65"/>
  <c r="G5" i="65" s="1"/>
  <c r="H5" i="65" s="1"/>
  <c r="F2" i="65"/>
  <c r="I41" i="64"/>
  <c r="G41" i="64"/>
  <c r="E41" i="64"/>
  <c r="C41" i="64"/>
  <c r="I40" i="64"/>
  <c r="G40" i="64"/>
  <c r="E40" i="64"/>
  <c r="C40" i="64"/>
  <c r="I39" i="64"/>
  <c r="G39" i="64"/>
  <c r="E39" i="64"/>
  <c r="C39" i="64"/>
  <c r="I38" i="64"/>
  <c r="G38" i="64"/>
  <c r="E38" i="64"/>
  <c r="I36" i="64"/>
  <c r="G36" i="64"/>
  <c r="E36" i="64"/>
  <c r="C36" i="64"/>
  <c r="I35" i="64"/>
  <c r="G35" i="64"/>
  <c r="E35" i="64"/>
  <c r="C35" i="64"/>
  <c r="I34" i="64"/>
  <c r="G34" i="64"/>
  <c r="E34" i="64"/>
  <c r="C34" i="64"/>
  <c r="I33" i="64"/>
  <c r="G33" i="64"/>
  <c r="E33" i="64"/>
  <c r="C33" i="64"/>
  <c r="Y23" i="64"/>
  <c r="C23" i="64"/>
  <c r="P23" i="64" s="1"/>
  <c r="Y22" i="64"/>
  <c r="C22" i="64"/>
  <c r="P22" i="64" s="1"/>
  <c r="C21" i="64"/>
  <c r="P21" i="64" s="1"/>
  <c r="Q21" i="64" s="1"/>
  <c r="Y20" i="64"/>
  <c r="C20" i="64"/>
  <c r="P20" i="64" s="1"/>
  <c r="Y19" i="64"/>
  <c r="C19" i="64"/>
  <c r="P19" i="64" s="1"/>
  <c r="C18" i="64"/>
  <c r="P18" i="64" s="1"/>
  <c r="U18" i="64" s="1"/>
  <c r="Y17" i="64"/>
  <c r="C17" i="64"/>
  <c r="P17" i="64" s="1"/>
  <c r="W17" i="64" s="1"/>
  <c r="Y16" i="64"/>
  <c r="C16" i="64"/>
  <c r="P16" i="64" s="1"/>
  <c r="X16" i="64" s="1"/>
  <c r="Y15" i="64"/>
  <c r="C15" i="64"/>
  <c r="P15" i="64" s="1"/>
  <c r="X15" i="64" s="1"/>
  <c r="C14" i="64"/>
  <c r="P14" i="64" s="1"/>
  <c r="U14" i="64" s="1"/>
  <c r="Y13" i="64"/>
  <c r="C13" i="64"/>
  <c r="P13" i="64" s="1"/>
  <c r="Y12" i="64"/>
  <c r="C12" i="64"/>
  <c r="P12" i="64" s="1"/>
  <c r="Y11" i="64"/>
  <c r="O11" i="64"/>
  <c r="N11" i="64"/>
  <c r="M11" i="64"/>
  <c r="L11" i="64"/>
  <c r="K11" i="64"/>
  <c r="J11" i="64"/>
  <c r="I11" i="64"/>
  <c r="H11" i="64"/>
  <c r="G11" i="64"/>
  <c r="F11" i="64"/>
  <c r="E11" i="64"/>
  <c r="D11" i="64"/>
  <c r="Y10" i="64"/>
  <c r="Z10" i="64" s="1"/>
  <c r="AA10" i="64" s="1"/>
  <c r="AB10" i="64" s="1"/>
  <c r="AC10" i="64" s="1"/>
  <c r="AD10" i="64" s="1"/>
  <c r="AE10" i="64" s="1"/>
  <c r="AF10" i="64" s="1"/>
  <c r="AG10" i="64" s="1"/>
  <c r="AH10" i="64" s="1"/>
  <c r="AI10" i="64" s="1"/>
  <c r="AJ10" i="64" s="1"/>
  <c r="AK10" i="64" s="1"/>
  <c r="AL10" i="64" s="1"/>
  <c r="X10" i="64"/>
  <c r="W10" i="64"/>
  <c r="Q10" i="64"/>
  <c r="Y9" i="64"/>
  <c r="Z9" i="64" s="1"/>
  <c r="AA9" i="64" s="1"/>
  <c r="AB9" i="64" s="1"/>
  <c r="AC9" i="64" s="1"/>
  <c r="AD9" i="64" s="1"/>
  <c r="AE9" i="64" s="1"/>
  <c r="AF9" i="64" s="1"/>
  <c r="AG9" i="64" s="1"/>
  <c r="AH9" i="64" s="1"/>
  <c r="AI9" i="64" s="1"/>
  <c r="AJ9" i="64" s="1"/>
  <c r="AK9" i="64" s="1"/>
  <c r="AL9" i="64" s="1"/>
  <c r="X9" i="64"/>
  <c r="W9" i="64"/>
  <c r="Q9" i="64"/>
  <c r="Y8" i="64"/>
  <c r="C8" i="64"/>
  <c r="P8" i="64" s="1"/>
  <c r="W8" i="64" s="1"/>
  <c r="Y7" i="64"/>
  <c r="C7" i="64"/>
  <c r="P7" i="64" s="1"/>
  <c r="Y6" i="64"/>
  <c r="E6" i="64"/>
  <c r="C6" i="64" s="1"/>
  <c r="P6" i="64" s="1"/>
  <c r="Z6" i="64" s="1"/>
  <c r="Y5" i="64"/>
  <c r="O5" i="64"/>
  <c r="N5" i="64"/>
  <c r="M5" i="64"/>
  <c r="L5" i="64"/>
  <c r="K5" i="64"/>
  <c r="J5" i="64"/>
  <c r="I5" i="64"/>
  <c r="H5" i="64"/>
  <c r="G5" i="64"/>
  <c r="F5" i="64"/>
  <c r="E5" i="64"/>
  <c r="D5" i="64"/>
  <c r="Y4" i="64"/>
  <c r="Z4" i="64" s="1"/>
  <c r="AK4" i="64" s="1"/>
  <c r="C4" i="64"/>
  <c r="P4" i="64" s="1"/>
  <c r="X4" i="64" s="1"/>
  <c r="Y3" i="64"/>
  <c r="C3" i="64"/>
  <c r="P3" i="64" s="1"/>
  <c r="I41" i="62"/>
  <c r="G41" i="62"/>
  <c r="E41" i="62"/>
  <c r="C41" i="62"/>
  <c r="I40" i="62"/>
  <c r="G40" i="62"/>
  <c r="E40" i="62"/>
  <c r="C40" i="62"/>
  <c r="I39" i="62"/>
  <c r="G39" i="62"/>
  <c r="E39" i="62"/>
  <c r="C39" i="62"/>
  <c r="I38" i="62"/>
  <c r="G38" i="62"/>
  <c r="E38" i="62"/>
  <c r="C38" i="62"/>
  <c r="I37" i="62"/>
  <c r="G37" i="62"/>
  <c r="E37" i="62"/>
  <c r="C37" i="62"/>
  <c r="I36" i="62"/>
  <c r="G36" i="62"/>
  <c r="E36" i="62"/>
  <c r="C36" i="62"/>
  <c r="I35" i="62"/>
  <c r="G35" i="62"/>
  <c r="E35" i="62"/>
  <c r="C35" i="62"/>
  <c r="I34" i="62"/>
  <c r="G34" i="62"/>
  <c r="E34" i="62"/>
  <c r="C34" i="62"/>
  <c r="I33" i="62"/>
  <c r="G33" i="62"/>
  <c r="E33" i="62"/>
  <c r="C33" i="62"/>
  <c r="I32" i="62"/>
  <c r="G32" i="62"/>
  <c r="E32" i="62"/>
  <c r="C32" i="62"/>
  <c r="V24" i="62"/>
  <c r="O24" i="62"/>
  <c r="N24" i="62"/>
  <c r="M24" i="62"/>
  <c r="L24" i="62"/>
  <c r="K24" i="62"/>
  <c r="J24" i="62"/>
  <c r="I24" i="62"/>
  <c r="H24" i="62"/>
  <c r="G24" i="62"/>
  <c r="F24" i="62"/>
  <c r="E24" i="62"/>
  <c r="D24" i="62"/>
  <c r="C23" i="62"/>
  <c r="U23" i="62" s="1"/>
  <c r="U22" i="62"/>
  <c r="C22" i="62"/>
  <c r="T22" i="62" s="1"/>
  <c r="C21" i="62"/>
  <c r="X21" i="62" s="1"/>
  <c r="C20" i="62"/>
  <c r="AA20" i="62" s="1"/>
  <c r="C19" i="62"/>
  <c r="U19" i="62" s="1"/>
  <c r="C18" i="62"/>
  <c r="Z18" i="62" s="1"/>
  <c r="C17" i="62"/>
  <c r="C16" i="62"/>
  <c r="U16" i="62" s="1"/>
  <c r="C15" i="62"/>
  <c r="AB15" i="62" s="1"/>
  <c r="C14" i="62"/>
  <c r="AA14" i="62" s="1"/>
  <c r="C13" i="62"/>
  <c r="W13" i="62" s="1"/>
  <c r="C12" i="62"/>
  <c r="T12" i="62" s="1"/>
  <c r="C11" i="62"/>
  <c r="AA11" i="62" s="1"/>
  <c r="Z9" i="62"/>
  <c r="Y9" i="62"/>
  <c r="X9" i="62"/>
  <c r="W9" i="62"/>
  <c r="T9" i="62"/>
  <c r="O9" i="62"/>
  <c r="O25" i="62" s="1"/>
  <c r="N9" i="62"/>
  <c r="N25" i="62" s="1"/>
  <c r="M9" i="62"/>
  <c r="L9" i="62"/>
  <c r="K9" i="62"/>
  <c r="J9" i="62"/>
  <c r="I9" i="62"/>
  <c r="H9" i="62"/>
  <c r="G9" i="62"/>
  <c r="F9" i="62"/>
  <c r="E9" i="62"/>
  <c r="D9" i="62"/>
  <c r="C8" i="62"/>
  <c r="AB8" i="62" s="1"/>
  <c r="C7" i="62"/>
  <c r="AA7" i="62" s="1"/>
  <c r="C6" i="62"/>
  <c r="AB6" i="62" s="1"/>
  <c r="C5" i="62"/>
  <c r="U5" i="62" s="1"/>
  <c r="C4" i="62"/>
  <c r="AB4" i="62" s="1"/>
  <c r="C3" i="62"/>
  <c r="U3" i="62" s="1"/>
  <c r="I45" i="61"/>
  <c r="I44" i="61"/>
  <c r="I43" i="61"/>
  <c r="I42" i="61"/>
  <c r="O28" i="61"/>
  <c r="N28" i="61"/>
  <c r="L28" i="61"/>
  <c r="K28" i="61"/>
  <c r="J28" i="61"/>
  <c r="I28" i="61"/>
  <c r="H28" i="61"/>
  <c r="G28" i="61"/>
  <c r="F28" i="61"/>
  <c r="E28" i="61"/>
  <c r="D28" i="61"/>
  <c r="Q27" i="61"/>
  <c r="S27" i="61" s="1"/>
  <c r="C27" i="61"/>
  <c r="Q26" i="61"/>
  <c r="C26" i="61"/>
  <c r="Q25" i="61"/>
  <c r="C25" i="61"/>
  <c r="Q24" i="61"/>
  <c r="C24" i="61"/>
  <c r="Q23" i="61"/>
  <c r="C23" i="61"/>
  <c r="Q22" i="61"/>
  <c r="C22" i="61"/>
  <c r="M21" i="61"/>
  <c r="I39" i="61" s="1"/>
  <c r="Q20" i="61"/>
  <c r="S20" i="61" s="1"/>
  <c r="C20" i="61"/>
  <c r="P19" i="61"/>
  <c r="M19" i="61"/>
  <c r="Q19" i="61" s="1"/>
  <c r="Q18" i="61"/>
  <c r="W18" i="61" s="1"/>
  <c r="C18" i="61"/>
  <c r="M17" i="61"/>
  <c r="Q16" i="61"/>
  <c r="R16" i="61" s="1"/>
  <c r="R29" i="61" s="1"/>
  <c r="C16" i="61"/>
  <c r="P15" i="61"/>
  <c r="M15" i="61"/>
  <c r="I36" i="61" s="1"/>
  <c r="S14" i="61"/>
  <c r="S13" i="61"/>
  <c r="O13" i="61"/>
  <c r="N13" i="61"/>
  <c r="L13" i="61"/>
  <c r="K13" i="61"/>
  <c r="J13" i="61"/>
  <c r="I13" i="61"/>
  <c r="H13" i="61"/>
  <c r="G13" i="61"/>
  <c r="F13" i="61"/>
  <c r="F29" i="61" s="1"/>
  <c r="E13" i="61"/>
  <c r="D13" i="61"/>
  <c r="Q12" i="61"/>
  <c r="C12" i="61"/>
  <c r="M11" i="61"/>
  <c r="Q11" i="61" s="1"/>
  <c r="S10" i="61"/>
  <c r="Q10" i="61"/>
  <c r="C10" i="61"/>
  <c r="M9" i="61"/>
  <c r="I41" i="61" s="1"/>
  <c r="Q8" i="61"/>
  <c r="S8" i="61" s="1"/>
  <c r="C8" i="61"/>
  <c r="Q7" i="61"/>
  <c r="S7" i="61" s="1"/>
  <c r="C7" i="61"/>
  <c r="A2" i="61"/>
  <c r="A1" i="61"/>
  <c r="S28" i="60"/>
  <c r="Q28" i="60"/>
  <c r="O28" i="60"/>
  <c r="N28" i="60"/>
  <c r="M28" i="60"/>
  <c r="L28" i="60"/>
  <c r="K28" i="60"/>
  <c r="J28" i="60"/>
  <c r="I28" i="60"/>
  <c r="H28" i="60"/>
  <c r="G28" i="60"/>
  <c r="F28" i="60"/>
  <c r="E28" i="60"/>
  <c r="D28" i="60"/>
  <c r="C28" i="60"/>
  <c r="S13" i="60"/>
  <c r="O13" i="60"/>
  <c r="O29" i="60" s="1"/>
  <c r="N13" i="60"/>
  <c r="N29" i="60" s="1"/>
  <c r="P20" i="60" s="1"/>
  <c r="R20" i="60" s="1"/>
  <c r="T20" i="60" s="1"/>
  <c r="M13" i="60"/>
  <c r="L13" i="60"/>
  <c r="K13" i="60"/>
  <c r="K29" i="60" s="1"/>
  <c r="J13" i="60"/>
  <c r="J29" i="60" s="1"/>
  <c r="I13" i="60"/>
  <c r="H13" i="60"/>
  <c r="G13" i="60"/>
  <c r="F13" i="60"/>
  <c r="F29" i="60" s="1"/>
  <c r="E13" i="60"/>
  <c r="D13" i="60"/>
  <c r="C13" i="60"/>
  <c r="C29" i="60" s="1"/>
  <c r="Q10" i="60"/>
  <c r="Q13" i="60" s="1"/>
  <c r="P10" i="60"/>
  <c r="I42" i="60" s="1"/>
  <c r="A2" i="60"/>
  <c r="A1" i="60"/>
  <c r="G29" i="60" l="1"/>
  <c r="E29" i="60"/>
  <c r="I29" i="60"/>
  <c r="M29" i="60"/>
  <c r="K25" i="62"/>
  <c r="X8" i="64"/>
  <c r="C11" i="61"/>
  <c r="F25" i="62"/>
  <c r="Q9" i="61"/>
  <c r="T9" i="61" s="1"/>
  <c r="T29" i="61" s="1"/>
  <c r="C21" i="61"/>
  <c r="AB12" i="62"/>
  <c r="X14" i="62"/>
  <c r="T16" i="62"/>
  <c r="T24" i="62" s="1"/>
  <c r="T25" i="62" s="1"/>
  <c r="G25" i="62"/>
  <c r="V21" i="64"/>
  <c r="N29" i="61"/>
  <c r="S18" i="61"/>
  <c r="G29" i="61"/>
  <c r="K29" i="61"/>
  <c r="I40" i="61"/>
  <c r="Y14" i="62"/>
  <c r="AA16" i="62"/>
  <c r="D29" i="60"/>
  <c r="H29" i="60"/>
  <c r="L29" i="60"/>
  <c r="C9" i="61"/>
  <c r="V18" i="61"/>
  <c r="H29" i="61"/>
  <c r="L29" i="61"/>
  <c r="AA13" i="62"/>
  <c r="AB16" i="62"/>
  <c r="Q8" i="64"/>
  <c r="X7" i="64"/>
  <c r="W7" i="64"/>
  <c r="Q7" i="64"/>
  <c r="X20" i="64"/>
  <c r="Q20" i="64"/>
  <c r="W20" i="64"/>
  <c r="W19" i="64"/>
  <c r="Q19" i="64"/>
  <c r="W12" i="64"/>
  <c r="Z12" i="64"/>
  <c r="AK12" i="64" s="1"/>
  <c r="P22" i="60"/>
  <c r="R22" i="60" s="1"/>
  <c r="T22" i="60" s="1"/>
  <c r="Q29" i="60"/>
  <c r="P17" i="60"/>
  <c r="R17" i="60" s="1"/>
  <c r="T17" i="60" s="1"/>
  <c r="S19" i="61"/>
  <c r="D29" i="61"/>
  <c r="X18" i="61"/>
  <c r="E29" i="61"/>
  <c r="I29" i="61"/>
  <c r="I38" i="61"/>
  <c r="AA3" i="62"/>
  <c r="AB5" i="62"/>
  <c r="U7" i="62"/>
  <c r="AA8" i="62"/>
  <c r="U13" i="62"/>
  <c r="Z14" i="62"/>
  <c r="AA15" i="62"/>
  <c r="W18" i="62"/>
  <c r="R18" i="62" s="1"/>
  <c r="AA19" i="62"/>
  <c r="J25" i="62"/>
  <c r="G37" i="64"/>
  <c r="S14" i="64"/>
  <c r="Q15" i="64"/>
  <c r="T18" i="64"/>
  <c r="Y18" i="64" s="1"/>
  <c r="Z18" i="64" s="1"/>
  <c r="AJ18" i="64" s="1"/>
  <c r="P15" i="60"/>
  <c r="AA18" i="62"/>
  <c r="Z7" i="64"/>
  <c r="AK7" i="64" s="1"/>
  <c r="W14" i="64"/>
  <c r="P24" i="60"/>
  <c r="R24" i="60" s="1"/>
  <c r="T24" i="60" s="1"/>
  <c r="U8" i="62"/>
  <c r="AB13" i="62"/>
  <c r="U15" i="62"/>
  <c r="U18" i="62"/>
  <c r="I25" i="62"/>
  <c r="Q14" i="64"/>
  <c r="S18" i="64"/>
  <c r="Z20" i="64"/>
  <c r="C38" i="64"/>
  <c r="P8" i="60"/>
  <c r="R8" i="60" s="1"/>
  <c r="T8" i="60" s="1"/>
  <c r="R10" i="60"/>
  <c r="T10" i="60" s="1"/>
  <c r="J42" i="60" s="1"/>
  <c r="P18" i="60"/>
  <c r="R18" i="60" s="1"/>
  <c r="T18" i="60" s="1"/>
  <c r="P26" i="60"/>
  <c r="R26" i="60" s="1"/>
  <c r="T26" i="60" s="1"/>
  <c r="P11" i="60"/>
  <c r="R11" i="60" s="1"/>
  <c r="T11" i="60" s="1"/>
  <c r="J40" i="60" s="1"/>
  <c r="S29" i="60"/>
  <c r="C15" i="61"/>
  <c r="C19" i="61"/>
  <c r="Q21" i="61"/>
  <c r="U21" i="61" s="1"/>
  <c r="J29" i="61"/>
  <c r="O29" i="61"/>
  <c r="AB7" i="62"/>
  <c r="R7" i="62" s="1"/>
  <c r="U12" i="62"/>
  <c r="Z13" i="62"/>
  <c r="U14" i="62"/>
  <c r="AB14" i="62"/>
  <c r="AA23" i="62"/>
  <c r="H2" i="65"/>
  <c r="R15" i="60"/>
  <c r="S11" i="61"/>
  <c r="S12" i="61"/>
  <c r="Q17" i="61"/>
  <c r="C17" i="61"/>
  <c r="W22" i="61"/>
  <c r="W29" i="61" s="1"/>
  <c r="S23" i="61"/>
  <c r="S24" i="61"/>
  <c r="S25" i="61"/>
  <c r="S26" i="61"/>
  <c r="AA6" i="62"/>
  <c r="Q3" i="64"/>
  <c r="W3" i="64"/>
  <c r="X3" i="64"/>
  <c r="P25" i="60"/>
  <c r="P21" i="60"/>
  <c r="P16" i="60"/>
  <c r="R16" i="60" s="1"/>
  <c r="T16" i="60" s="1"/>
  <c r="P12" i="60"/>
  <c r="P7" i="60"/>
  <c r="P27" i="60"/>
  <c r="R27" i="60" s="1"/>
  <c r="T27" i="60" s="1"/>
  <c r="P23" i="60"/>
  <c r="R23" i="60" s="1"/>
  <c r="T23" i="60" s="1"/>
  <c r="P19" i="60"/>
  <c r="R19" i="60" s="1"/>
  <c r="T19" i="60" s="1"/>
  <c r="P9" i="60"/>
  <c r="C13" i="61"/>
  <c r="X21" i="61"/>
  <c r="I37" i="61"/>
  <c r="AA5" i="62"/>
  <c r="V5" i="62"/>
  <c r="V9" i="62" s="1"/>
  <c r="V25" i="62" s="1"/>
  <c r="U6" i="62"/>
  <c r="R6" i="62" s="1"/>
  <c r="C24" i="62"/>
  <c r="AB11" i="62"/>
  <c r="U11" i="62"/>
  <c r="Z21" i="62"/>
  <c r="U21" i="62"/>
  <c r="Y21" i="62"/>
  <c r="AB21" i="62"/>
  <c r="W21" i="62"/>
  <c r="AA21" i="62"/>
  <c r="I37" i="60"/>
  <c r="V22" i="61"/>
  <c r="X22" i="61"/>
  <c r="S22" i="61"/>
  <c r="U4" i="62"/>
  <c r="AA4" i="62"/>
  <c r="Z17" i="62"/>
  <c r="W17" i="62"/>
  <c r="AB17" i="62"/>
  <c r="U17" i="62"/>
  <c r="S9" i="61"/>
  <c r="U22" i="61"/>
  <c r="M28" i="61"/>
  <c r="AA17" i="62"/>
  <c r="AI4" i="64"/>
  <c r="AE4" i="64"/>
  <c r="AA4" i="64"/>
  <c r="AJ4" i="64"/>
  <c r="AD4" i="64"/>
  <c r="AL4" i="64"/>
  <c r="AG4" i="64"/>
  <c r="AB4" i="64"/>
  <c r="AH4" i="64"/>
  <c r="AF4" i="64"/>
  <c r="AC4" i="64"/>
  <c r="AI6" i="64"/>
  <c r="AJ6" i="64"/>
  <c r="AE6" i="64"/>
  <c r="AA6" i="64"/>
  <c r="AG6" i="64"/>
  <c r="AK6" i="64"/>
  <c r="AD6" i="64"/>
  <c r="AF6" i="64"/>
  <c r="AC6" i="64"/>
  <c r="AL6" i="64"/>
  <c r="AH6" i="64"/>
  <c r="C32" i="64"/>
  <c r="C11" i="64"/>
  <c r="AG12" i="64"/>
  <c r="W23" i="64"/>
  <c r="X23" i="64"/>
  <c r="Q15" i="61"/>
  <c r="Z27" i="61" s="1"/>
  <c r="S16" i="61"/>
  <c r="U18" i="61"/>
  <c r="E25" i="62"/>
  <c r="M25" i="62"/>
  <c r="W4" i="64"/>
  <c r="Q4" i="64"/>
  <c r="C5" i="64"/>
  <c r="C37" i="64"/>
  <c r="Q23" i="64"/>
  <c r="W6" i="64"/>
  <c r="Q6" i="64"/>
  <c r="AJ12" i="64"/>
  <c r="AF12" i="64"/>
  <c r="AB12" i="64"/>
  <c r="AI12" i="64"/>
  <c r="AD12" i="64"/>
  <c r="AH12" i="64"/>
  <c r="AA12" i="64"/>
  <c r="AL12" i="64"/>
  <c r="AE12" i="64"/>
  <c r="W13" i="64"/>
  <c r="Q13" i="64"/>
  <c r="Z13" i="64"/>
  <c r="S13" i="64"/>
  <c r="X13" i="64"/>
  <c r="AH18" i="64"/>
  <c r="AG18" i="64"/>
  <c r="AK18" i="64"/>
  <c r="AI18" i="64"/>
  <c r="Q22" i="64"/>
  <c r="W22" i="64"/>
  <c r="M13" i="61"/>
  <c r="C9" i="62"/>
  <c r="AB3" i="62"/>
  <c r="Z24" i="62"/>
  <c r="Z25" i="62" s="1"/>
  <c r="X6" i="64"/>
  <c r="X12" i="64"/>
  <c r="Q12" i="64"/>
  <c r="AC12" i="64"/>
  <c r="V13" i="64"/>
  <c r="Q16" i="64"/>
  <c r="W16" i="64"/>
  <c r="S17" i="64"/>
  <c r="Q17" i="64"/>
  <c r="Z17" i="64"/>
  <c r="V17" i="64"/>
  <c r="X17" i="64"/>
  <c r="X22" i="64"/>
  <c r="Z23" i="64"/>
  <c r="AB20" i="62"/>
  <c r="AB23" i="62"/>
  <c r="Z3" i="64"/>
  <c r="E32" i="64"/>
  <c r="Z15" i="64"/>
  <c r="Z19" i="64"/>
  <c r="AJ20" i="64"/>
  <c r="AF20" i="64"/>
  <c r="AB20" i="64"/>
  <c r="AK20" i="64"/>
  <c r="AE20" i="64"/>
  <c r="AG20" i="64"/>
  <c r="U21" i="64"/>
  <c r="X21" i="64"/>
  <c r="S21" i="64"/>
  <c r="W21" i="64"/>
  <c r="Z22" i="64"/>
  <c r="H4" i="65"/>
  <c r="AA12" i="62"/>
  <c r="AB18" i="62"/>
  <c r="X18" i="62"/>
  <c r="X24" i="62" s="1"/>
  <c r="X25" i="62" s="1"/>
  <c r="Y18" i="62"/>
  <c r="Y24" i="62" s="1"/>
  <c r="Y25" i="62" s="1"/>
  <c r="AB19" i="62"/>
  <c r="U20" i="62"/>
  <c r="R20" i="62" s="1"/>
  <c r="AA22" i="62"/>
  <c r="AB22" i="62"/>
  <c r="D25" i="62"/>
  <c r="H25" i="62"/>
  <c r="L25" i="62"/>
  <c r="I37" i="64"/>
  <c r="AB6" i="64"/>
  <c r="AJ7" i="64"/>
  <c r="AF7" i="64"/>
  <c r="AE7" i="64"/>
  <c r="AG7" i="64"/>
  <c r="Z8" i="64"/>
  <c r="I32" i="64"/>
  <c r="U25" i="64"/>
  <c r="W15" i="64"/>
  <c r="V18" i="64"/>
  <c r="Q18" i="64"/>
  <c r="W18" i="64"/>
  <c r="X18" i="64"/>
  <c r="X19" i="64"/>
  <c r="AC20" i="64"/>
  <c r="AI20" i="64"/>
  <c r="T21" i="64"/>
  <c r="G32" i="64"/>
  <c r="W14" i="62"/>
  <c r="E37" i="64"/>
  <c r="X14" i="64"/>
  <c r="T14" i="64"/>
  <c r="V14" i="64"/>
  <c r="Z16" i="64"/>
  <c r="G3" i="65"/>
  <c r="H3" i="65" s="1"/>
  <c r="R14" i="62" l="1"/>
  <c r="AH14" i="62" s="1"/>
  <c r="R22" i="62"/>
  <c r="AC18" i="64"/>
  <c r="AA18" i="64"/>
  <c r="AB18" i="64"/>
  <c r="AL18" i="64"/>
  <c r="Y28" i="61"/>
  <c r="V29" i="61"/>
  <c r="R16" i="62"/>
  <c r="AK16" i="62" s="1"/>
  <c r="Y21" i="64"/>
  <c r="Z21" i="64" s="1"/>
  <c r="AE18" i="64"/>
  <c r="AD18" i="64"/>
  <c r="AF18" i="64"/>
  <c r="C28" i="61"/>
  <c r="C29" i="61" s="1"/>
  <c r="I43" i="60"/>
  <c r="R5" i="62"/>
  <c r="R23" i="62"/>
  <c r="AN23" i="62" s="1"/>
  <c r="R12" i="62"/>
  <c r="J38" i="60"/>
  <c r="AA24" i="62"/>
  <c r="R8" i="62"/>
  <c r="R21" i="62"/>
  <c r="AO21" i="62" s="1"/>
  <c r="AD7" i="64"/>
  <c r="F36" i="64" s="1"/>
  <c r="AI7" i="64"/>
  <c r="AA7" i="64"/>
  <c r="AH7" i="64"/>
  <c r="H36" i="64" s="1"/>
  <c r="AL7" i="64"/>
  <c r="J36" i="64" s="1"/>
  <c r="AC7" i="64"/>
  <c r="R13" i="62"/>
  <c r="R19" i="62"/>
  <c r="AA9" i="62"/>
  <c r="AB7" i="64"/>
  <c r="AB9" i="62"/>
  <c r="F38" i="64"/>
  <c r="I38" i="60"/>
  <c r="R4" i="62"/>
  <c r="AO4" i="62" s="1"/>
  <c r="I40" i="60"/>
  <c r="AD20" i="64"/>
  <c r="AL20" i="64"/>
  <c r="AH20" i="64"/>
  <c r="AA20" i="64"/>
  <c r="J43" i="60"/>
  <c r="R15" i="62"/>
  <c r="S21" i="61"/>
  <c r="J37" i="60"/>
  <c r="AF4" i="62"/>
  <c r="AP22" i="62"/>
  <c r="AL22" i="62"/>
  <c r="AH22" i="62"/>
  <c r="AO22" i="62"/>
  <c r="AJ22" i="62"/>
  <c r="AM22" i="62"/>
  <c r="AG22" i="62"/>
  <c r="AQ22" i="62"/>
  <c r="AF22" i="62"/>
  <c r="AK22" i="62"/>
  <c r="AN22" i="62"/>
  <c r="S22" i="62"/>
  <c r="AI22" i="62"/>
  <c r="AL14" i="62"/>
  <c r="AM14" i="62"/>
  <c r="AK14" i="62"/>
  <c r="AI14" i="62"/>
  <c r="S14" i="62"/>
  <c r="AF14" i="62"/>
  <c r="AN6" i="62"/>
  <c r="AJ6" i="62"/>
  <c r="AF6" i="62"/>
  <c r="S6" i="62"/>
  <c r="AO6" i="62"/>
  <c r="AI6" i="62"/>
  <c r="AQ6" i="62"/>
  <c r="AL6" i="62"/>
  <c r="AG6" i="62"/>
  <c r="AH6" i="62"/>
  <c r="AP6" i="62"/>
  <c r="AM6" i="62"/>
  <c r="AK6" i="62"/>
  <c r="AK21" i="62"/>
  <c r="AM21" i="62"/>
  <c r="AP21" i="62"/>
  <c r="AI21" i="62"/>
  <c r="AN21" i="62"/>
  <c r="AQ21" i="62"/>
  <c r="AQ18" i="62"/>
  <c r="AM18" i="62"/>
  <c r="AI18" i="62"/>
  <c r="AL18" i="62"/>
  <c r="AG18" i="62"/>
  <c r="AO18" i="62"/>
  <c r="AJ18" i="62"/>
  <c r="AH18" i="62"/>
  <c r="AN18" i="62"/>
  <c r="S18" i="62"/>
  <c r="AF18" i="62"/>
  <c r="AP18" i="62"/>
  <c r="AK18" i="62"/>
  <c r="AI19" i="64"/>
  <c r="AE19" i="64"/>
  <c r="AA19" i="64"/>
  <c r="AJ19" i="64"/>
  <c r="AD19" i="64"/>
  <c r="AK19" i="64"/>
  <c r="AC19" i="64"/>
  <c r="AG19" i="64"/>
  <c r="AF19" i="64"/>
  <c r="AB19" i="64"/>
  <c r="AL19" i="64"/>
  <c r="AH19" i="64"/>
  <c r="AL3" i="64"/>
  <c r="AH3" i="64"/>
  <c r="AD3" i="64"/>
  <c r="AG3" i="64"/>
  <c r="AB3" i="64"/>
  <c r="AJ3" i="64"/>
  <c r="AE3" i="64"/>
  <c r="AK3" i="64"/>
  <c r="AA3" i="64"/>
  <c r="AI3" i="64"/>
  <c r="AF3" i="64"/>
  <c r="AC3" i="64"/>
  <c r="AI23" i="64"/>
  <c r="AE23" i="64"/>
  <c r="AA23" i="64"/>
  <c r="AH23" i="64"/>
  <c r="AC23" i="64"/>
  <c r="AL23" i="64"/>
  <c r="AF23" i="64"/>
  <c r="AJ23" i="64"/>
  <c r="AB23" i="64"/>
  <c r="AK23" i="64"/>
  <c r="AG23" i="64"/>
  <c r="AD23" i="64"/>
  <c r="S25" i="64"/>
  <c r="Y15" i="61"/>
  <c r="Z15" i="61"/>
  <c r="Z8" i="61"/>
  <c r="Z7" i="61"/>
  <c r="H38" i="64"/>
  <c r="M29" i="61"/>
  <c r="Z13" i="61"/>
  <c r="Z19" i="61"/>
  <c r="AO16" i="62"/>
  <c r="AG16" i="62"/>
  <c r="AL16" i="62"/>
  <c r="S16" i="62"/>
  <c r="AP16" i="62"/>
  <c r="AJ16" i="62"/>
  <c r="AI16" i="62"/>
  <c r="AB24" i="62"/>
  <c r="AB25" i="62" s="1"/>
  <c r="AP5" i="62"/>
  <c r="AL5" i="62"/>
  <c r="AH5" i="62"/>
  <c r="AQ5" i="62"/>
  <c r="AK5" i="62"/>
  <c r="AF5" i="62"/>
  <c r="S5" i="62"/>
  <c r="AN5" i="62"/>
  <c r="AI5" i="62"/>
  <c r="AO5" i="62"/>
  <c r="AM5" i="62"/>
  <c r="AJ5" i="62"/>
  <c r="AG5" i="62"/>
  <c r="Y25" i="61"/>
  <c r="Z21" i="61"/>
  <c r="Z14" i="61"/>
  <c r="Z9" i="61"/>
  <c r="I45" i="60"/>
  <c r="R12" i="60"/>
  <c r="T12" i="60" s="1"/>
  <c r="J45" i="60" s="1"/>
  <c r="AJ23" i="62"/>
  <c r="S23" i="62"/>
  <c r="AH23" i="62"/>
  <c r="AK23" i="62"/>
  <c r="AG23" i="62"/>
  <c r="AO23" i="62"/>
  <c r="Z25" i="61"/>
  <c r="Z23" i="61"/>
  <c r="Y14" i="64"/>
  <c r="Z14" i="64" s="1"/>
  <c r="T25" i="64"/>
  <c r="AL22" i="64"/>
  <c r="AH22" i="64"/>
  <c r="AD22" i="64"/>
  <c r="AK22" i="64"/>
  <c r="AF22" i="64"/>
  <c r="AA22" i="64"/>
  <c r="AJ22" i="64"/>
  <c r="AC22" i="64"/>
  <c r="AG22" i="64"/>
  <c r="AI22" i="64"/>
  <c r="AE22" i="64"/>
  <c r="AB22" i="64"/>
  <c r="AK15" i="64"/>
  <c r="AG15" i="64"/>
  <c r="AC15" i="64"/>
  <c r="AH15" i="64"/>
  <c r="AB15" i="64"/>
  <c r="AJ15" i="64"/>
  <c r="AD15" i="64"/>
  <c r="AF15" i="64"/>
  <c r="AE15" i="64"/>
  <c r="AA15" i="64"/>
  <c r="AL15" i="64"/>
  <c r="AI15" i="64"/>
  <c r="R3" i="62"/>
  <c r="Y13" i="61"/>
  <c r="AI13" i="64"/>
  <c r="AE13" i="64"/>
  <c r="AA13" i="64"/>
  <c r="AJ13" i="64"/>
  <c r="AD13" i="64"/>
  <c r="AG13" i="64"/>
  <c r="AK13" i="64"/>
  <c r="AC13" i="64"/>
  <c r="AH13" i="64"/>
  <c r="AF13" i="64"/>
  <c r="AB13" i="64"/>
  <c r="AL13" i="64"/>
  <c r="Y18" i="61"/>
  <c r="Y7" i="61"/>
  <c r="D38" i="64"/>
  <c r="Y10" i="61"/>
  <c r="Y8" i="61"/>
  <c r="AA8" i="61" s="1"/>
  <c r="W24" i="62"/>
  <c r="W25" i="62" s="1"/>
  <c r="C25" i="62"/>
  <c r="Y24" i="61"/>
  <c r="Y12" i="61"/>
  <c r="AA12" i="61" s="1"/>
  <c r="J45" i="61" s="1"/>
  <c r="Y27" i="61"/>
  <c r="AA27" i="61" s="1"/>
  <c r="Y17" i="61"/>
  <c r="U17" i="61"/>
  <c r="U29" i="61" s="1"/>
  <c r="Z17" i="61"/>
  <c r="X17" i="61"/>
  <c r="X29" i="61" s="1"/>
  <c r="S17" i="61"/>
  <c r="Z12" i="61"/>
  <c r="S15" i="61"/>
  <c r="AK21" i="64"/>
  <c r="AG21" i="64"/>
  <c r="AC21" i="64"/>
  <c r="AI21" i="64"/>
  <c r="AD21" i="64"/>
  <c r="AH21" i="64"/>
  <c r="AA21" i="64"/>
  <c r="AL21" i="64"/>
  <c r="AE21" i="64"/>
  <c r="AB21" i="64"/>
  <c r="AJ21" i="64"/>
  <c r="AF21" i="64"/>
  <c r="AK8" i="64"/>
  <c r="AG8" i="64"/>
  <c r="AC8" i="64"/>
  <c r="AL8" i="64"/>
  <c r="AF8" i="64"/>
  <c r="AA8" i="64"/>
  <c r="AH8" i="64"/>
  <c r="AJ8" i="64"/>
  <c r="AD8" i="64"/>
  <c r="AI8" i="64"/>
  <c r="AE8" i="64"/>
  <c r="AB8" i="64"/>
  <c r="AO19" i="62"/>
  <c r="AK19" i="62"/>
  <c r="AG19" i="62"/>
  <c r="AP19" i="62"/>
  <c r="AJ19" i="62"/>
  <c r="AM19" i="62"/>
  <c r="AH19" i="62"/>
  <c r="S19" i="62"/>
  <c r="AI19" i="62"/>
  <c r="AN19" i="62"/>
  <c r="AQ19" i="62"/>
  <c r="AL19" i="62"/>
  <c r="AF19" i="62"/>
  <c r="H39" i="64"/>
  <c r="AQ20" i="62"/>
  <c r="AM20" i="62"/>
  <c r="AI20" i="62"/>
  <c r="AN20" i="62"/>
  <c r="AH20" i="62"/>
  <c r="AP20" i="62"/>
  <c r="AK20" i="62"/>
  <c r="AF20" i="62"/>
  <c r="AJ20" i="62"/>
  <c r="AO20" i="62"/>
  <c r="J39" i="62" s="1"/>
  <c r="AG20" i="62"/>
  <c r="S20" i="62"/>
  <c r="AL20" i="62"/>
  <c r="AK17" i="64"/>
  <c r="AG17" i="64"/>
  <c r="AC17" i="64"/>
  <c r="AI17" i="64"/>
  <c r="AD17" i="64"/>
  <c r="AF17" i="64"/>
  <c r="AJ17" i="64"/>
  <c r="AB17" i="64"/>
  <c r="AE17" i="64"/>
  <c r="AA17" i="64"/>
  <c r="AL17" i="64"/>
  <c r="AH17" i="64"/>
  <c r="P5" i="64"/>
  <c r="C9" i="64"/>
  <c r="AP7" i="62"/>
  <c r="AL7" i="62"/>
  <c r="AM7" i="62"/>
  <c r="AH7" i="62"/>
  <c r="AK7" i="62"/>
  <c r="AF7" i="62"/>
  <c r="AO7" i="62"/>
  <c r="J36" i="62" s="1"/>
  <c r="AI7" i="62"/>
  <c r="AG7" i="62"/>
  <c r="AQ7" i="62"/>
  <c r="AN7" i="62"/>
  <c r="AJ7" i="62"/>
  <c r="S7" i="62"/>
  <c r="Y21" i="61"/>
  <c r="S29" i="61"/>
  <c r="R17" i="62"/>
  <c r="Z28" i="61"/>
  <c r="AA28" i="61" s="1"/>
  <c r="Z22" i="61"/>
  <c r="Y16" i="61"/>
  <c r="Y14" i="61"/>
  <c r="AA14" i="61" s="1"/>
  <c r="U24" i="62"/>
  <c r="Y23" i="61"/>
  <c r="AA23" i="61" s="1"/>
  <c r="Y11" i="61"/>
  <c r="AA11" i="61" s="1"/>
  <c r="J40" i="61" s="1"/>
  <c r="R21" i="60"/>
  <c r="T21" i="60" s="1"/>
  <c r="J39" i="60" s="1"/>
  <c r="I39" i="60"/>
  <c r="AN12" i="62"/>
  <c r="AJ12" i="62"/>
  <c r="AF12" i="62"/>
  <c r="AO12" i="62"/>
  <c r="AI12" i="62"/>
  <c r="AQ12" i="62"/>
  <c r="AK12" i="62"/>
  <c r="AM12" i="62"/>
  <c r="AG12" i="62"/>
  <c r="AL12" i="62"/>
  <c r="S12" i="62"/>
  <c r="AH12" i="62"/>
  <c r="AP12" i="62"/>
  <c r="Z16" i="61"/>
  <c r="Z11" i="61"/>
  <c r="P28" i="60"/>
  <c r="Y22" i="61"/>
  <c r="AA22" i="61" s="1"/>
  <c r="H6" i="65"/>
  <c r="AL16" i="64"/>
  <c r="AH16" i="64"/>
  <c r="AD16" i="64"/>
  <c r="AJ16" i="64"/>
  <c r="AE16" i="64"/>
  <c r="AI16" i="64"/>
  <c r="AB16" i="64"/>
  <c r="AF16" i="64"/>
  <c r="AC16" i="64"/>
  <c r="AA16" i="64"/>
  <c r="AK16" i="64"/>
  <c r="AG16" i="64"/>
  <c r="V25" i="64"/>
  <c r="AA16" i="61"/>
  <c r="C24" i="64"/>
  <c r="P11" i="64"/>
  <c r="J38" i="64"/>
  <c r="U9" i="62"/>
  <c r="Y19" i="61"/>
  <c r="Y9" i="61"/>
  <c r="AA9" i="61" s="1"/>
  <c r="Z20" i="61"/>
  <c r="R11" i="62"/>
  <c r="Y26" i="61"/>
  <c r="Z10" i="61"/>
  <c r="R9" i="60"/>
  <c r="T9" i="60" s="1"/>
  <c r="J41" i="60" s="1"/>
  <c r="I41" i="60"/>
  <c r="P13" i="60"/>
  <c r="I36" i="60"/>
  <c r="R7" i="60"/>
  <c r="I44" i="60"/>
  <c r="R25" i="60"/>
  <c r="T25" i="60" s="1"/>
  <c r="J44" i="60" s="1"/>
  <c r="Z26" i="61"/>
  <c r="Z24" i="61"/>
  <c r="AA24" i="61" s="1"/>
  <c r="Y20" i="61"/>
  <c r="R28" i="60"/>
  <c r="T15" i="60"/>
  <c r="Z18" i="61"/>
  <c r="D39" i="64" l="1"/>
  <c r="AL23" i="62"/>
  <c r="AP23" i="62"/>
  <c r="AF23" i="62"/>
  <c r="AM16" i="62"/>
  <c r="AN16" i="62"/>
  <c r="AQ16" i="62"/>
  <c r="AF21" i="62"/>
  <c r="AJ21" i="62"/>
  <c r="AG21" i="62"/>
  <c r="AQ14" i="62"/>
  <c r="AN14" i="62"/>
  <c r="AG14" i="62"/>
  <c r="AP14" i="62"/>
  <c r="AN4" i="62"/>
  <c r="AI23" i="62"/>
  <c r="AQ23" i="62"/>
  <c r="AM23" i="62"/>
  <c r="AH16" i="62"/>
  <c r="AF16" i="62"/>
  <c r="AL21" i="62"/>
  <c r="S21" i="62"/>
  <c r="AH21" i="62"/>
  <c r="AJ14" i="62"/>
  <c r="AO14" i="62"/>
  <c r="AH4" i="62"/>
  <c r="F40" i="62"/>
  <c r="AA26" i="61"/>
  <c r="AA18" i="61"/>
  <c r="F34" i="64"/>
  <c r="F39" i="64"/>
  <c r="AA21" i="61"/>
  <c r="J39" i="61" s="1"/>
  <c r="J38" i="62"/>
  <c r="D34" i="64"/>
  <c r="D40" i="64"/>
  <c r="AA10" i="61"/>
  <c r="J42" i="61" s="1"/>
  <c r="J34" i="64"/>
  <c r="AA25" i="61"/>
  <c r="J44" i="61" s="1"/>
  <c r="H37" i="62"/>
  <c r="AJ4" i="62"/>
  <c r="AL4" i="62"/>
  <c r="AG4" i="62"/>
  <c r="AN8" i="62"/>
  <c r="AP8" i="62"/>
  <c r="AQ8" i="62"/>
  <c r="AL8" i="62"/>
  <c r="AJ8" i="62"/>
  <c r="AK8" i="62"/>
  <c r="AI8" i="62"/>
  <c r="AG8" i="62"/>
  <c r="AO8" i="62"/>
  <c r="AF8" i="62"/>
  <c r="AM8" i="62"/>
  <c r="AH8" i="62"/>
  <c r="S8" i="62"/>
  <c r="U25" i="62"/>
  <c r="S4" i="62"/>
  <c r="AQ4" i="62"/>
  <c r="AK4" i="62"/>
  <c r="AA25" i="62"/>
  <c r="D36" i="64"/>
  <c r="F36" i="62"/>
  <c r="D35" i="64"/>
  <c r="H35" i="64"/>
  <c r="F39" i="62"/>
  <c r="F41" i="64"/>
  <c r="H34" i="64"/>
  <c r="J39" i="64"/>
  <c r="H40" i="62"/>
  <c r="J40" i="62"/>
  <c r="F38" i="62"/>
  <c r="AP4" i="62"/>
  <c r="AM4" i="62"/>
  <c r="AI4" i="62"/>
  <c r="F34" i="62" s="1"/>
  <c r="S15" i="62"/>
  <c r="AG15" i="62"/>
  <c r="AL15" i="62"/>
  <c r="AN15" i="62"/>
  <c r="AP15" i="62"/>
  <c r="AQ15" i="62"/>
  <c r="AH15" i="62"/>
  <c r="AM15" i="62"/>
  <c r="H34" i="62" s="1"/>
  <c r="AJ15" i="62"/>
  <c r="AK15" i="62"/>
  <c r="AI15" i="62"/>
  <c r="AF15" i="62"/>
  <c r="AO15" i="62"/>
  <c r="AQ13" i="62"/>
  <c r="AJ13" i="62"/>
  <c r="AP13" i="62"/>
  <c r="AG13" i="62"/>
  <c r="AF13" i="62"/>
  <c r="AH13" i="62"/>
  <c r="AL13" i="62"/>
  <c r="H33" i="62" s="1"/>
  <c r="AM13" i="62"/>
  <c r="AN13" i="62"/>
  <c r="AI13" i="62"/>
  <c r="AO13" i="62"/>
  <c r="J33" i="62" s="1"/>
  <c r="AK13" i="62"/>
  <c r="F33" i="62" s="1"/>
  <c r="S13" i="62"/>
  <c r="J41" i="61"/>
  <c r="R13" i="60"/>
  <c r="T7" i="60"/>
  <c r="AQ11" i="62"/>
  <c r="AM11" i="62"/>
  <c r="AI11" i="62"/>
  <c r="AL11" i="62"/>
  <c r="AG11" i="62"/>
  <c r="S11" i="62"/>
  <c r="AP11" i="62"/>
  <c r="AJ11" i="62"/>
  <c r="AN11" i="62"/>
  <c r="AF11" i="62"/>
  <c r="AH11" i="62"/>
  <c r="AO11" i="62"/>
  <c r="AK11" i="62"/>
  <c r="S37" i="61"/>
  <c r="F40" i="64"/>
  <c r="Y29" i="61"/>
  <c r="AA7" i="61"/>
  <c r="J37" i="62"/>
  <c r="AA19" i="61"/>
  <c r="W11" i="64"/>
  <c r="X11" i="64"/>
  <c r="Q11" i="64"/>
  <c r="Z11" i="64"/>
  <c r="P29" i="60"/>
  <c r="U14" i="60"/>
  <c r="U20" i="60"/>
  <c r="W20" i="60" s="1"/>
  <c r="W5" i="64"/>
  <c r="Q5" i="64"/>
  <c r="X5" i="64"/>
  <c r="X25" i="64" s="1"/>
  <c r="R5" i="64"/>
  <c r="R25" i="64" s="1"/>
  <c r="Z5" i="64"/>
  <c r="F35" i="64"/>
  <c r="AA17" i="61"/>
  <c r="J37" i="61" s="1"/>
  <c r="AJ14" i="64"/>
  <c r="AF14" i="64"/>
  <c r="AB14" i="64"/>
  <c r="AL14" i="64"/>
  <c r="AG14" i="64"/>
  <c r="AA14" i="64"/>
  <c r="AI14" i="64"/>
  <c r="AC14" i="64"/>
  <c r="AE14" i="64"/>
  <c r="AK14" i="64"/>
  <c r="AH14" i="64"/>
  <c r="AD14" i="64"/>
  <c r="AA20" i="61"/>
  <c r="U19" i="60"/>
  <c r="W19" i="60" s="1"/>
  <c r="U13" i="60"/>
  <c r="C25" i="64"/>
  <c r="D36" i="62"/>
  <c r="H36" i="62"/>
  <c r="H39" i="62"/>
  <c r="J40" i="64"/>
  <c r="AA15" i="61"/>
  <c r="AA13" i="61"/>
  <c r="D40" i="62"/>
  <c r="H38" i="62"/>
  <c r="R29" i="60"/>
  <c r="J43" i="61"/>
  <c r="D37" i="62"/>
  <c r="J41" i="64"/>
  <c r="F37" i="62"/>
  <c r="Z29" i="61"/>
  <c r="T28" i="60"/>
  <c r="AO17" i="62"/>
  <c r="AK17" i="62"/>
  <c r="AG17" i="62"/>
  <c r="AM17" i="62"/>
  <c r="AH17" i="62"/>
  <c r="AP17" i="62"/>
  <c r="AJ17" i="62"/>
  <c r="S17" i="62"/>
  <c r="AQ17" i="62"/>
  <c r="AF17" i="62"/>
  <c r="AL17" i="62"/>
  <c r="AN17" i="62"/>
  <c r="AI17" i="62"/>
  <c r="J35" i="64"/>
  <c r="D39" i="62"/>
  <c r="D41" i="64"/>
  <c r="H41" i="64"/>
  <c r="H40" i="64"/>
  <c r="AQ3" i="62"/>
  <c r="AM3" i="62"/>
  <c r="AI3" i="62"/>
  <c r="AP3" i="62"/>
  <c r="AK3" i="62"/>
  <c r="AF3" i="62"/>
  <c r="AN3" i="62"/>
  <c r="AH3" i="62"/>
  <c r="AJ3" i="62"/>
  <c r="AG3" i="62"/>
  <c r="AO3" i="62"/>
  <c r="AL3" i="62"/>
  <c r="S3" i="62"/>
  <c r="D38" i="62"/>
  <c r="Z32" i="61" l="1"/>
  <c r="J41" i="62"/>
  <c r="F41" i="62"/>
  <c r="J34" i="62"/>
  <c r="D34" i="62"/>
  <c r="F33" i="64"/>
  <c r="D41" i="62"/>
  <c r="D33" i="64"/>
  <c r="D33" i="62"/>
  <c r="H41" i="62"/>
  <c r="F35" i="62"/>
  <c r="D32" i="62"/>
  <c r="W25" i="64"/>
  <c r="J38" i="61"/>
  <c r="S9" i="62"/>
  <c r="H33" i="64"/>
  <c r="J33" i="64"/>
  <c r="J35" i="62"/>
  <c r="AH5" i="64"/>
  <c r="AJ5" i="64"/>
  <c r="AG5" i="64"/>
  <c r="AD5" i="64"/>
  <c r="AL5" i="64"/>
  <c r="AB5" i="64"/>
  <c r="AA5" i="64"/>
  <c r="AI5" i="64"/>
  <c r="AF5" i="64"/>
  <c r="AC5" i="64"/>
  <c r="AK5" i="64"/>
  <c r="AE5" i="64"/>
  <c r="AC11" i="64"/>
  <c r="AK11" i="64"/>
  <c r="AG11" i="64"/>
  <c r="AF11" i="64"/>
  <c r="AB11" i="64"/>
  <c r="AL11" i="64"/>
  <c r="AJ11" i="64"/>
  <c r="AE11" i="64"/>
  <c r="AH11" i="64"/>
  <c r="AA11" i="64"/>
  <c r="D32" i="64" s="1"/>
  <c r="AI11" i="64"/>
  <c r="AD11" i="64"/>
  <c r="F32" i="64" s="1"/>
  <c r="H32" i="62"/>
  <c r="H35" i="62"/>
  <c r="U15" i="60"/>
  <c r="V13" i="60" s="1"/>
  <c r="W13" i="60"/>
  <c r="W14" i="60"/>
  <c r="V24" i="60"/>
  <c r="W24" i="60" s="1"/>
  <c r="T13" i="60"/>
  <c r="V23" i="60" s="1"/>
  <c r="W23" i="60" s="1"/>
  <c r="J36" i="60"/>
  <c r="J32" i="62"/>
  <c r="F32" i="62"/>
  <c r="D35" i="62"/>
  <c r="Q25" i="64"/>
  <c r="J36" i="61"/>
  <c r="S24" i="62"/>
  <c r="S25" i="62" s="1"/>
  <c r="J32" i="64" l="1"/>
  <c r="D37" i="64"/>
  <c r="H37" i="64"/>
  <c r="W15" i="60"/>
  <c r="W17" i="60" s="1"/>
  <c r="V14" i="60"/>
  <c r="H32" i="64"/>
  <c r="J37" i="64"/>
  <c r="T29" i="60"/>
  <c r="Z34" i="61" s="1"/>
  <c r="Z36" i="61" s="1"/>
  <c r="Z38" i="61" s="1"/>
  <c r="F37" i="64"/>
  <c r="Y33" i="69"/>
  <c r="O8" i="73" l="1"/>
  <c r="O11" i="73" l="1"/>
  <c r="C52" i="73"/>
  <c r="O52" i="73" s="1"/>
  <c r="O13" i="73"/>
  <c r="O12" i="73" l="1"/>
  <c r="O19" i="73" s="1"/>
  <c r="C19" i="73"/>
  <c r="C58" i="73"/>
  <c r="O58" i="73" s="1"/>
  <c r="C70" i="73"/>
  <c r="O70" i="73" l="1"/>
  <c r="C17" i="67"/>
  <c r="C19" i="67" s="1"/>
</calcChain>
</file>

<file path=xl/sharedStrings.xml><?xml version="1.0" encoding="utf-8"?>
<sst xmlns="http://schemas.openxmlformats.org/spreadsheetml/2006/main" count="721" uniqueCount="284">
  <si>
    <t>شرح</t>
  </si>
  <si>
    <t>خالص ساير درآمدها و هزينه هاي عملياتي</t>
  </si>
  <si>
    <t>فروش خالص و درآمد ارائه خدمات</t>
  </si>
  <si>
    <t xml:space="preserve">بهاي تمام شده كالا ي فروش رفته و خدمات ارائه شده </t>
  </si>
  <si>
    <t>مقدار</t>
  </si>
  <si>
    <t>مقدار فروش</t>
  </si>
  <si>
    <t>مبلغ فروش</t>
  </si>
  <si>
    <t>مبالغ به میلیون ریال</t>
  </si>
  <si>
    <t>جمع کل</t>
  </si>
  <si>
    <t>بهای تمام شده</t>
  </si>
  <si>
    <t>مبلغ</t>
  </si>
  <si>
    <t>-</t>
  </si>
  <si>
    <t>قیر 60/70 فله</t>
  </si>
  <si>
    <t>قیر 60/70 مظروف</t>
  </si>
  <si>
    <t>قیر 85/100 فله</t>
  </si>
  <si>
    <t>قیر 85/100 مظروف</t>
  </si>
  <si>
    <t>انواع قیرهای PG</t>
  </si>
  <si>
    <t>قیر MC250</t>
  </si>
  <si>
    <t>قیر امولسیون</t>
  </si>
  <si>
    <t>سایر محصولات</t>
  </si>
  <si>
    <t>مقدار فروش-تن</t>
  </si>
  <si>
    <t>فروردین</t>
  </si>
  <si>
    <t>اردیبهشت</t>
  </si>
  <si>
    <t>خرداد</t>
  </si>
  <si>
    <t>تیر</t>
  </si>
  <si>
    <t>مرداد</t>
  </si>
  <si>
    <t>شهریور</t>
  </si>
  <si>
    <t>مهر</t>
  </si>
  <si>
    <t>آبان</t>
  </si>
  <si>
    <t>آذر</t>
  </si>
  <si>
    <t>دی</t>
  </si>
  <si>
    <t xml:space="preserve"> بهمن</t>
  </si>
  <si>
    <t>اسفند</t>
  </si>
  <si>
    <t>نرخ فروش ارزی-دلار</t>
  </si>
  <si>
    <t>نرخ ارز بر اساس دلار آزاد</t>
  </si>
  <si>
    <t>الف-فروش داخلی</t>
  </si>
  <si>
    <t>قیر 60/70</t>
  </si>
  <si>
    <t>قیر 85/100</t>
  </si>
  <si>
    <t>قیر mc/250</t>
  </si>
  <si>
    <t>انواع قیر های PG</t>
  </si>
  <si>
    <t>سایر قیرها</t>
  </si>
  <si>
    <t>جمع فروش داخلی</t>
  </si>
  <si>
    <t>ب- فروش صادراتی</t>
  </si>
  <si>
    <t>قیر 60/70 FOB</t>
  </si>
  <si>
    <t>قیر 60/70 مظروفEX</t>
  </si>
  <si>
    <t>قیر 60/70 مظروف  FOB</t>
  </si>
  <si>
    <t>قیر 85/100 FOB</t>
  </si>
  <si>
    <t>قیر 85/100 مظروفEX</t>
  </si>
  <si>
    <t>قیر 85/100 مظروف FOB</t>
  </si>
  <si>
    <t>قیر VG فله</t>
  </si>
  <si>
    <t>قیر VG بشکه FOB</t>
  </si>
  <si>
    <t>قیر VG فله FOB</t>
  </si>
  <si>
    <t>جمع فروش صادراتی</t>
  </si>
  <si>
    <t>سه ماهه اول 95</t>
  </si>
  <si>
    <t>سه ماهه دوم 95</t>
  </si>
  <si>
    <t>سه ماهه سوم 95</t>
  </si>
  <si>
    <t>سه ماهه چهارم 95</t>
  </si>
  <si>
    <t>وکیوم باتوم</t>
  </si>
  <si>
    <t>نفت سفید</t>
  </si>
  <si>
    <t>ورق</t>
  </si>
  <si>
    <t>سهم از کل</t>
  </si>
  <si>
    <t>الف-تولید داخلی</t>
  </si>
  <si>
    <t>جمع تولید داخلی</t>
  </si>
  <si>
    <t>ب- تولید صادراتی</t>
  </si>
  <si>
    <t>قیر 60/70 فله EX</t>
  </si>
  <si>
    <t xml:space="preserve">قیر 60/70  فله FOB </t>
  </si>
  <si>
    <t>قیر 85/100 فله EX</t>
  </si>
  <si>
    <t>قیر 85/100 فله FOB</t>
  </si>
  <si>
    <t>جمع تولید صادراتی</t>
  </si>
  <si>
    <t>مقدار تولید</t>
  </si>
  <si>
    <t>سه ماهه اول 94</t>
  </si>
  <si>
    <t>سه ماهه دوم 94</t>
  </si>
  <si>
    <t>سه ماهه سوم 94</t>
  </si>
  <si>
    <t>سه ماهه چهارم 94</t>
  </si>
  <si>
    <t>قیر VG مظروف</t>
  </si>
  <si>
    <t>خرید از همیار جی</t>
  </si>
  <si>
    <t>حمل</t>
  </si>
  <si>
    <t>استافینگ</t>
  </si>
  <si>
    <t>مظروف سازی</t>
  </si>
  <si>
    <t>دستمزد</t>
  </si>
  <si>
    <t>سایر هزینه ها</t>
  </si>
  <si>
    <t>نرخ بهای تمام شده</t>
  </si>
  <si>
    <t>بهای تمام شده کالای فروش رفته</t>
  </si>
  <si>
    <t>مقدار فروش واقعی 94/10/01 الی 94/11/16</t>
  </si>
  <si>
    <t>پیش بینی مقدار فروش از 94/11/17 الی 94/12/29</t>
  </si>
  <si>
    <t>نرخ فروش</t>
  </si>
  <si>
    <t>مبلغ فروش واقعی 94/10/01 الی 94/11/16</t>
  </si>
  <si>
    <t>پیش بینی مبلغ فروش از 94/11/17 الی 94/12/29</t>
  </si>
  <si>
    <t>پیش بینی تخفیف</t>
  </si>
  <si>
    <t>اضافه تولید</t>
  </si>
  <si>
    <t>جمع تولید</t>
  </si>
  <si>
    <t>تولید</t>
  </si>
  <si>
    <t>نرخ مواد</t>
  </si>
  <si>
    <t>محاسبه فروش سه ماهه پایانی سال 1394</t>
  </si>
  <si>
    <t>محاسبه تولید سه ماهه پایانی سال 1394</t>
  </si>
  <si>
    <t>شماره سند</t>
  </si>
  <si>
    <t>مبلغ بدهکار</t>
  </si>
  <si>
    <t>مبلغ بستانکار</t>
  </si>
  <si>
    <t>شرح حساب</t>
  </si>
  <si>
    <t>شرح سند</t>
  </si>
  <si>
    <t>برگشت فروش نفت جی به جی پورنر شش ماهه اول سال 95</t>
  </si>
  <si>
    <t>برگشت فروش نفت جی به جی پورنر شش ماهه دوم سال 95</t>
  </si>
  <si>
    <t>برگشت فروش جی پورنر به نفت جی شش ماهه اول سال 95</t>
  </si>
  <si>
    <t>برگشت فروش جی پورنر به نفت جی شش ماهه دوم سال 95</t>
  </si>
  <si>
    <t>برگشت فروش لیان به نفت جی شش ماهه اول سال 95</t>
  </si>
  <si>
    <t>برگشت فروش لیان به نفت جی شش ماهه دوم سال 95</t>
  </si>
  <si>
    <t>برگشت سهم نفت جی از سود تقسیمی شرکت های فرعی</t>
  </si>
  <si>
    <t>سود سهام دریافتنی</t>
  </si>
  <si>
    <t>exw فله</t>
  </si>
  <si>
    <t>exw بشکه</t>
  </si>
  <si>
    <t>fob بشکه</t>
  </si>
  <si>
    <t>نرخ</t>
  </si>
  <si>
    <t>کالا</t>
  </si>
  <si>
    <t>شرح(شامل نام کالا/نوع بسته بندی/ترم تحویل)</t>
  </si>
  <si>
    <t>بندرعباس</t>
  </si>
  <si>
    <t>پالایشگاه اصفهان</t>
  </si>
  <si>
    <t>مجموع</t>
  </si>
  <si>
    <t>صادراتی</t>
  </si>
  <si>
    <t xml:space="preserve"> فله</t>
  </si>
  <si>
    <t>بشکه</t>
  </si>
  <si>
    <t>فروش داخلی</t>
  </si>
  <si>
    <t>فروش صادراتی</t>
  </si>
  <si>
    <t>جمع</t>
  </si>
  <si>
    <t>فله</t>
  </si>
  <si>
    <t>جی پورنر پارس</t>
  </si>
  <si>
    <t>نفت جی هرمز</t>
  </si>
  <si>
    <t>خرید وکیوم از پالایشگاه اصفهان</t>
  </si>
  <si>
    <t>کل وکیوم مورد نیاز</t>
  </si>
  <si>
    <t>برنامه تولید  سال 1401 شرکت پالایش نفت جی</t>
  </si>
  <si>
    <t>مقادیر به تن می باشد.</t>
  </si>
  <si>
    <t xml:space="preserve">جمع </t>
  </si>
  <si>
    <t>الف- تولید اصفهان</t>
  </si>
  <si>
    <t>محصول</t>
  </si>
  <si>
    <t>قیر mc/250 فله</t>
  </si>
  <si>
    <t>قیر امولسیون فله</t>
  </si>
  <si>
    <t>انواع قیر های PG فله</t>
  </si>
  <si>
    <t xml:space="preserve">vg30  فله </t>
  </si>
  <si>
    <t>40/50</t>
  </si>
  <si>
    <t xml:space="preserve">vg40  فله </t>
  </si>
  <si>
    <t xml:space="preserve">vg10  فله </t>
  </si>
  <si>
    <t xml:space="preserve">60/70 بشکه </t>
  </si>
  <si>
    <t xml:space="preserve">85/100 بشکه </t>
  </si>
  <si>
    <t>60/70  کیسه</t>
  </si>
  <si>
    <t xml:space="preserve">vg30 بشکه </t>
  </si>
  <si>
    <t xml:space="preserve">vg40 بشکه </t>
  </si>
  <si>
    <t xml:space="preserve">vg10 بشکه </t>
  </si>
  <si>
    <t>جهت انبار به انبار به شیمی تجارت و مظروف</t>
  </si>
  <si>
    <t>جهت انبار به انبار از اصفهان به بندرعباس</t>
  </si>
  <si>
    <t>مجموع تولید  اصفهان</t>
  </si>
  <si>
    <t>مواد اولیه اصفهان</t>
  </si>
  <si>
    <t xml:space="preserve"> وکیوم با توم ( اصفهان)</t>
  </si>
  <si>
    <t>هدر رفتگی</t>
  </si>
  <si>
    <t xml:space="preserve">نفت سفید </t>
  </si>
  <si>
    <t>اسید</t>
  </si>
  <si>
    <t>حلال</t>
  </si>
  <si>
    <t>آب</t>
  </si>
  <si>
    <t xml:space="preserve"> امولسيفاير </t>
  </si>
  <si>
    <t>مجموع مواد اولیه مورد نیاز تولید اصفهان</t>
  </si>
  <si>
    <t xml:space="preserve"> ب-  تولید بندرعباس</t>
  </si>
  <si>
    <t>جمع تولید  بندرعباس</t>
  </si>
  <si>
    <t>دریافت از انبار به انبار (اصفهان )</t>
  </si>
  <si>
    <t>مواد اولیه بندرعباس</t>
  </si>
  <si>
    <t>وکیوم بندرعباس</t>
  </si>
  <si>
    <t xml:space="preserve"> slops </t>
  </si>
  <si>
    <t>مجموع مواد اولیه مورد نیاز تولید بندر عباس</t>
  </si>
  <si>
    <t xml:space="preserve"> مواد اولیه
 مورد نیاز</t>
  </si>
  <si>
    <t>وکیوم با توم  اصفهان</t>
  </si>
  <si>
    <t xml:space="preserve">وكيوم باتوم بندرعباس </t>
  </si>
  <si>
    <t>وکیوم سایر پالایشگاه ها</t>
  </si>
  <si>
    <t>SLOPS</t>
  </si>
  <si>
    <t>مجموع نفت سفید مورد نیاز</t>
  </si>
  <si>
    <t>مجموع  اسید مورد نیاز</t>
  </si>
  <si>
    <t>مجموع حلال مورد نیاز</t>
  </si>
  <si>
    <t>مجموع امولسيفاير مورد نیاز</t>
  </si>
  <si>
    <t>مجموع مواد اولیه مورد نیاز</t>
  </si>
  <si>
    <t>ac30</t>
  </si>
  <si>
    <t>ac40</t>
  </si>
  <si>
    <t>(کیلوگرم)</t>
  </si>
  <si>
    <t>(ریال)</t>
  </si>
  <si>
    <t>ضایعات ورق</t>
  </si>
  <si>
    <t>نرخ خرید هر تن وکیوم باتوم اصفهان</t>
  </si>
  <si>
    <t>نرخ خرید هر تن وکیوم باتوم بندرعباس</t>
  </si>
  <si>
    <t>نرخ خرید هر تن نفت سفید</t>
  </si>
  <si>
    <t>نرخ خرید هر تن ورق آهن</t>
  </si>
  <si>
    <t>نرخ هزینه حمل پرداختی بابت حمل هر تن قیر فله از اصفهان به بندرعباس</t>
  </si>
  <si>
    <t>نرخ هزینه حمل پرداختی بابت هر تن وکیوم باتوم بندرعباس (به اسکله)</t>
  </si>
  <si>
    <t>هزینه شوتینگ</t>
  </si>
  <si>
    <t>فله اصفهان</t>
  </si>
  <si>
    <t>بشکه اصفهان</t>
  </si>
  <si>
    <t>سایر پالایشگاه ها</t>
  </si>
  <si>
    <t>جمع  پالایشگاه  اصفهان:</t>
  </si>
  <si>
    <t>کل فروش اصفهان:</t>
  </si>
  <si>
    <t>جمع بندرعباس:</t>
  </si>
  <si>
    <t>جمع فروش داخلی:</t>
  </si>
  <si>
    <t>جمع فروش صادراتی:</t>
  </si>
  <si>
    <t>جمع کل:</t>
  </si>
  <si>
    <r>
      <rPr>
        <sz val="16"/>
        <color theme="1"/>
        <rFont val="B Nazanin"/>
        <charset val="178"/>
      </rPr>
      <t xml:space="preserve">تناژ </t>
    </r>
    <r>
      <rPr>
        <b/>
        <sz val="16"/>
        <color theme="1"/>
        <rFont val="B Nazanin"/>
        <charset val="178"/>
      </rPr>
      <t>ترکیب فروش به تفکیک مراکز فروش</t>
    </r>
  </si>
  <si>
    <t>تناژ ترکیب بازار فروش</t>
  </si>
  <si>
    <t>تناژ ترکیب نحوه  بسته بندی</t>
  </si>
  <si>
    <t xml:space="preserve"> نسبت  اختلاط مواد اولیه</t>
  </si>
  <si>
    <t>تولید اصفهان</t>
  </si>
  <si>
    <t>نوع محصول</t>
  </si>
  <si>
    <t>وکیوم باتوم اصفهان</t>
  </si>
  <si>
    <t>نفت سفيد</t>
  </si>
  <si>
    <t>امولسيفاير</t>
  </si>
  <si>
    <t>85/100</t>
  </si>
  <si>
    <t xml:space="preserve">vg30 </t>
  </si>
  <si>
    <t xml:space="preserve">vg40 </t>
  </si>
  <si>
    <t xml:space="preserve">vg10 </t>
  </si>
  <si>
    <t>وکیوم بندر</t>
  </si>
  <si>
    <t>slops</t>
  </si>
  <si>
    <t>وکیوم آبادان</t>
  </si>
  <si>
    <t>وکیوم شیراز</t>
  </si>
  <si>
    <t>وکیوم تهران</t>
  </si>
  <si>
    <t>وکیوم اراک</t>
  </si>
  <si>
    <t>وکیوم تبریز</t>
  </si>
  <si>
    <t>تار ایرانول</t>
  </si>
  <si>
    <t>60/70</t>
  </si>
  <si>
    <t>VG30</t>
  </si>
  <si>
    <t>وکیوم بندر/تار</t>
  </si>
  <si>
    <t>سلاپس/ وکیوم</t>
  </si>
  <si>
    <t>VG40</t>
  </si>
  <si>
    <t>وکیوم بندربا سلاپس</t>
  </si>
  <si>
    <t>وکیوم بندر با سایر وکیومها</t>
  </si>
  <si>
    <t>تار با وکیوم سایر پالایشگا ها</t>
  </si>
  <si>
    <t>از طریق سلاپس</t>
  </si>
  <si>
    <t>از طریق سایر پالایشگاه ها</t>
  </si>
  <si>
    <t>از طریق تار</t>
  </si>
  <si>
    <t>تمامی محصولات بندربعاس</t>
  </si>
  <si>
    <t xml:space="preserve">مجموع  تولید  سال1401 </t>
  </si>
  <si>
    <t>تولید اسکله شهید رجایی:</t>
  </si>
  <si>
    <t>جمع تولید  اسکله شهید رجایی:</t>
  </si>
  <si>
    <t>تولید پلنت منطقه ویژه:</t>
  </si>
  <si>
    <t>جمع تولید پلنت منطقه ویژه:</t>
  </si>
  <si>
    <t>مجموع مواد اولیه مورد نیاز تولید اسکله شهید رجایی:</t>
  </si>
  <si>
    <t>مجموع مواد اولیه مورد نیاز تولید پلنت منطقه ویژه:</t>
  </si>
  <si>
    <t>مجموع مواد اولیه مورد نیاز تولید اصفهان:</t>
  </si>
  <si>
    <t>جمع تولید  بندرعباس:</t>
  </si>
  <si>
    <t>مجموع تولید  اصفهان:</t>
  </si>
  <si>
    <t>مجموع مواد اولیه مورد نیاز:</t>
  </si>
  <si>
    <t>وکیوم</t>
  </si>
  <si>
    <t>کل مواد اولیه مورد نیاز</t>
  </si>
  <si>
    <t>وکیوم باتوم  اصفهان</t>
  </si>
  <si>
    <t>جمع فروش تهاتری:</t>
  </si>
  <si>
    <t>جمع فروش غیر تهاتری:</t>
  </si>
  <si>
    <t>سایت اصفهان</t>
  </si>
  <si>
    <t>سایت بندرعباس</t>
  </si>
  <si>
    <t>خرید وکیوم از پالایشگاه بندرعباس/سایر پالایشگاه ها</t>
  </si>
  <si>
    <t>فله بندرعباس</t>
  </si>
  <si>
    <t>قیر</t>
  </si>
  <si>
    <t xml:space="preserve">هزینه خط لوله  پلنت </t>
  </si>
  <si>
    <t>پایدار کننده</t>
  </si>
  <si>
    <t xml:space="preserve"> سال 1402</t>
  </si>
  <si>
    <t>مقدار برداشت شرکت های تابعه</t>
  </si>
  <si>
    <t>جمع مقدار فروش سال 1402</t>
  </si>
  <si>
    <t>(MC)قیر محلول</t>
  </si>
  <si>
    <t>قیر محلول (MC)</t>
  </si>
  <si>
    <t xml:space="preserve"> وکیوم پالایشگاه بندرعباس/سایر پالایشگاه ها</t>
  </si>
  <si>
    <t xml:space="preserve"> وکیوم باتوم ( اصفهان)</t>
  </si>
  <si>
    <t>سایت چابهار</t>
  </si>
  <si>
    <t>فله چابهار</t>
  </si>
  <si>
    <t>جمع چابهار:</t>
  </si>
  <si>
    <t xml:space="preserve"> پ-  چابهار</t>
  </si>
  <si>
    <t>مواد اولیه چابهار</t>
  </si>
  <si>
    <t>مجموع مواد اولیه مورد نیاز چابهار:</t>
  </si>
  <si>
    <t>چابهار</t>
  </si>
  <si>
    <t xml:space="preserve"> انبار به انبار از اصفهان به بندرعباس/چابهار</t>
  </si>
  <si>
    <t>نرخ هزینه حمل پرداختی بابت حمل هر تن قیر فله از اصفهان به چابهار</t>
  </si>
  <si>
    <t>انبار به انبار از سایت اصفهان به سایت های بندرعباس/ چابهار</t>
  </si>
  <si>
    <t xml:space="preserve"> انبار به انبار از سایت اصفهان به سایت های بندرعباس/ چابهار</t>
  </si>
  <si>
    <t xml:space="preserve">برنامه توليد و  فروش سال 1403  شرکت پالایش نفت جی </t>
  </si>
  <si>
    <t>نرخ فروش ضایعات سال 1403 شرکت پالایش نفت جی</t>
  </si>
  <si>
    <t>نرخ خوراک و حمل سال 1403 شرکت پالایش نفت جی</t>
  </si>
  <si>
    <t xml:space="preserve">برنامه  فروش سال 1403  شرکت پالایش نفت جی </t>
  </si>
  <si>
    <t>کل تولید 1403:</t>
  </si>
  <si>
    <t>نرخ خرید هر تن وکیوم باتوم شیراز</t>
  </si>
  <si>
    <t>نرخ خرید هر تن وکیوم باتوم آبادان</t>
  </si>
  <si>
    <t>نرخ خرید هر تن وکیوم باتوم تهران</t>
  </si>
  <si>
    <t>نرخ خرید هر تن وکیوم باتوم شازند</t>
  </si>
  <si>
    <t>نرخ هزینه حمل پرداختی بابت حمل هر تن قیر فله از شیراز به بندرعباس</t>
  </si>
  <si>
    <t>نرخ هزینه حمل پرداختی بابت حمل هر تن قیر فله از آبادان به بندرعباس</t>
  </si>
  <si>
    <t>نرخ هزینه حمل پرداختی بابت حمل هر تن قیر فله از تهران به بندرعباس</t>
  </si>
  <si>
    <t>نرخ هزینه حمل پرداختی بابت حمل هر تن قیر فله از اراک به بندرعباس</t>
  </si>
  <si>
    <t>برنامه تولید  سال 1403 شرکت پالایش نفت جی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</si>
</sst>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8" formatCode="&quot;$&quot;#,##0.00_);[Red]\(&quot;$&quot;#,##0.00\)"/>
    <numFmt numFmtId="43" formatCode="_(* #,##0.00_);_(* \(#,##0.00\);_(* &quot;-&quot;??_);_(@_)"/>
    <numFmt numFmtId="164" formatCode="_-* #,##0_-;_-* #,##0\-;_-* &quot;-&quot;_-;_-@_-"/>
    <numFmt numFmtId="165" formatCode="_-* #,##0.00_-;_-* #,##0.00\-;_-* &quot;-&quot;??_-;_-@_-"/>
    <numFmt numFmtId="166" formatCode="_(* #,##0_);_(* \(#,##0\);_(* &quot;-&quot;??_);_(@_)"/>
    <numFmt numFmtId="167" formatCode="#,##0_-;[Black]\(#,##0\)"/>
    <numFmt numFmtId="168" formatCode="_-* #,##0.00_-;\-* #,##0.00_-;_-* &quot;-&quot;??_-;_-@_-"/>
    <numFmt numFmtId="169" formatCode="#,##0_-;[Red]\(#,##0\)"/>
    <numFmt numFmtId="170" formatCode="[$-409]dd\-mmm\-yy;@"/>
    <numFmt numFmtId="171" formatCode="_-* #,##0_-;_-* #,##0\-;_-* &quot;-&quot;??_-;_-@_-"/>
    <numFmt numFmtId="172" formatCode="General_)"/>
    <numFmt numFmtId="173" formatCode="_-* #,##0.00\ &quot;€&quot;_-;\-* #,##0.00\ &quot;€&quot;_-;_-* &quot;-&quot;??\ &quot;€&quot;_-;_-@_-"/>
    <numFmt numFmtId="174" formatCode="0.0%"/>
    <numFmt numFmtId="175" formatCode="_-* #,##0.00_ر_ي_ا_ل_-;_-* #,##0.00_ر_ي_ا_ل\-;_-* &quot;-&quot;??_ر_ي_ا_ل_-;_-@_-"/>
    <numFmt numFmtId="176" formatCode="#,##0_ ;\-#,##0\ "/>
    <numFmt numFmtId="177" formatCode="_(* #,##0.000000000_);_(* \(#,##0.000000000\);_(* &quot;-&quot;??_);_(@_)"/>
    <numFmt numFmtId="178" formatCode="_(* #,##0.0000_);_(* \(#,##0.0000\);_(* &quot;-&quot;??_);_(@_)"/>
    <numFmt numFmtId="179" formatCode="#,##0.0_ ;\-#,##0.0\ "/>
    <numFmt numFmtId="180" formatCode="#,##0.00_ ;\-#,##0.00\ "/>
    <numFmt numFmtId="181" formatCode="_-* #,##0.0000_-;_-* #,##0.0000\-;_-* &quot;-&quot;??_-;_-@_-"/>
  </numFmts>
  <fonts count="13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B Nazanin"/>
      <charset val="178"/>
    </font>
    <font>
      <sz val="11"/>
      <color theme="1"/>
      <name val="B Nazanin"/>
      <charset val="178"/>
    </font>
    <font>
      <b/>
      <sz val="14"/>
      <color theme="1"/>
      <name val="B Nazanin"/>
      <charset val="178"/>
    </font>
    <font>
      <b/>
      <sz val="11"/>
      <color theme="1"/>
      <name val="B Nazanin"/>
      <charset val="178"/>
    </font>
    <font>
      <b/>
      <sz val="14"/>
      <color indexed="8"/>
      <name val="B Nazanin"/>
      <charset val="178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4"/>
      <name val="B Nazanin"/>
      <charset val="178"/>
    </font>
    <font>
      <b/>
      <sz val="12"/>
      <name val="B Nazanin"/>
      <charset val="178"/>
    </font>
    <font>
      <b/>
      <i/>
      <sz val="10"/>
      <name val="Arial"/>
      <family val="2"/>
    </font>
    <font>
      <sz val="11"/>
      <color theme="1"/>
      <name val="Calibri"/>
      <family val="2"/>
      <charset val="178"/>
      <scheme val="minor"/>
    </font>
    <font>
      <b/>
      <sz val="14"/>
      <name val="Arial"/>
      <family val="2"/>
    </font>
    <font>
      <b/>
      <sz val="13"/>
      <color indexed="8"/>
      <name val="B Nazanin"/>
      <charset val="178"/>
    </font>
    <font>
      <sz val="14"/>
      <color theme="1"/>
      <name val="B Nazanin"/>
      <charset val="178"/>
    </font>
    <font>
      <sz val="10"/>
      <name val="Arabic Transparent"/>
      <charset val="178"/>
    </font>
    <font>
      <sz val="11"/>
      <color indexed="8"/>
      <name val="Calibri"/>
      <family val="2"/>
      <charset val="178"/>
    </font>
    <font>
      <sz val="11"/>
      <color indexed="9"/>
      <name val="Calibri"/>
      <family val="2"/>
      <charset val="178"/>
    </font>
    <font>
      <sz val="11"/>
      <color indexed="8"/>
      <name val="Arial"/>
      <family val="2"/>
      <charset val="178"/>
    </font>
    <font>
      <sz val="11"/>
      <color indexed="9"/>
      <name val="Arial"/>
      <family val="2"/>
      <charset val="178"/>
    </font>
    <font>
      <sz val="11"/>
      <color indexed="20"/>
      <name val="Calibri"/>
      <family val="2"/>
      <charset val="178"/>
    </font>
    <font>
      <b/>
      <sz val="11"/>
      <color indexed="52"/>
      <name val="Calibri"/>
      <family val="2"/>
      <charset val="178"/>
    </font>
    <font>
      <b/>
      <sz val="11"/>
      <color indexed="9"/>
      <name val="Calibri"/>
      <family val="2"/>
      <charset val="178"/>
    </font>
    <font>
      <sz val="9"/>
      <color indexed="8"/>
      <name val="Koodak"/>
      <charset val="178"/>
    </font>
    <font>
      <sz val="11"/>
      <color theme="1"/>
      <name val="B Nazanin"/>
      <family val="2"/>
      <charset val="178"/>
    </font>
    <font>
      <sz val="8"/>
      <name val="Courier"/>
      <family val="3"/>
    </font>
    <font>
      <sz val="10"/>
      <name val="MS Sans Serif"/>
      <family val="2"/>
    </font>
    <font>
      <sz val="12"/>
      <name val="Arial"/>
      <family val="2"/>
    </font>
    <font>
      <b/>
      <sz val="11"/>
      <color indexed="8"/>
      <name val="Arial"/>
      <family val="2"/>
      <charset val="178"/>
    </font>
    <font>
      <i/>
      <sz val="11"/>
      <color indexed="23"/>
      <name val="Calibri"/>
      <family val="2"/>
      <charset val="178"/>
    </font>
    <font>
      <sz val="11"/>
      <color indexed="17"/>
      <name val="Calibri"/>
      <family val="2"/>
      <charset val="178"/>
    </font>
    <font>
      <b/>
      <sz val="15"/>
      <color indexed="56"/>
      <name val="Calibri"/>
      <family val="2"/>
      <charset val="178"/>
    </font>
    <font>
      <b/>
      <sz val="13"/>
      <color indexed="56"/>
      <name val="Calibri"/>
      <family val="2"/>
      <charset val="178"/>
    </font>
    <font>
      <b/>
      <sz val="11"/>
      <color indexed="56"/>
      <name val="Calibri"/>
      <family val="2"/>
      <charset val="178"/>
    </font>
    <font>
      <b/>
      <sz val="18"/>
      <name val="Arial"/>
      <family val="2"/>
    </font>
    <font>
      <b/>
      <sz val="12"/>
      <name val="Arial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  <charset val="178"/>
    </font>
    <font>
      <sz val="11"/>
      <color indexed="52"/>
      <name val="Calibri"/>
      <family val="2"/>
      <charset val="178"/>
    </font>
    <font>
      <sz val="11"/>
      <color indexed="60"/>
      <name val="Calibri"/>
      <family val="2"/>
      <charset val="178"/>
    </font>
    <font>
      <sz val="1"/>
      <color theme="3"/>
      <name val="Arial"/>
      <family val="2"/>
    </font>
    <font>
      <sz val="11"/>
      <color theme="1"/>
      <name val="B Zar"/>
      <family val="2"/>
      <charset val="178"/>
    </font>
    <font>
      <sz val="1"/>
      <color rgb="FF0000FF"/>
      <name val="Arial"/>
      <family val="2"/>
    </font>
    <font>
      <b/>
      <sz val="11"/>
      <color indexed="63"/>
      <name val="Calibri"/>
      <family val="2"/>
      <charset val="178"/>
    </font>
    <font>
      <b/>
      <sz val="18"/>
      <color indexed="62"/>
      <name val="Times New Roman"/>
      <family val="2"/>
      <charset val="178"/>
    </font>
    <font>
      <b/>
      <sz val="18"/>
      <color indexed="56"/>
      <name val="Cambria"/>
      <family val="2"/>
      <charset val="178"/>
    </font>
    <font>
      <b/>
      <sz val="11"/>
      <color indexed="8"/>
      <name val="Calibri"/>
      <family val="2"/>
      <charset val="178"/>
    </font>
    <font>
      <sz val="11"/>
      <color indexed="10"/>
      <name val="Calibri"/>
      <family val="2"/>
      <charset val="178"/>
    </font>
    <font>
      <sz val="10"/>
      <name val="Arial"/>
      <family val="2"/>
      <charset val="178"/>
    </font>
    <font>
      <sz val="10"/>
      <name val="ＭＳ ゴシック"/>
      <family val="3"/>
      <charset val="128"/>
    </font>
    <font>
      <sz val="12"/>
      <name val="Helv"/>
      <family val="2"/>
    </font>
    <font>
      <b/>
      <sz val="12"/>
      <color theme="1"/>
      <name val="B Nazanin"/>
      <charset val="178"/>
    </font>
    <font>
      <sz val="10"/>
      <name val="Helv"/>
    </font>
    <font>
      <sz val="11"/>
      <color indexed="8"/>
      <name val="Calibri"/>
      <family val="2"/>
    </font>
    <font>
      <b/>
      <sz val="10"/>
      <name val="B Nazanin"/>
      <charset val="178"/>
    </font>
    <font>
      <b/>
      <sz val="13"/>
      <color theme="1"/>
      <name val="B Nazanin"/>
      <charset val="178"/>
    </font>
    <font>
      <b/>
      <sz val="11"/>
      <color theme="1"/>
      <name val="Calibri"/>
      <family val="2"/>
      <scheme val="minor"/>
    </font>
    <font>
      <sz val="11"/>
      <color theme="1"/>
      <name val="B Lotus"/>
      <charset val="178"/>
    </font>
    <font>
      <b/>
      <sz val="22"/>
      <name val="B Nazanin"/>
      <charset val="178"/>
    </font>
    <font>
      <b/>
      <sz val="18"/>
      <color theme="1"/>
      <name val="B Nazanin"/>
      <charset val="178"/>
    </font>
    <font>
      <b/>
      <sz val="20"/>
      <color theme="1"/>
      <name val="B Nazanin"/>
      <charset val="178"/>
    </font>
    <font>
      <b/>
      <sz val="16"/>
      <color theme="1"/>
      <name val="B Nazanin"/>
      <charset val="178"/>
    </font>
    <font>
      <b/>
      <sz val="20"/>
      <name val="B Nazanin"/>
      <charset val="178"/>
    </font>
    <font>
      <b/>
      <sz val="16"/>
      <color rgb="FF0000CC"/>
      <name val="B Titr"/>
      <charset val="178"/>
    </font>
    <font>
      <b/>
      <sz val="12"/>
      <name val="B Titr"/>
      <charset val="178"/>
    </font>
    <font>
      <sz val="12"/>
      <color theme="1"/>
      <name val="B Titr"/>
      <charset val="178"/>
    </font>
    <font>
      <b/>
      <sz val="16"/>
      <name val="B Titr"/>
      <charset val="178"/>
    </font>
    <font>
      <b/>
      <sz val="18"/>
      <name val="B Titr"/>
      <charset val="178"/>
    </font>
    <font>
      <b/>
      <sz val="14"/>
      <name val="B Titr"/>
      <charset val="178"/>
    </font>
    <font>
      <b/>
      <sz val="12"/>
      <color rgb="FF0000CC"/>
      <name val="B Titr"/>
      <charset val="178"/>
    </font>
    <font>
      <b/>
      <sz val="11"/>
      <name val="B Titr"/>
      <charset val="178"/>
    </font>
    <font>
      <sz val="22"/>
      <name val="Arial"/>
      <family val="2"/>
    </font>
    <font>
      <b/>
      <sz val="26"/>
      <name val="B Titr"/>
      <charset val="178"/>
    </font>
    <font>
      <b/>
      <sz val="16"/>
      <name val="B Nazanin"/>
      <charset val="178"/>
    </font>
    <font>
      <b/>
      <sz val="24"/>
      <color theme="1"/>
      <name val="B Nazanin"/>
      <charset val="178"/>
    </font>
    <font>
      <b/>
      <sz val="22"/>
      <color theme="1"/>
      <name val="B Titr"/>
      <charset val="178"/>
    </font>
    <font>
      <b/>
      <sz val="22"/>
      <color theme="1"/>
      <name val="B Nazanin"/>
      <charset val="178"/>
    </font>
    <font>
      <b/>
      <sz val="22"/>
      <color rgb="FF0000CC"/>
      <name val="B Nazanin"/>
      <charset val="178"/>
    </font>
    <font>
      <b/>
      <sz val="11"/>
      <color theme="1"/>
      <name val="B Titr"/>
      <charset val="178"/>
    </font>
    <font>
      <b/>
      <sz val="20"/>
      <color theme="1"/>
      <name val="B Titr"/>
      <charset val="178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B Titr"/>
      <charset val="178"/>
    </font>
    <font>
      <sz val="22"/>
      <color theme="1"/>
      <name val="B Nazanin"/>
      <charset val="178"/>
    </font>
    <font>
      <sz val="16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rgb="FF0000CC"/>
      <name val="B Nazanin"/>
      <charset val="178"/>
    </font>
    <font>
      <b/>
      <sz val="24"/>
      <color theme="1"/>
      <name val="B Titr"/>
      <charset val="178"/>
    </font>
    <font>
      <b/>
      <sz val="14"/>
      <color theme="1"/>
      <name val="B Titr"/>
      <charset val="178"/>
    </font>
    <font>
      <sz val="20"/>
      <name val="B Titr"/>
      <charset val="178"/>
    </font>
    <font>
      <b/>
      <sz val="22"/>
      <name val="B Titr"/>
      <charset val="178"/>
    </font>
    <font>
      <sz val="11"/>
      <color rgb="FFFF0000"/>
      <name val="Calibri"/>
      <family val="2"/>
      <scheme val="minor"/>
    </font>
    <font>
      <sz val="16"/>
      <color theme="1"/>
      <name val="B Nazanin"/>
      <charset val="178"/>
    </font>
    <font>
      <b/>
      <sz val="24"/>
      <color rgb="FFFF0000"/>
      <name val="B Lotus"/>
      <charset val="178"/>
    </font>
    <font>
      <sz val="10"/>
      <color rgb="FFFF0000"/>
      <name val="Arial"/>
      <family val="2"/>
    </font>
    <font>
      <b/>
      <sz val="14"/>
      <color theme="1"/>
      <name val="B Lotus"/>
      <charset val="178"/>
    </font>
    <font>
      <b/>
      <sz val="16"/>
      <color rgb="FFFF0000"/>
      <name val="B Lotus"/>
      <charset val="178"/>
    </font>
    <font>
      <sz val="16"/>
      <color rgb="FFFF0000"/>
      <name val="B Lotus"/>
      <charset val="178"/>
    </font>
    <font>
      <sz val="11"/>
      <color rgb="FFFF0000"/>
      <name val="B Lotus"/>
      <charset val="178"/>
    </font>
    <font>
      <b/>
      <sz val="16"/>
      <color theme="1"/>
      <name val="B Lotus"/>
      <charset val="178"/>
    </font>
    <font>
      <b/>
      <sz val="16"/>
      <color rgb="FF0000CC"/>
      <name val="B Lotus"/>
      <charset val="178"/>
    </font>
    <font>
      <sz val="16"/>
      <color theme="1"/>
      <name val="B Lotus"/>
      <charset val="178"/>
    </font>
    <font>
      <b/>
      <sz val="18"/>
      <color rgb="FF0000CC"/>
      <name val="B Lotus"/>
      <charset val="178"/>
    </font>
    <font>
      <b/>
      <sz val="20"/>
      <color rgb="FF0000CC"/>
      <name val="B Lotus"/>
      <charset val="178"/>
    </font>
    <font>
      <sz val="14"/>
      <color theme="1"/>
      <name val="B Lotus"/>
      <charset val="178"/>
    </font>
    <font>
      <b/>
      <sz val="18"/>
      <color theme="1"/>
      <name val="B Titr"/>
      <charset val="178"/>
    </font>
    <font>
      <b/>
      <sz val="24"/>
      <color theme="0"/>
      <name val="B Nazanin"/>
      <charset val="178"/>
    </font>
    <font>
      <sz val="18"/>
      <color theme="0"/>
      <name val="Calibri"/>
      <family val="2"/>
      <scheme val="minor"/>
    </font>
    <font>
      <b/>
      <sz val="24"/>
      <color theme="1"/>
      <name val="B Lotus"/>
      <charset val="178"/>
    </font>
    <font>
      <sz val="16"/>
      <color theme="1"/>
      <name val="B Titr"/>
      <charset val="178"/>
    </font>
    <font>
      <b/>
      <sz val="28"/>
      <color theme="1"/>
      <name val="B Titr"/>
      <charset val="178"/>
    </font>
    <font>
      <b/>
      <sz val="36"/>
      <color theme="1"/>
      <name val="B Titr"/>
      <charset val="178"/>
    </font>
    <font>
      <b/>
      <sz val="28"/>
      <color theme="1"/>
      <name val="B Nazanin"/>
      <charset val="178"/>
    </font>
    <font>
      <b/>
      <sz val="20"/>
      <color theme="1"/>
      <name val="Calibri"/>
      <family val="2"/>
      <scheme val="minor"/>
    </font>
    <font>
      <b/>
      <sz val="36"/>
      <name val="B Titr"/>
      <charset val="178"/>
    </font>
    <font>
      <sz val="36"/>
      <color theme="1"/>
      <name val="Calibri"/>
      <family val="2"/>
      <scheme val="minor"/>
    </font>
    <font>
      <b/>
      <sz val="11"/>
      <name val="B Lotus"/>
      <charset val="178"/>
    </font>
    <font>
      <sz val="11"/>
      <name val="Calibri"/>
      <family val="2"/>
      <scheme val="minor"/>
    </font>
    <font>
      <sz val="16"/>
      <name val="B Nazanin"/>
      <charset val="178"/>
    </font>
    <font>
      <b/>
      <sz val="12"/>
      <color theme="1"/>
      <name val="B Titr"/>
      <charset val="178"/>
    </font>
    <font>
      <b/>
      <sz val="11"/>
      <color theme="1"/>
      <name val="B Lotus"/>
      <charset val="178"/>
    </font>
    <font>
      <b/>
      <sz val="12"/>
      <color theme="1"/>
      <name val="B Lotus"/>
      <charset val="178"/>
    </font>
  </fonts>
  <fills count="6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lightTrellis">
        <bgColor theme="6" tint="0.59999389629810485"/>
      </patternFill>
    </fill>
    <fill>
      <patternFill patternType="lightTrellis"/>
    </fill>
    <fill>
      <patternFill patternType="lightTrellis">
        <bgColor rgb="FFFFFF00"/>
      </patternFill>
    </fill>
    <fill>
      <patternFill patternType="lightTrellis">
        <bgColor theme="0"/>
      </patternFill>
    </fill>
    <fill>
      <patternFill patternType="lightTrellis">
        <bgColor theme="9" tint="0.39997558519241921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AF0F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1F1AD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253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7" fillId="3" borderId="0" applyNumberFormat="0" applyBorder="0" applyAlignment="0" applyProtection="0"/>
    <xf numFmtId="0" fontId="13" fillId="2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7" fillId="0" borderId="0"/>
    <xf numFmtId="0" fontId="18" fillId="0" borderId="0"/>
    <xf numFmtId="0" fontId="7" fillId="0" borderId="0"/>
    <xf numFmtId="9" fontId="18" fillId="0" borderId="0" applyFont="0" applyFill="0" applyBorder="0" applyAlignment="0" applyProtection="0"/>
    <xf numFmtId="0" fontId="19" fillId="6" borderId="4">
      <alignment vertical="center"/>
    </xf>
    <xf numFmtId="0" fontId="6" fillId="0" borderId="0"/>
    <xf numFmtId="165" fontId="7" fillId="0" borderId="0" applyFont="0" applyFill="0" applyBorder="0" applyAlignment="0" applyProtection="0"/>
    <xf numFmtId="0" fontId="22" fillId="0" borderId="0" applyNumberFormat="0">
      <alignment horizontal="right"/>
    </xf>
    <xf numFmtId="0" fontId="22" fillId="0" borderId="0" applyNumberFormat="0">
      <alignment horizontal="right"/>
    </xf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2" fillId="0" borderId="0" applyNumberFormat="0">
      <alignment horizontal="right"/>
    </xf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6" fillId="26" borderId="0" applyNumberFormat="0" applyBorder="0" applyAlignment="0" applyProtection="0"/>
    <xf numFmtId="0" fontId="25" fillId="24" borderId="0" applyNumberFormat="0" applyBorder="0" applyAlignment="0" applyProtection="0"/>
    <xf numFmtId="0" fontId="25" fillId="27" borderId="0" applyNumberFormat="0" applyBorder="0" applyAlignment="0" applyProtection="0"/>
    <xf numFmtId="0" fontId="26" fillId="25" borderId="0" applyNumberFormat="0" applyBorder="0" applyAlignment="0" applyProtection="0"/>
    <xf numFmtId="0" fontId="25" fillId="21" borderId="0" applyNumberFormat="0" applyBorder="0" applyAlignment="0" applyProtection="0"/>
    <xf numFmtId="0" fontId="25" fillId="25" borderId="0" applyNumberFormat="0" applyBorder="0" applyAlignment="0" applyProtection="0"/>
    <xf numFmtId="0" fontId="26" fillId="25" borderId="0" applyNumberFormat="0" applyBorder="0" applyAlignment="0" applyProtection="0"/>
    <xf numFmtId="0" fontId="25" fillId="28" borderId="0" applyNumberFormat="0" applyBorder="0" applyAlignment="0" applyProtection="0"/>
    <xf numFmtId="0" fontId="25" fillId="21" borderId="0" applyNumberFormat="0" applyBorder="0" applyAlignment="0" applyProtection="0"/>
    <xf numFmtId="0" fontId="26" fillId="22" borderId="0" applyNumberFormat="0" applyBorder="0" applyAlignment="0" applyProtection="0"/>
    <xf numFmtId="0" fontId="24" fillId="19" borderId="0" applyNumberFormat="0" applyBorder="0" applyAlignment="0" applyProtection="0"/>
    <xf numFmtId="0" fontId="25" fillId="24" borderId="0" applyNumberFormat="0" applyBorder="0" applyAlignment="0" applyProtection="0"/>
    <xf numFmtId="0" fontId="25" fillId="29" borderId="0" applyNumberFormat="0" applyBorder="0" applyAlignment="0" applyProtection="0"/>
    <xf numFmtId="0" fontId="26" fillId="29" borderId="0" applyNumberFormat="0" applyBorder="0" applyAlignment="0" applyProtection="0"/>
    <xf numFmtId="0" fontId="24" fillId="30" borderId="0" applyNumberFormat="0" applyBorder="0" applyAlignment="0" applyProtection="0"/>
    <xf numFmtId="0" fontId="27" fillId="31" borderId="0" applyNumberFormat="0" applyBorder="0" applyAlignment="0" applyProtection="0"/>
    <xf numFmtId="0" fontId="28" fillId="32" borderId="7" applyNumberFormat="0" applyAlignment="0" applyProtection="0"/>
    <xf numFmtId="0" fontId="29" fillId="33" borderId="8" applyNumberFormat="0" applyAlignment="0" applyProtection="0"/>
    <xf numFmtId="164" fontId="1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7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168" fontId="14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8" fontId="30" fillId="0" borderId="0" applyFont="0" applyFill="0" applyBorder="0" applyAlignment="0" applyProtection="0"/>
    <xf numFmtId="169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3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1" fontId="7" fillId="0" borderId="0" applyFont="0" applyFill="0" applyBorder="0" applyAlignment="0" applyProtection="0"/>
    <xf numFmtId="165" fontId="14" fillId="0" borderId="0" applyFont="0" applyFill="0" applyBorder="0" applyAlignment="0" applyProtection="0"/>
    <xf numFmtId="171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2" fontId="32" fillId="0" borderId="0" applyNumberFormat="0" applyBorder="0">
      <protection locked="0"/>
    </xf>
    <xf numFmtId="0" fontId="3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170" fontId="34" fillId="0" borderId="0" applyFill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5" fillId="36" borderId="0" applyNumberFormat="0" applyBorder="0" applyAlignment="0" applyProtection="0"/>
    <xf numFmtId="173" fontId="1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2" fontId="34" fillId="0" borderId="0" applyFill="0" applyBorder="0" applyAlignment="0" applyProtection="0"/>
    <xf numFmtId="0" fontId="37" fillId="9" borderId="0" applyNumberFormat="0" applyBorder="0" applyAlignment="0" applyProtection="0"/>
    <xf numFmtId="0" fontId="38" fillId="0" borderId="9" applyNumberFormat="0" applyFill="0" applyAlignment="0" applyProtection="0"/>
    <xf numFmtId="0" fontId="39" fillId="0" borderId="10" applyNumberFormat="0" applyFill="0" applyAlignment="0" applyProtection="0"/>
    <xf numFmtId="0" fontId="40" fillId="0" borderId="11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17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170" fontId="42" fillId="0" borderId="0" applyNumberForma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44" fillId="12" borderId="7" applyNumberFormat="0" applyAlignment="0" applyProtection="0"/>
    <xf numFmtId="0" fontId="45" fillId="0" borderId="12" applyNumberFormat="0" applyFill="0" applyAlignment="0" applyProtection="0"/>
    <xf numFmtId="0" fontId="22" fillId="0" borderId="0" applyNumberFormat="0">
      <alignment horizontal="right"/>
    </xf>
    <xf numFmtId="0" fontId="46" fillId="37" borderId="0" applyNumberFormat="0" applyBorder="0" applyAlignment="0" applyProtection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14" fillId="0" borderId="0"/>
    <xf numFmtId="17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70" fontId="14" fillId="0" borderId="0"/>
    <xf numFmtId="0" fontId="14" fillId="0" borderId="0"/>
    <xf numFmtId="170" fontId="14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31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14" fillId="0" borderId="0"/>
    <xf numFmtId="17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170" fontId="5" fillId="0" borderId="0"/>
    <xf numFmtId="170" fontId="5" fillId="0" borderId="0"/>
    <xf numFmtId="0" fontId="5" fillId="0" borderId="0"/>
    <xf numFmtId="17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0" fontId="5" fillId="0" borderId="0"/>
    <xf numFmtId="0" fontId="7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9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3" fillId="38" borderId="13" applyNumberFormat="0" applyFont="0" applyAlignment="0" applyProtection="0"/>
    <xf numFmtId="0" fontId="22" fillId="0" borderId="0" applyNumberFormat="0">
      <alignment horizontal="right"/>
    </xf>
    <xf numFmtId="0" fontId="50" fillId="32" borderId="14" applyNumberFormat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2" fillId="0" borderId="0" applyNumberFormat="0">
      <alignment horizontal="right"/>
    </xf>
    <xf numFmtId="0" fontId="51" fillId="0" borderId="0" applyNumberFormat="0" applyFill="0" applyBorder="0" applyAlignment="0" applyProtection="0"/>
    <xf numFmtId="0" fontId="22" fillId="0" borderId="0" applyNumberFormat="0">
      <alignment horizontal="right"/>
    </xf>
    <xf numFmtId="0" fontId="52" fillId="0" borderId="0" applyNumberFormat="0" applyFill="0" applyBorder="0" applyAlignment="0" applyProtection="0"/>
    <xf numFmtId="0" fontId="53" fillId="0" borderId="15" applyNumberFormat="0" applyFill="0" applyAlignment="0" applyProtection="0"/>
    <xf numFmtId="0" fontId="22" fillId="0" borderId="0" applyNumberFormat="0">
      <alignment horizontal="right"/>
    </xf>
    <xf numFmtId="0" fontId="22" fillId="0" borderId="0" applyNumberFormat="0">
      <alignment horizontal="right"/>
    </xf>
    <xf numFmtId="0" fontId="54" fillId="0" borderId="0" applyNumberFormat="0" applyFill="0" applyBorder="0" applyAlignment="0" applyProtection="0"/>
    <xf numFmtId="0" fontId="55" fillId="0" borderId="0"/>
    <xf numFmtId="0" fontId="14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/>
    <xf numFmtId="0" fontId="59" fillId="0" borderId="0"/>
    <xf numFmtId="0" fontId="60" fillId="0" borderId="0"/>
    <xf numFmtId="169" fontId="61" fillId="0" borderId="1" applyFill="0" applyBorder="0" applyProtection="0">
      <alignment horizontal="center" vertical="center"/>
    </xf>
    <xf numFmtId="0" fontId="7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0" fontId="3" fillId="0" borderId="0"/>
    <xf numFmtId="170" fontId="3" fillId="0" borderId="0"/>
    <xf numFmtId="0" fontId="3" fillId="0" borderId="0"/>
    <xf numFmtId="17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17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17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</cellStyleXfs>
  <cellXfs count="611">
    <xf numFmtId="0" fontId="0" fillId="0" borderId="0" xfId="0"/>
    <xf numFmtId="0" fontId="12" fillId="0" borderId="0" xfId="0" applyFont="1" applyAlignment="1">
      <alignment readingOrder="2"/>
    </xf>
    <xf numFmtId="3" fontId="14" fillId="0" borderId="0" xfId="3" applyNumberFormat="1" applyAlignment="1">
      <alignment vertical="center"/>
    </xf>
    <xf numFmtId="3" fontId="15" fillId="0" borderId="0" xfId="3" applyNumberFormat="1" applyFont="1" applyAlignment="1">
      <alignment vertical="center" readingOrder="2"/>
    </xf>
    <xf numFmtId="3" fontId="15" fillId="0" borderId="0" xfId="3" applyNumberFormat="1" applyFont="1" applyAlignment="1">
      <alignment horizontal="center" vertical="center" readingOrder="2"/>
    </xf>
    <xf numFmtId="0" fontId="11" fillId="0" borderId="1" xfId="3985" applyFont="1" applyBorder="1" applyAlignment="1">
      <alignment horizontal="center" vertical="center"/>
    </xf>
    <xf numFmtId="171" fontId="11" fillId="0" borderId="1" xfId="1" applyNumberFormat="1" applyFont="1" applyFill="1" applyBorder="1" applyAlignment="1">
      <alignment horizontal="center" vertical="center"/>
    </xf>
    <xf numFmtId="171" fontId="11" fillId="0" borderId="1" xfId="1" applyNumberFormat="1" applyFont="1" applyBorder="1" applyAlignment="1">
      <alignment horizontal="center" vertical="center" wrapText="1"/>
    </xf>
    <xf numFmtId="171" fontId="11" fillId="0" borderId="1" xfId="1" applyNumberFormat="1" applyFont="1" applyFill="1" applyBorder="1" applyAlignment="1">
      <alignment horizontal="center" vertical="center" wrapText="1"/>
    </xf>
    <xf numFmtId="166" fontId="11" fillId="0" borderId="1" xfId="1" applyNumberFormat="1" applyFont="1" applyFill="1" applyBorder="1" applyAlignment="1">
      <alignment horizontal="center" vertical="center"/>
    </xf>
    <xf numFmtId="0" fontId="11" fillId="39" borderId="1" xfId="3985" applyFont="1" applyFill="1" applyBorder="1" applyAlignment="1">
      <alignment horizontal="right" vertical="center"/>
    </xf>
    <xf numFmtId="175" fontId="11" fillId="39" borderId="1" xfId="3985" applyNumberFormat="1" applyFont="1" applyFill="1" applyBorder="1" applyAlignment="1">
      <alignment horizontal="right" vertical="center"/>
    </xf>
    <xf numFmtId="171" fontId="11" fillId="39" borderId="1" xfId="1" applyNumberFormat="1" applyFont="1" applyFill="1" applyBorder="1" applyAlignment="1">
      <alignment horizontal="center" vertical="center"/>
    </xf>
    <xf numFmtId="171" fontId="9" fillId="39" borderId="1" xfId="1" applyNumberFormat="1" applyFont="1" applyFill="1" applyBorder="1" applyAlignment="1">
      <alignment horizontal="center"/>
    </xf>
    <xf numFmtId="171" fontId="9" fillId="39" borderId="1" xfId="1" applyNumberFormat="1" applyFont="1" applyFill="1" applyBorder="1"/>
    <xf numFmtId="166" fontId="0" fillId="0" borderId="0" xfId="1" applyNumberFormat="1" applyFont="1"/>
    <xf numFmtId="0" fontId="9" fillId="0" borderId="1" xfId="3985" applyFont="1" applyBorder="1" applyAlignment="1">
      <alignment horizontal="right" vertical="center"/>
    </xf>
    <xf numFmtId="9" fontId="9" fillId="0" borderId="1" xfId="2" applyFont="1" applyBorder="1" applyAlignment="1">
      <alignment horizontal="right" vertical="center"/>
    </xf>
    <xf numFmtId="171" fontId="9" fillId="0" borderId="1" xfId="1" applyNumberFormat="1" applyFont="1" applyBorder="1" applyAlignment="1">
      <alignment horizontal="center" vertical="center"/>
    </xf>
    <xf numFmtId="171" fontId="9" fillId="0" borderId="1" xfId="1" applyNumberFormat="1" applyFont="1" applyBorder="1" applyAlignment="1">
      <alignment vertical="center"/>
    </xf>
    <xf numFmtId="166" fontId="0" fillId="0" borderId="0" xfId="0" applyNumberFormat="1"/>
    <xf numFmtId="0" fontId="9" fillId="0" borderId="5" xfId="3985" applyFont="1" applyBorder="1" applyAlignment="1">
      <alignment horizontal="right" vertical="center"/>
    </xf>
    <xf numFmtId="0" fontId="9" fillId="0" borderId="19" xfId="3985" applyFont="1" applyBorder="1" applyAlignment="1">
      <alignment horizontal="right" vertical="center"/>
    </xf>
    <xf numFmtId="9" fontId="9" fillId="0" borderId="19" xfId="2" applyFont="1" applyBorder="1" applyAlignment="1">
      <alignment horizontal="right" vertical="center"/>
    </xf>
    <xf numFmtId="171" fontId="9" fillId="0" borderId="19" xfId="1" applyNumberFormat="1" applyFont="1" applyBorder="1" applyAlignment="1">
      <alignment horizontal="center" vertical="center"/>
    </xf>
    <xf numFmtId="0" fontId="11" fillId="40" borderId="20" xfId="3985" applyFont="1" applyFill="1" applyBorder="1" applyAlignment="1">
      <alignment horizontal="center" vertical="center"/>
    </xf>
    <xf numFmtId="9" fontId="11" fillId="40" borderId="21" xfId="3985" applyNumberFormat="1" applyFont="1" applyFill="1" applyBorder="1" applyAlignment="1">
      <alignment horizontal="center" vertical="center"/>
    </xf>
    <xf numFmtId="171" fontId="11" fillId="40" borderId="22" xfId="1" applyNumberFormat="1" applyFont="1" applyFill="1" applyBorder="1" applyAlignment="1">
      <alignment horizontal="center" vertical="center"/>
    </xf>
    <xf numFmtId="171" fontId="11" fillId="40" borderId="23" xfId="1" applyNumberFormat="1" applyFont="1" applyFill="1" applyBorder="1" applyAlignment="1">
      <alignment horizontal="center" vertical="center"/>
    </xf>
    <xf numFmtId="171" fontId="11" fillId="40" borderId="23" xfId="1" applyNumberFormat="1" applyFont="1" applyFill="1" applyBorder="1" applyAlignment="1">
      <alignment vertical="center"/>
    </xf>
    <xf numFmtId="171" fontId="11" fillId="40" borderId="24" xfId="1" applyNumberFormat="1" applyFont="1" applyFill="1" applyBorder="1" applyAlignment="1">
      <alignment vertical="center"/>
    </xf>
    <xf numFmtId="0" fontId="11" fillId="39" borderId="6" xfId="3985" applyFont="1" applyFill="1" applyBorder="1" applyAlignment="1">
      <alignment horizontal="right" vertical="center"/>
    </xf>
    <xf numFmtId="171" fontId="11" fillId="39" borderId="6" xfId="1" applyNumberFormat="1" applyFont="1" applyFill="1" applyBorder="1" applyAlignment="1">
      <alignment horizontal="center" vertical="center"/>
    </xf>
    <xf numFmtId="171" fontId="9" fillId="39" borderId="6" xfId="1" applyNumberFormat="1" applyFont="1" applyFill="1" applyBorder="1" applyAlignment="1">
      <alignment horizontal="center" vertical="center"/>
    </xf>
    <xf numFmtId="171" fontId="9" fillId="39" borderId="6" xfId="1" applyNumberFormat="1" applyFont="1" applyFill="1" applyBorder="1" applyAlignment="1">
      <alignment vertical="center"/>
    </xf>
    <xf numFmtId="9" fontId="9" fillId="7" borderId="1" xfId="2" applyFont="1" applyFill="1" applyBorder="1" applyAlignment="1">
      <alignment horizontal="center" vertical="center"/>
    </xf>
    <xf numFmtId="171" fontId="11" fillId="7" borderId="1" xfId="1" applyNumberFormat="1" applyFont="1" applyFill="1" applyBorder="1" applyAlignment="1">
      <alignment horizontal="center" vertical="center"/>
    </xf>
    <xf numFmtId="0" fontId="9" fillId="7" borderId="5" xfId="3985" applyFont="1" applyFill="1" applyBorder="1" applyAlignment="1">
      <alignment horizontal="right" vertical="center"/>
    </xf>
    <xf numFmtId="171" fontId="9" fillId="7" borderId="1" xfId="1" applyNumberFormat="1" applyFont="1" applyFill="1" applyBorder="1" applyAlignment="1">
      <alignment horizontal="center" vertical="center"/>
    </xf>
    <xf numFmtId="171" fontId="9" fillId="7" borderId="1" xfId="1" applyNumberFormat="1" applyFont="1" applyFill="1" applyBorder="1" applyAlignment="1">
      <alignment vertical="center"/>
    </xf>
    <xf numFmtId="0" fontId="11" fillId="40" borderId="25" xfId="3985" applyFont="1" applyFill="1" applyBorder="1" applyAlignment="1">
      <alignment horizontal="center" vertical="center"/>
    </xf>
    <xf numFmtId="9" fontId="11" fillId="40" borderId="26" xfId="3985" applyNumberFormat="1" applyFont="1" applyFill="1" applyBorder="1" applyAlignment="1">
      <alignment horizontal="center" vertical="center"/>
    </xf>
    <xf numFmtId="171" fontId="11" fillId="40" borderId="19" xfId="1" applyNumberFormat="1" applyFont="1" applyFill="1" applyBorder="1" applyAlignment="1">
      <alignment horizontal="center" vertical="center"/>
    </xf>
    <xf numFmtId="171" fontId="11" fillId="40" borderId="19" xfId="1" applyNumberFormat="1" applyFont="1" applyFill="1" applyBorder="1" applyAlignment="1">
      <alignment vertical="center"/>
    </xf>
    <xf numFmtId="171" fontId="11" fillId="40" borderId="27" xfId="1" applyNumberFormat="1" applyFont="1" applyFill="1" applyBorder="1" applyAlignment="1">
      <alignment vertical="center"/>
    </xf>
    <xf numFmtId="171" fontId="58" fillId="41" borderId="23" xfId="1" applyNumberFormat="1" applyFont="1" applyFill="1" applyBorder="1" applyAlignment="1">
      <alignment horizontal="center" vertical="center"/>
    </xf>
    <xf numFmtId="171" fontId="58" fillId="41" borderId="23" xfId="1" applyNumberFormat="1" applyFont="1" applyFill="1" applyBorder="1" applyAlignment="1">
      <alignment vertical="center"/>
    </xf>
    <xf numFmtId="171" fontId="58" fillId="41" borderId="30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166" fontId="8" fillId="0" borderId="0" xfId="1" applyNumberFormat="1" applyFont="1" applyAlignment="1">
      <alignment vertical="center"/>
    </xf>
    <xf numFmtId="0" fontId="8" fillId="0" borderId="1" xfId="0" applyFont="1" applyBorder="1" applyAlignment="1">
      <alignment vertical="center"/>
    </xf>
    <xf numFmtId="166" fontId="8" fillId="0" borderId="0" xfId="1" applyNumberFormat="1" applyFont="1" applyBorder="1" applyAlignment="1">
      <alignment vertical="center"/>
    </xf>
    <xf numFmtId="166" fontId="8" fillId="0" borderId="1" xfId="1" applyNumberFormat="1" applyFont="1" applyBorder="1" applyAlignment="1">
      <alignment vertical="center"/>
    </xf>
    <xf numFmtId="171" fontId="9" fillId="0" borderId="1" xfId="1" applyNumberFormat="1" applyFont="1" applyFill="1" applyBorder="1" applyAlignment="1">
      <alignment vertical="center"/>
    </xf>
    <xf numFmtId="0" fontId="58" fillId="0" borderId="1" xfId="0" applyFont="1" applyBorder="1" applyAlignment="1">
      <alignment horizontal="center" vertical="center"/>
    </xf>
    <xf numFmtId="0" fontId="58" fillId="0" borderId="31" xfId="3985" applyFont="1" applyBorder="1" applyAlignment="1">
      <alignment horizontal="center" vertical="center"/>
    </xf>
    <xf numFmtId="0" fontId="58" fillId="0" borderId="32" xfId="3985" applyFont="1" applyBorder="1" applyAlignment="1">
      <alignment horizontal="center" vertical="center"/>
    </xf>
    <xf numFmtId="171" fontId="58" fillId="0" borderId="33" xfId="1" applyNumberFormat="1" applyFont="1" applyFill="1" applyBorder="1" applyAlignment="1">
      <alignment horizontal="center" vertical="center"/>
    </xf>
    <xf numFmtId="171" fontId="58" fillId="0" borderId="31" xfId="1" applyNumberFormat="1" applyFont="1" applyFill="1" applyBorder="1" applyAlignment="1">
      <alignment horizontal="center" vertical="center"/>
    </xf>
    <xf numFmtId="171" fontId="58" fillId="0" borderId="32" xfId="1" applyNumberFormat="1" applyFont="1" applyFill="1" applyBorder="1" applyAlignment="1">
      <alignment horizontal="center" vertical="center"/>
    </xf>
    <xf numFmtId="171" fontId="58" fillId="0" borderId="34" xfId="1" applyNumberFormat="1" applyFont="1" applyFill="1" applyBorder="1" applyAlignment="1">
      <alignment horizontal="center" vertical="center"/>
    </xf>
    <xf numFmtId="0" fontId="11" fillId="39" borderId="35" xfId="3985" applyFont="1" applyFill="1" applyBorder="1" applyAlignment="1">
      <alignment horizontal="center" vertical="center"/>
    </xf>
    <xf numFmtId="175" fontId="9" fillId="39" borderId="1" xfId="3985" applyNumberFormat="1" applyFont="1" applyFill="1" applyBorder="1" applyAlignment="1">
      <alignment horizontal="center" vertical="center"/>
    </xf>
    <xf numFmtId="176" fontId="62" fillId="39" borderId="36" xfId="1" applyNumberFormat="1" applyFont="1" applyFill="1" applyBorder="1" applyAlignment="1">
      <alignment horizontal="center" vertical="center"/>
    </xf>
    <xf numFmtId="171" fontId="11" fillId="39" borderId="35" xfId="1" applyNumberFormat="1" applyFont="1" applyFill="1" applyBorder="1" applyAlignment="1">
      <alignment horizontal="center" vertical="center"/>
    </xf>
    <xf numFmtId="3" fontId="11" fillId="39" borderId="1" xfId="1" applyNumberFormat="1" applyFont="1" applyFill="1" applyBorder="1" applyAlignment="1">
      <alignment horizontal="center" vertical="center"/>
    </xf>
    <xf numFmtId="3" fontId="11" fillId="39" borderId="3" xfId="1" applyNumberFormat="1" applyFont="1" applyFill="1" applyBorder="1" applyAlignment="1">
      <alignment horizontal="center" vertical="center"/>
    </xf>
    <xf numFmtId="0" fontId="9" fillId="0" borderId="35" xfId="3985" applyFont="1" applyBorder="1" applyAlignment="1">
      <alignment horizontal="center" vertical="center"/>
    </xf>
    <xf numFmtId="9" fontId="11" fillId="0" borderId="1" xfId="2" applyFont="1" applyBorder="1" applyAlignment="1">
      <alignment horizontal="center" vertical="center"/>
    </xf>
    <xf numFmtId="176" fontId="62" fillId="0" borderId="36" xfId="1" applyNumberFormat="1" applyFont="1" applyFill="1" applyBorder="1" applyAlignment="1">
      <alignment horizontal="center" vertical="center"/>
    </xf>
    <xf numFmtId="176" fontId="21" fillId="0" borderId="35" xfId="1" applyNumberFormat="1" applyFont="1" applyBorder="1" applyAlignment="1">
      <alignment horizontal="center" vertical="center"/>
    </xf>
    <xf numFmtId="176" fontId="21" fillId="0" borderId="1" xfId="1" applyNumberFormat="1" applyFont="1" applyBorder="1" applyAlignment="1">
      <alignment horizontal="center" vertical="center"/>
    </xf>
    <xf numFmtId="3" fontId="21" fillId="0" borderId="1" xfId="1" applyNumberFormat="1" applyFont="1" applyBorder="1" applyAlignment="1">
      <alignment horizontal="center" vertical="center"/>
    </xf>
    <xf numFmtId="3" fontId="21" fillId="0" borderId="3" xfId="1" applyNumberFormat="1" applyFont="1" applyBorder="1" applyAlignment="1">
      <alignment horizontal="center" vertical="center"/>
    </xf>
    <xf numFmtId="174" fontId="11" fillId="0" borderId="1" xfId="2" applyNumberFormat="1" applyFont="1" applyBorder="1" applyAlignment="1">
      <alignment horizontal="center" vertical="center"/>
    </xf>
    <xf numFmtId="0" fontId="9" fillId="0" borderId="37" xfId="3985" applyFont="1" applyBorder="1" applyAlignment="1">
      <alignment horizontal="center" vertical="center"/>
    </xf>
    <xf numFmtId="0" fontId="9" fillId="0" borderId="25" xfId="3985" applyFont="1" applyBorder="1" applyAlignment="1">
      <alignment horizontal="center" vertical="center"/>
    </xf>
    <xf numFmtId="174" fontId="11" fillId="0" borderId="19" xfId="2" applyNumberFormat="1" applyFont="1" applyBorder="1" applyAlignment="1">
      <alignment horizontal="center" vertical="center"/>
    </xf>
    <xf numFmtId="176" fontId="21" fillId="0" borderId="25" xfId="1" applyNumberFormat="1" applyFont="1" applyBorder="1" applyAlignment="1">
      <alignment horizontal="center" vertical="center"/>
    </xf>
    <xf numFmtId="176" fontId="21" fillId="0" borderId="19" xfId="1" applyNumberFormat="1" applyFont="1" applyBorder="1" applyAlignment="1">
      <alignment horizontal="center" vertical="center"/>
    </xf>
    <xf numFmtId="3" fontId="21" fillId="0" borderId="19" xfId="1" applyNumberFormat="1" applyFont="1" applyBorder="1" applyAlignment="1">
      <alignment horizontal="center" vertical="center"/>
    </xf>
    <xf numFmtId="3" fontId="21" fillId="0" borderId="26" xfId="1" applyNumberFormat="1" applyFont="1" applyBorder="1" applyAlignment="1">
      <alignment horizontal="center" vertical="center"/>
    </xf>
    <xf numFmtId="0" fontId="10" fillId="40" borderId="20" xfId="3985" applyFont="1" applyFill="1" applyBorder="1" applyAlignment="1">
      <alignment horizontal="center" vertical="center"/>
    </xf>
    <xf numFmtId="9" fontId="21" fillId="40" borderId="21" xfId="3985" applyNumberFormat="1" applyFont="1" applyFill="1" applyBorder="1" applyAlignment="1">
      <alignment horizontal="center" vertical="center"/>
    </xf>
    <xf numFmtId="176" fontId="10" fillId="40" borderId="38" xfId="1" applyNumberFormat="1" applyFont="1" applyFill="1" applyBorder="1" applyAlignment="1">
      <alignment horizontal="center" vertical="center"/>
    </xf>
    <xf numFmtId="171" fontId="10" fillId="40" borderId="20" xfId="1" applyNumberFormat="1" applyFont="1" applyFill="1" applyBorder="1" applyAlignment="1">
      <alignment horizontal="center" vertical="center"/>
    </xf>
    <xf numFmtId="171" fontId="10" fillId="40" borderId="23" xfId="1" applyNumberFormat="1" applyFont="1" applyFill="1" applyBorder="1" applyAlignment="1">
      <alignment horizontal="center" vertical="center"/>
    </xf>
    <xf numFmtId="3" fontId="10" fillId="40" borderId="22" xfId="1" applyNumberFormat="1" applyFont="1" applyFill="1" applyBorder="1" applyAlignment="1">
      <alignment horizontal="center" vertical="center"/>
    </xf>
    <xf numFmtId="3" fontId="10" fillId="40" borderId="21" xfId="1" applyNumberFormat="1" applyFont="1" applyFill="1" applyBorder="1" applyAlignment="1">
      <alignment horizontal="center" vertical="center"/>
    </xf>
    <xf numFmtId="0" fontId="11" fillId="39" borderId="39" xfId="3985" applyFont="1" applyFill="1" applyBorder="1" applyAlignment="1">
      <alignment horizontal="center" vertical="center"/>
    </xf>
    <xf numFmtId="0" fontId="9" fillId="39" borderId="6" xfId="3985" applyFont="1" applyFill="1" applyBorder="1" applyAlignment="1">
      <alignment horizontal="center" vertical="center"/>
    </xf>
    <xf numFmtId="176" fontId="62" fillId="39" borderId="40" xfId="1" applyNumberFormat="1" applyFont="1" applyFill="1" applyBorder="1" applyAlignment="1">
      <alignment horizontal="center" vertical="center"/>
    </xf>
    <xf numFmtId="171" fontId="11" fillId="39" borderId="39" xfId="1" applyNumberFormat="1" applyFont="1" applyFill="1" applyBorder="1" applyAlignment="1">
      <alignment horizontal="center" vertical="center"/>
    </xf>
    <xf numFmtId="3" fontId="11" fillId="39" borderId="6" xfId="1" applyNumberFormat="1" applyFont="1" applyFill="1" applyBorder="1" applyAlignment="1">
      <alignment horizontal="center" vertical="center"/>
    </xf>
    <xf numFmtId="3" fontId="11" fillId="39" borderId="17" xfId="1" applyNumberFormat="1" applyFont="1" applyFill="1" applyBorder="1" applyAlignment="1">
      <alignment horizontal="center" vertical="center"/>
    </xf>
    <xf numFmtId="9" fontId="58" fillId="0" borderId="1" xfId="2" applyFont="1" applyBorder="1" applyAlignment="1">
      <alignment horizontal="center" vertical="center"/>
    </xf>
    <xf numFmtId="0" fontId="9" fillId="7" borderId="37" xfId="3985" applyFont="1" applyFill="1" applyBorder="1" applyAlignment="1">
      <alignment horizontal="center" vertical="center"/>
    </xf>
    <xf numFmtId="176" fontId="21" fillId="7" borderId="35" xfId="1" applyNumberFormat="1" applyFont="1" applyFill="1" applyBorder="1" applyAlignment="1">
      <alignment horizontal="center" vertical="center"/>
    </xf>
    <xf numFmtId="176" fontId="21" fillId="7" borderId="1" xfId="1" applyNumberFormat="1" applyFont="1" applyFill="1" applyBorder="1" applyAlignment="1">
      <alignment horizontal="center" vertical="center"/>
    </xf>
    <xf numFmtId="3" fontId="21" fillId="7" borderId="1" xfId="1" applyNumberFormat="1" applyFont="1" applyFill="1" applyBorder="1" applyAlignment="1">
      <alignment horizontal="center" vertical="center"/>
    </xf>
    <xf numFmtId="3" fontId="21" fillId="7" borderId="3" xfId="1" applyNumberFormat="1" applyFont="1" applyFill="1" applyBorder="1" applyAlignment="1">
      <alignment horizontal="center" vertical="center"/>
    </xf>
    <xf numFmtId="0" fontId="58" fillId="40" borderId="25" xfId="3985" applyFont="1" applyFill="1" applyBorder="1" applyAlignment="1">
      <alignment horizontal="center" vertical="center"/>
    </xf>
    <xf numFmtId="9" fontId="8" fillId="40" borderId="1" xfId="2" applyFont="1" applyFill="1" applyBorder="1" applyAlignment="1">
      <alignment horizontal="center" vertical="center"/>
    </xf>
    <xf numFmtId="176" fontId="58" fillId="40" borderId="27" xfId="1" applyNumberFormat="1" applyFont="1" applyFill="1" applyBorder="1" applyAlignment="1">
      <alignment horizontal="center" vertical="center"/>
    </xf>
    <xf numFmtId="171" fontId="58" fillId="40" borderId="25" xfId="1" applyNumberFormat="1" applyFont="1" applyFill="1" applyBorder="1" applyAlignment="1">
      <alignment horizontal="center" vertical="center"/>
    </xf>
    <xf numFmtId="171" fontId="58" fillId="40" borderId="19" xfId="1" applyNumberFormat="1" applyFont="1" applyFill="1" applyBorder="1" applyAlignment="1">
      <alignment horizontal="center" vertical="center"/>
    </xf>
    <xf numFmtId="3" fontId="58" fillId="40" borderId="19" xfId="1" applyNumberFormat="1" applyFont="1" applyFill="1" applyBorder="1" applyAlignment="1">
      <alignment horizontal="center" vertical="center"/>
    </xf>
    <xf numFmtId="3" fontId="58" fillId="40" borderId="26" xfId="1" applyNumberFormat="1" applyFont="1" applyFill="1" applyBorder="1" applyAlignment="1">
      <alignment horizontal="center" vertical="center"/>
    </xf>
    <xf numFmtId="9" fontId="58" fillId="41" borderId="23" xfId="2" applyFont="1" applyFill="1" applyBorder="1" applyAlignment="1">
      <alignment horizontal="center" vertical="center"/>
    </xf>
    <xf numFmtId="176" fontId="58" fillId="41" borderId="24" xfId="1" applyNumberFormat="1" applyFont="1" applyFill="1" applyBorder="1" applyAlignment="1">
      <alignment horizontal="center" vertical="center"/>
    </xf>
    <xf numFmtId="171" fontId="58" fillId="41" borderId="41" xfId="1" applyNumberFormat="1" applyFont="1" applyFill="1" applyBorder="1" applyAlignment="1">
      <alignment vertical="center"/>
    </xf>
    <xf numFmtId="3" fontId="58" fillId="41" borderId="23" xfId="1" applyNumberFormat="1" applyFont="1" applyFill="1" applyBorder="1" applyAlignment="1">
      <alignment vertical="center"/>
    </xf>
    <xf numFmtId="3" fontId="58" fillId="41" borderId="23" xfId="1" applyNumberFormat="1" applyFont="1" applyFill="1" applyBorder="1" applyAlignment="1">
      <alignment horizontal="center" vertical="center"/>
    </xf>
    <xf numFmtId="3" fontId="58" fillId="41" borderId="29" xfId="1" applyNumberFormat="1" applyFont="1" applyFill="1" applyBorder="1" applyAlignment="1">
      <alignment horizontal="center" vertical="center"/>
    </xf>
    <xf numFmtId="171" fontId="11" fillId="42" borderId="1" xfId="1" applyNumberFormat="1" applyFont="1" applyFill="1" applyBorder="1" applyAlignment="1">
      <alignment horizontal="center" vertical="center"/>
    </xf>
    <xf numFmtId="171" fontId="9" fillId="43" borderId="1" xfId="1" applyNumberFormat="1" applyFont="1" applyFill="1" applyBorder="1" applyAlignment="1">
      <alignment horizontal="center" vertical="center"/>
    </xf>
    <xf numFmtId="171" fontId="9" fillId="43" borderId="19" xfId="1" applyNumberFormat="1" applyFont="1" applyFill="1" applyBorder="1" applyAlignment="1">
      <alignment horizontal="center" vertical="center"/>
    </xf>
    <xf numFmtId="171" fontId="11" fillId="44" borderId="22" xfId="1" applyNumberFormat="1" applyFont="1" applyFill="1" applyBorder="1" applyAlignment="1">
      <alignment horizontal="center" vertical="center"/>
    </xf>
    <xf numFmtId="171" fontId="11" fillId="42" borderId="6" xfId="1" applyNumberFormat="1" applyFont="1" applyFill="1" applyBorder="1" applyAlignment="1">
      <alignment horizontal="center" vertical="center"/>
    </xf>
    <xf numFmtId="171" fontId="9" fillId="45" borderId="1" xfId="1" applyNumberFormat="1" applyFont="1" applyFill="1" applyBorder="1" applyAlignment="1">
      <alignment horizontal="center" vertical="center"/>
    </xf>
    <xf numFmtId="171" fontId="11" fillId="44" borderId="19" xfId="1" applyNumberFormat="1" applyFont="1" applyFill="1" applyBorder="1" applyAlignment="1">
      <alignment horizontal="center" vertical="center"/>
    </xf>
    <xf numFmtId="171" fontId="58" fillId="46" borderId="23" xfId="1" applyNumberFormat="1" applyFont="1" applyFill="1" applyBorder="1" applyAlignment="1">
      <alignment horizontal="center" vertical="center"/>
    </xf>
    <xf numFmtId="166" fontId="8" fillId="43" borderId="1" xfId="1" applyNumberFormat="1" applyFont="1" applyFill="1" applyBorder="1" applyAlignment="1">
      <alignment vertical="center"/>
    </xf>
    <xf numFmtId="0" fontId="0" fillId="0" borderId="1" xfId="0" applyBorder="1"/>
    <xf numFmtId="166" fontId="11" fillId="0" borderId="1" xfId="1" applyNumberFormat="1" applyFont="1" applyFill="1" applyBorder="1" applyAlignment="1">
      <alignment horizontal="center" vertical="center" wrapText="1"/>
    </xf>
    <xf numFmtId="166" fontId="9" fillId="39" borderId="1" xfId="1" applyNumberFormat="1" applyFont="1" applyFill="1" applyBorder="1"/>
    <xf numFmtId="166" fontId="9" fillId="0" borderId="1" xfId="1" applyNumberFormat="1" applyFont="1" applyBorder="1" applyAlignment="1">
      <alignment vertical="center"/>
    </xf>
    <xf numFmtId="166" fontId="9" fillId="0" borderId="1" xfId="1" applyNumberFormat="1" applyFont="1" applyFill="1" applyBorder="1" applyAlignment="1">
      <alignment horizontal="center" vertical="center"/>
    </xf>
    <xf numFmtId="166" fontId="11" fillId="40" borderId="24" xfId="1" applyNumberFormat="1" applyFont="1" applyFill="1" applyBorder="1" applyAlignment="1">
      <alignment vertical="center"/>
    </xf>
    <xf numFmtId="166" fontId="9" fillId="39" borderId="6" xfId="1" applyNumberFormat="1" applyFont="1" applyFill="1" applyBorder="1" applyAlignment="1">
      <alignment vertical="center"/>
    </xf>
    <xf numFmtId="166" fontId="11" fillId="40" borderId="27" xfId="1" applyNumberFormat="1" applyFont="1" applyFill="1" applyBorder="1" applyAlignment="1">
      <alignment vertical="center"/>
    </xf>
    <xf numFmtId="166" fontId="58" fillId="41" borderId="30" xfId="1" applyNumberFormat="1" applyFont="1" applyFill="1" applyBorder="1" applyAlignment="1">
      <alignment vertical="center"/>
    </xf>
    <xf numFmtId="171" fontId="0" fillId="0" borderId="0" xfId="0" applyNumberFormat="1"/>
    <xf numFmtId="171" fontId="11" fillId="0" borderId="1" xfId="1" applyNumberFormat="1" applyFont="1" applyFill="1" applyBorder="1" applyAlignment="1">
      <alignment horizontal="center" vertical="justify"/>
    </xf>
    <xf numFmtId="0" fontId="58" fillId="41" borderId="28" xfId="3985" applyFont="1" applyFill="1" applyBorder="1" applyAlignment="1">
      <alignment horizontal="center" vertical="center"/>
    </xf>
    <xf numFmtId="43" fontId="0" fillId="0" borderId="0" xfId="1" applyFont="1"/>
    <xf numFmtId="165" fontId="0" fillId="0" borderId="0" xfId="0" applyNumberFormat="1"/>
    <xf numFmtId="176" fontId="0" fillId="0" borderId="0" xfId="0" applyNumberFormat="1"/>
    <xf numFmtId="166" fontId="58" fillId="0" borderId="42" xfId="1" applyNumberFormat="1" applyFont="1" applyFill="1" applyBorder="1" applyAlignment="1">
      <alignment horizontal="center" vertical="center"/>
    </xf>
    <xf numFmtId="165" fontId="63" fillId="0" borderId="0" xfId="0" applyNumberFormat="1" applyFont="1"/>
    <xf numFmtId="171" fontId="11" fillId="0" borderId="18" xfId="1" applyNumberFormat="1" applyFont="1" applyFill="1" applyBorder="1" applyAlignment="1">
      <alignment horizontal="center" vertical="center" wrapText="1"/>
    </xf>
    <xf numFmtId="178" fontId="11" fillId="40" borderId="18" xfId="1" applyNumberFormat="1" applyFont="1" applyFill="1" applyBorder="1" applyAlignment="1">
      <alignment horizontal="center" vertical="center"/>
    </xf>
    <xf numFmtId="178" fontId="0" fillId="0" borderId="0" xfId="1" applyNumberFormat="1" applyFont="1"/>
    <xf numFmtId="166" fontId="0" fillId="0" borderId="1" xfId="1" applyNumberFormat="1" applyFont="1" applyBorder="1"/>
    <xf numFmtId="171" fontId="11" fillId="0" borderId="2" xfId="1" applyNumberFormat="1" applyFont="1" applyFill="1" applyBorder="1" applyAlignment="1">
      <alignment horizontal="center" vertical="center"/>
    </xf>
    <xf numFmtId="0" fontId="11" fillId="40" borderId="1" xfId="3985" applyFont="1" applyFill="1" applyBorder="1" applyAlignment="1">
      <alignment horizontal="center" vertical="center"/>
    </xf>
    <xf numFmtId="9" fontId="11" fillId="40" borderId="1" xfId="3985" applyNumberFormat="1" applyFont="1" applyFill="1" applyBorder="1" applyAlignment="1">
      <alignment horizontal="center" vertical="center"/>
    </xf>
    <xf numFmtId="171" fontId="11" fillId="40" borderId="1" xfId="1" applyNumberFormat="1" applyFont="1" applyFill="1" applyBorder="1" applyAlignment="1">
      <alignment horizontal="center" vertical="center"/>
    </xf>
    <xf numFmtId="171" fontId="11" fillId="44" borderId="1" xfId="1" applyNumberFormat="1" applyFont="1" applyFill="1" applyBorder="1" applyAlignment="1">
      <alignment horizontal="center" vertical="center"/>
    </xf>
    <xf numFmtId="0" fontId="9" fillId="7" borderId="1" xfId="3985" applyFont="1" applyFill="1" applyBorder="1" applyAlignment="1">
      <alignment horizontal="right" vertical="center"/>
    </xf>
    <xf numFmtId="171" fontId="58" fillId="41" borderId="1" xfId="1" applyNumberFormat="1" applyFont="1" applyFill="1" applyBorder="1" applyAlignment="1">
      <alignment horizontal="center" vertical="center"/>
    </xf>
    <xf numFmtId="171" fontId="58" fillId="46" borderId="1" xfId="1" applyNumberFormat="1" applyFont="1" applyFill="1" applyBorder="1" applyAlignment="1">
      <alignment horizontal="center" vertical="center"/>
    </xf>
    <xf numFmtId="166" fontId="9" fillId="0" borderId="1" xfId="1" applyNumberFormat="1" applyFont="1" applyBorder="1" applyAlignment="1">
      <alignment horizontal="right" vertical="center"/>
    </xf>
    <xf numFmtId="166" fontId="11" fillId="40" borderId="1" xfId="1" applyNumberFormat="1" applyFont="1" applyFill="1" applyBorder="1" applyAlignment="1">
      <alignment horizontal="center" vertical="center"/>
    </xf>
    <xf numFmtId="166" fontId="11" fillId="39" borderId="1" xfId="1" applyNumberFormat="1" applyFont="1" applyFill="1" applyBorder="1" applyAlignment="1">
      <alignment horizontal="right" vertical="center"/>
    </xf>
    <xf numFmtId="166" fontId="9" fillId="7" borderId="1" xfId="1" applyNumberFormat="1" applyFont="1" applyFill="1" applyBorder="1" applyAlignment="1">
      <alignment horizontal="right" vertical="center"/>
    </xf>
    <xf numFmtId="166" fontId="58" fillId="41" borderId="1" xfId="1" applyNumberFormat="1" applyFont="1" applyFill="1" applyBorder="1" applyAlignment="1">
      <alignment horizontal="center" vertical="center"/>
    </xf>
    <xf numFmtId="0" fontId="20" fillId="0" borderId="0" xfId="0" applyFont="1" applyAlignment="1">
      <alignment readingOrder="2"/>
    </xf>
    <xf numFmtId="0" fontId="8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8" fillId="0" borderId="5" xfId="0" applyFont="1" applyBorder="1" applyAlignment="1">
      <alignment horizontal="center" vertical="center"/>
    </xf>
    <xf numFmtId="166" fontId="58" fillId="0" borderId="5" xfId="1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vertical="center"/>
    </xf>
    <xf numFmtId="166" fontId="8" fillId="0" borderId="32" xfId="1" applyNumberFormat="1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vertical="center"/>
    </xf>
    <xf numFmtId="166" fontId="8" fillId="0" borderId="19" xfId="1" applyNumberFormat="1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3" fontId="8" fillId="0" borderId="0" xfId="0" applyNumberFormat="1" applyFont="1" applyAlignment="1">
      <alignment vertical="center"/>
    </xf>
    <xf numFmtId="0" fontId="5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3" fontId="58" fillId="0" borderId="1" xfId="0" applyNumberFormat="1" applyFont="1" applyBorder="1" applyAlignment="1">
      <alignment horizontal="center" vertical="center"/>
    </xf>
    <xf numFmtId="3" fontId="8" fillId="0" borderId="1" xfId="0" applyNumberFormat="1" applyFont="1" applyBorder="1" applyAlignment="1">
      <alignment vertical="center"/>
    </xf>
    <xf numFmtId="3" fontId="8" fillId="0" borderId="46" xfId="0" applyNumberFormat="1" applyFont="1" applyBorder="1" applyAlignment="1">
      <alignment vertical="center"/>
    </xf>
    <xf numFmtId="174" fontId="68" fillId="0" borderId="0" xfId="5250" applyNumberFormat="1" applyFont="1" applyBorder="1" applyAlignment="1">
      <alignment horizontal="center" vertical="center"/>
    </xf>
    <xf numFmtId="0" fontId="69" fillId="49" borderId="32" xfId="1663" applyFont="1" applyFill="1" applyBorder="1" applyAlignment="1">
      <alignment horizontal="center" vertical="center" wrapText="1" readingOrder="2"/>
    </xf>
    <xf numFmtId="0" fontId="1" fillId="0" borderId="0" xfId="5251" applyAlignment="1">
      <alignment vertical="center"/>
    </xf>
    <xf numFmtId="171" fontId="66" fillId="51" borderId="19" xfId="5249" applyNumberFormat="1" applyFont="1" applyFill="1" applyBorder="1" applyAlignment="1">
      <alignment horizontal="center" vertical="center"/>
    </xf>
    <xf numFmtId="176" fontId="66" fillId="0" borderId="33" xfId="5249" applyNumberFormat="1" applyFont="1" applyBorder="1" applyAlignment="1">
      <alignment horizontal="center" vertical="center"/>
    </xf>
    <xf numFmtId="176" fontId="66" fillId="0" borderId="36" xfId="5249" applyNumberFormat="1" applyFont="1" applyBorder="1" applyAlignment="1">
      <alignment horizontal="center" vertical="center"/>
    </xf>
    <xf numFmtId="171" fontId="68" fillId="50" borderId="35" xfId="5249" applyNumberFormat="1" applyFont="1" applyFill="1" applyBorder="1" applyAlignment="1">
      <alignment horizontal="center" vertical="center"/>
    </xf>
    <xf numFmtId="171" fontId="68" fillId="51" borderId="25" xfId="5249" applyNumberFormat="1" applyFont="1" applyFill="1" applyBorder="1" applyAlignment="1">
      <alignment horizontal="center" vertical="center"/>
    </xf>
    <xf numFmtId="171" fontId="68" fillId="51" borderId="19" xfId="5249" applyNumberFormat="1" applyFont="1" applyFill="1" applyBorder="1" applyAlignment="1">
      <alignment horizontal="center" vertical="center"/>
    </xf>
    <xf numFmtId="0" fontId="69" fillId="49" borderId="32" xfId="1663" applyFont="1" applyFill="1" applyBorder="1" applyAlignment="1">
      <alignment horizontal="center" vertical="center" readingOrder="2"/>
    </xf>
    <xf numFmtId="0" fontId="66" fillId="0" borderId="0" xfId="5248" applyFont="1" applyAlignment="1">
      <alignment vertical="center"/>
    </xf>
    <xf numFmtId="171" fontId="68" fillId="50" borderId="35" xfId="5249" applyNumberFormat="1" applyFont="1" applyFill="1" applyBorder="1" applyAlignment="1">
      <alignment vertical="center"/>
    </xf>
    <xf numFmtId="3" fontId="72" fillId="0" borderId="47" xfId="5248" applyNumberFormat="1" applyFont="1" applyBorder="1" applyAlignment="1">
      <alignment horizontal="center" vertical="center"/>
    </xf>
    <xf numFmtId="3" fontId="74" fillId="0" borderId="0" xfId="1663" applyNumberFormat="1" applyFont="1" applyAlignment="1">
      <alignment vertical="center"/>
    </xf>
    <xf numFmtId="3" fontId="75" fillId="0" borderId="0" xfId="1663" applyNumberFormat="1" applyFont="1" applyAlignment="1">
      <alignment horizontal="center" vertical="center"/>
    </xf>
    <xf numFmtId="3" fontId="72" fillId="0" borderId="0" xfId="5248" applyNumberFormat="1" applyFont="1" applyAlignment="1">
      <alignment horizontal="center" vertical="center"/>
    </xf>
    <xf numFmtId="176" fontId="66" fillId="0" borderId="1" xfId="5249" applyNumberFormat="1" applyFont="1" applyBorder="1" applyAlignment="1">
      <alignment horizontal="center" vertical="center"/>
    </xf>
    <xf numFmtId="3" fontId="76" fillId="7" borderId="31" xfId="1663" applyNumberFormat="1" applyFont="1" applyFill="1" applyBorder="1" applyAlignment="1">
      <alignment horizontal="center" vertical="center"/>
    </xf>
    <xf numFmtId="3" fontId="77" fillId="0" borderId="0" xfId="3" applyNumberFormat="1" applyFont="1" applyAlignment="1">
      <alignment vertical="center"/>
    </xf>
    <xf numFmtId="3" fontId="78" fillId="0" borderId="0" xfId="3" applyNumberFormat="1" applyFont="1" applyAlignment="1">
      <alignment vertical="center"/>
    </xf>
    <xf numFmtId="3" fontId="65" fillId="0" borderId="0" xfId="3" applyNumberFormat="1" applyFont="1" applyAlignment="1">
      <alignment horizontal="center" vertical="center" readingOrder="2"/>
    </xf>
    <xf numFmtId="3" fontId="80" fillId="0" borderId="0" xfId="3" applyNumberFormat="1" applyFont="1" applyAlignment="1">
      <alignment horizontal="center" vertical="center" readingOrder="2"/>
    </xf>
    <xf numFmtId="171" fontId="67" fillId="0" borderId="51" xfId="1" applyNumberFormat="1" applyFont="1" applyFill="1" applyBorder="1" applyAlignment="1">
      <alignment horizontal="center" vertical="center"/>
    </xf>
    <xf numFmtId="171" fontId="81" fillId="0" borderId="52" xfId="1" applyNumberFormat="1" applyFont="1" applyBorder="1" applyAlignment="1">
      <alignment horizontal="center" vertical="center" wrapText="1"/>
    </xf>
    <xf numFmtId="0" fontId="83" fillId="0" borderId="1" xfId="3985" applyFont="1" applyBorder="1" applyAlignment="1">
      <alignment horizontal="right" vertical="center"/>
    </xf>
    <xf numFmtId="0" fontId="83" fillId="0" borderId="1" xfId="3985" applyFont="1" applyBorder="1" applyAlignment="1">
      <alignment horizontal="right" vertical="center" readingOrder="2"/>
    </xf>
    <xf numFmtId="3" fontId="83" fillId="52" borderId="36" xfId="1" applyNumberFormat="1" applyFont="1" applyFill="1" applyBorder="1" applyAlignment="1">
      <alignment horizontal="center" vertical="center"/>
    </xf>
    <xf numFmtId="176" fontId="84" fillId="0" borderId="33" xfId="1" applyNumberFormat="1" applyFont="1" applyFill="1" applyBorder="1" applyAlignment="1">
      <alignment horizontal="center" vertical="center"/>
    </xf>
    <xf numFmtId="0" fontId="84" fillId="0" borderId="35" xfId="3985" applyFont="1" applyBorder="1" applyAlignment="1">
      <alignment horizontal="right" vertical="center"/>
    </xf>
    <xf numFmtId="0" fontId="85" fillId="0" borderId="0" xfId="0" applyFont="1" applyAlignment="1">
      <alignment vertical="center"/>
    </xf>
    <xf numFmtId="3" fontId="83" fillId="0" borderId="36" xfId="1" applyNumberFormat="1" applyFont="1" applyFill="1" applyBorder="1" applyAlignment="1">
      <alignment horizontal="center" vertical="center"/>
    </xf>
    <xf numFmtId="0" fontId="87" fillId="0" borderId="0" xfId="0" applyFont="1"/>
    <xf numFmtId="1" fontId="88" fillId="0" borderId="0" xfId="2" applyNumberFormat="1" applyFont="1"/>
    <xf numFmtId="3" fontId="83" fillId="53" borderId="23" xfId="1" applyNumberFormat="1" applyFont="1" applyFill="1" applyBorder="1" applyAlignment="1">
      <alignment horizontal="center" vertical="center"/>
    </xf>
    <xf numFmtId="3" fontId="81" fillId="40" borderId="24" xfId="1" applyNumberFormat="1" applyFont="1" applyFill="1" applyBorder="1" applyAlignment="1">
      <alignment horizontal="center" vertical="center"/>
    </xf>
    <xf numFmtId="0" fontId="90" fillId="0" borderId="0" xfId="0" applyFont="1" applyAlignment="1">
      <alignment vertical="center"/>
    </xf>
    <xf numFmtId="171" fontId="90" fillId="0" borderId="0" xfId="0" applyNumberFormat="1" applyFont="1" applyAlignment="1">
      <alignment vertical="center"/>
    </xf>
    <xf numFmtId="171" fontId="91" fillId="0" borderId="0" xfId="0" applyNumberFormat="1" applyFont="1"/>
    <xf numFmtId="176" fontId="92" fillId="0" borderId="0" xfId="0" applyNumberFormat="1" applyFont="1"/>
    <xf numFmtId="166" fontId="68" fillId="0" borderId="0" xfId="1" applyNumberFormat="1" applyFont="1" applyFill="1" applyBorder="1" applyAlignment="1">
      <alignment horizontal="center" vertical="center"/>
    </xf>
    <xf numFmtId="3" fontId="93" fillId="0" borderId="0" xfId="0" applyNumberFormat="1" applyFont="1"/>
    <xf numFmtId="0" fontId="13" fillId="0" borderId="0" xfId="0" applyFont="1"/>
    <xf numFmtId="0" fontId="92" fillId="0" borderId="0" xfId="0" applyFont="1"/>
    <xf numFmtId="176" fontId="66" fillId="0" borderId="0" xfId="0" applyNumberFormat="1" applyFont="1" applyAlignment="1">
      <alignment horizontal="center" vertical="center"/>
    </xf>
    <xf numFmtId="3" fontId="83" fillId="0" borderId="33" xfId="1" applyNumberFormat="1" applyFont="1" applyFill="1" applyBorder="1" applyAlignment="1">
      <alignment horizontal="center" vertical="center"/>
    </xf>
    <xf numFmtId="0" fontId="89" fillId="0" borderId="18" xfId="0" applyFont="1" applyBorder="1" applyAlignment="1">
      <alignment vertical="center" wrapText="1"/>
    </xf>
    <xf numFmtId="0" fontId="89" fillId="0" borderId="0" xfId="0" applyFont="1" applyAlignment="1">
      <alignment vertical="center" wrapText="1"/>
    </xf>
    <xf numFmtId="3" fontId="83" fillId="40" borderId="24" xfId="1" applyNumberFormat="1" applyFont="1" applyFill="1" applyBorder="1" applyAlignment="1">
      <alignment horizontal="center" vertical="center"/>
    </xf>
    <xf numFmtId="3" fontId="83" fillId="0" borderId="56" xfId="1" applyNumberFormat="1" applyFont="1" applyFill="1" applyBorder="1" applyAlignment="1">
      <alignment horizontal="center" vertical="center"/>
    </xf>
    <xf numFmtId="0" fontId="82" fillId="54" borderId="41" xfId="0" applyFont="1" applyFill="1" applyBorder="1" applyAlignment="1">
      <alignment vertical="center"/>
    </xf>
    <xf numFmtId="0" fontId="84" fillId="0" borderId="37" xfId="3985" applyFont="1" applyBorder="1" applyAlignment="1">
      <alignment horizontal="right" vertical="center"/>
    </xf>
    <xf numFmtId="0" fontId="82" fillId="53" borderId="5" xfId="3985" applyFont="1" applyFill="1" applyBorder="1" applyAlignment="1">
      <alignment horizontal="right" vertical="center"/>
    </xf>
    <xf numFmtId="0" fontId="84" fillId="0" borderId="1" xfId="3985" applyFont="1" applyBorder="1" applyAlignment="1">
      <alignment horizontal="right" vertical="center"/>
    </xf>
    <xf numFmtId="0" fontId="84" fillId="0" borderId="5" xfId="3985" applyFont="1" applyBorder="1" applyAlignment="1">
      <alignment horizontal="right" vertical="center"/>
    </xf>
    <xf numFmtId="0" fontId="84" fillId="0" borderId="32" xfId="3985" applyFont="1" applyBorder="1" applyAlignment="1">
      <alignment horizontal="right" vertical="center"/>
    </xf>
    <xf numFmtId="176" fontId="84" fillId="0" borderId="36" xfId="1" applyNumberFormat="1" applyFont="1" applyFill="1" applyBorder="1" applyAlignment="1">
      <alignment horizontal="center" vertical="center"/>
    </xf>
    <xf numFmtId="176" fontId="84" fillId="0" borderId="56" xfId="1" applyNumberFormat="1" applyFont="1" applyFill="1" applyBorder="1" applyAlignment="1">
      <alignment horizontal="center" vertical="center"/>
    </xf>
    <xf numFmtId="0" fontId="82" fillId="54" borderId="41" xfId="0" applyFont="1" applyFill="1" applyBorder="1" applyAlignment="1">
      <alignment horizontal="right" vertical="center"/>
    </xf>
    <xf numFmtId="0" fontId="84" fillId="0" borderId="39" xfId="3985" applyFont="1" applyBorder="1" applyAlignment="1">
      <alignment horizontal="right" vertical="center"/>
    </xf>
    <xf numFmtId="3" fontId="83" fillId="0" borderId="40" xfId="1" applyNumberFormat="1" applyFont="1" applyFill="1" applyBorder="1" applyAlignment="1">
      <alignment horizontal="center" vertical="center"/>
    </xf>
    <xf numFmtId="0" fontId="83" fillId="0" borderId="31" xfId="3985" applyFont="1" applyBorder="1" applyAlignment="1">
      <alignment horizontal="right" vertical="center"/>
    </xf>
    <xf numFmtId="0" fontId="83" fillId="0" borderId="35" xfId="3985" applyFont="1" applyBorder="1" applyAlignment="1">
      <alignment horizontal="right" vertical="center" readingOrder="2"/>
    </xf>
    <xf numFmtId="0" fontId="82" fillId="53" borderId="25" xfId="3985" applyFont="1" applyFill="1" applyBorder="1" applyAlignment="1">
      <alignment horizontal="right" vertical="center"/>
    </xf>
    <xf numFmtId="3" fontId="0" fillId="0" borderId="0" xfId="0" applyNumberFormat="1"/>
    <xf numFmtId="0" fontId="10" fillId="0" borderId="1" xfId="0" applyFont="1" applyBorder="1" applyAlignment="1">
      <alignment vertical="center"/>
    </xf>
    <xf numFmtId="3" fontId="68" fillId="0" borderId="1" xfId="0" applyNumberFormat="1" applyFont="1" applyBorder="1" applyAlignment="1">
      <alignment horizontal="center" vertical="center"/>
    </xf>
    <xf numFmtId="3" fontId="70" fillId="7" borderId="0" xfId="1663" applyNumberFormat="1" applyFont="1" applyFill="1" applyAlignment="1">
      <alignment horizontal="center" vertical="center"/>
    </xf>
    <xf numFmtId="3" fontId="83" fillId="0" borderId="1" xfId="1" applyNumberFormat="1" applyFont="1" applyBorder="1" applyAlignment="1">
      <alignment horizontal="center" vertical="center"/>
    </xf>
    <xf numFmtId="3" fontId="83" fillId="0" borderId="1" xfId="68" applyNumberFormat="1" applyFont="1" applyBorder="1" applyAlignment="1">
      <alignment horizontal="center" vertical="center"/>
    </xf>
    <xf numFmtId="3" fontId="83" fillId="0" borderId="1" xfId="68" applyNumberFormat="1" applyFont="1" applyFill="1" applyBorder="1" applyAlignment="1">
      <alignment horizontal="center" vertical="center"/>
    </xf>
    <xf numFmtId="3" fontId="83" fillId="0" borderId="1" xfId="1" applyNumberFormat="1" applyFont="1" applyFill="1" applyBorder="1" applyAlignment="1">
      <alignment horizontal="center" vertical="center"/>
    </xf>
    <xf numFmtId="3" fontId="83" fillId="53" borderId="5" xfId="1" applyNumberFormat="1" applyFont="1" applyFill="1" applyBorder="1" applyAlignment="1">
      <alignment horizontal="center" vertical="center"/>
    </xf>
    <xf numFmtId="3" fontId="83" fillId="40" borderId="56" xfId="1" applyNumberFormat="1" applyFont="1" applyFill="1" applyBorder="1" applyAlignment="1">
      <alignment horizontal="center" vertical="center"/>
    </xf>
    <xf numFmtId="3" fontId="83" fillId="0" borderId="32" xfId="1" applyNumberFormat="1" applyFont="1" applyFill="1" applyBorder="1" applyAlignment="1">
      <alignment horizontal="center" vertical="center"/>
    </xf>
    <xf numFmtId="3" fontId="83" fillId="0" borderId="6" xfId="1" applyNumberFormat="1" applyFont="1" applyFill="1" applyBorder="1" applyAlignment="1">
      <alignment horizontal="center" vertical="center"/>
    </xf>
    <xf numFmtId="4" fontId="83" fillId="0" borderId="6" xfId="1" applyNumberFormat="1" applyFont="1" applyFill="1" applyBorder="1" applyAlignment="1">
      <alignment horizontal="center" vertical="center"/>
    </xf>
    <xf numFmtId="4" fontId="83" fillId="0" borderId="1" xfId="1" applyNumberFormat="1" applyFont="1" applyFill="1" applyBorder="1" applyAlignment="1">
      <alignment horizontal="center" vertical="center"/>
    </xf>
    <xf numFmtId="171" fontId="83" fillId="54" borderId="23" xfId="1" applyNumberFormat="1" applyFont="1" applyFill="1" applyBorder="1" applyAlignment="1">
      <alignment horizontal="center" vertical="center"/>
    </xf>
    <xf numFmtId="171" fontId="83" fillId="0" borderId="32" xfId="1" applyNumberFormat="1" applyFont="1" applyFill="1" applyBorder="1" applyAlignment="1">
      <alignment horizontal="center" vertical="center"/>
    </xf>
    <xf numFmtId="171" fontId="83" fillId="0" borderId="1" xfId="1" applyNumberFormat="1" applyFont="1" applyFill="1" applyBorder="1" applyAlignment="1">
      <alignment horizontal="center" vertical="center"/>
    </xf>
    <xf numFmtId="3" fontId="83" fillId="53" borderId="19" xfId="1" applyNumberFormat="1" applyFont="1" applyFill="1" applyBorder="1" applyAlignment="1">
      <alignment horizontal="center" vertical="center"/>
    </xf>
    <xf numFmtId="3" fontId="83" fillId="40" borderId="27" xfId="1" applyNumberFormat="1" applyFont="1" applyFill="1" applyBorder="1" applyAlignment="1">
      <alignment horizontal="center" vertical="center"/>
    </xf>
    <xf numFmtId="171" fontId="83" fillId="0" borderId="6" xfId="1" applyNumberFormat="1" applyFont="1" applyFill="1" applyBorder="1" applyAlignment="1">
      <alignment vertical="center"/>
    </xf>
    <xf numFmtId="171" fontId="83" fillId="0" borderId="5" xfId="1" applyNumberFormat="1" applyFont="1" applyFill="1" applyBorder="1" applyAlignment="1">
      <alignment vertical="center"/>
    </xf>
    <xf numFmtId="0" fontId="82" fillId="54" borderId="28" xfId="0" applyFont="1" applyFill="1" applyBorder="1" applyAlignment="1">
      <alignment horizontal="center" vertical="center"/>
    </xf>
    <xf numFmtId="0" fontId="94" fillId="56" borderId="31" xfId="3985" applyFont="1" applyFill="1" applyBorder="1" applyAlignment="1">
      <alignment horizontal="right" vertical="center"/>
    </xf>
    <xf numFmtId="176" fontId="81" fillId="0" borderId="32" xfId="0" applyNumberFormat="1" applyFont="1" applyBorder="1" applyAlignment="1">
      <alignment horizontal="center" vertical="center"/>
    </xf>
    <xf numFmtId="176" fontId="94" fillId="57" borderId="33" xfId="0" applyNumberFormat="1" applyFont="1" applyFill="1" applyBorder="1" applyAlignment="1">
      <alignment horizontal="center" vertical="center"/>
    </xf>
    <xf numFmtId="0" fontId="94" fillId="56" borderId="35" xfId="3985" applyFont="1" applyFill="1" applyBorder="1" applyAlignment="1">
      <alignment horizontal="right" vertical="center"/>
    </xf>
    <xf numFmtId="176" fontId="81" fillId="0" borderId="1" xfId="0" applyNumberFormat="1" applyFont="1" applyBorder="1" applyAlignment="1">
      <alignment horizontal="center" vertical="center"/>
    </xf>
    <xf numFmtId="176" fontId="94" fillId="57" borderId="40" xfId="1" applyNumberFormat="1" applyFont="1" applyFill="1" applyBorder="1" applyAlignment="1">
      <alignment horizontal="center" vertical="center"/>
    </xf>
    <xf numFmtId="0" fontId="94" fillId="56" borderId="37" xfId="3985" applyFont="1" applyFill="1" applyBorder="1" applyAlignment="1">
      <alignment horizontal="right" vertical="center"/>
    </xf>
    <xf numFmtId="176" fontId="81" fillId="0" borderId="5" xfId="0" applyNumberFormat="1" applyFont="1" applyBorder="1" applyAlignment="1">
      <alignment horizontal="center" vertical="center"/>
    </xf>
    <xf numFmtId="176" fontId="94" fillId="57" borderId="36" xfId="0" applyNumberFormat="1" applyFont="1" applyFill="1" applyBorder="1" applyAlignment="1">
      <alignment horizontal="center" vertical="center"/>
    </xf>
    <xf numFmtId="179" fontId="81" fillId="0" borderId="1" xfId="0" applyNumberFormat="1" applyFont="1" applyBorder="1" applyAlignment="1">
      <alignment horizontal="center" vertical="center"/>
    </xf>
    <xf numFmtId="176" fontId="94" fillId="57" borderId="56" xfId="0" applyNumberFormat="1" applyFont="1" applyFill="1" applyBorder="1" applyAlignment="1">
      <alignment horizontal="center" vertical="center"/>
    </xf>
    <xf numFmtId="0" fontId="95" fillId="54" borderId="41" xfId="0" applyFont="1" applyFill="1" applyBorder="1" applyAlignment="1">
      <alignment vertical="center"/>
    </xf>
    <xf numFmtId="171" fontId="81" fillId="54" borderId="23" xfId="1" applyNumberFormat="1" applyFont="1" applyFill="1" applyBorder="1" applyAlignment="1">
      <alignment horizontal="center" vertical="center"/>
    </xf>
    <xf numFmtId="176" fontId="66" fillId="0" borderId="32" xfId="5249" applyNumberFormat="1" applyFont="1" applyBorder="1" applyAlignment="1">
      <alignment horizontal="center" vertical="center"/>
    </xf>
    <xf numFmtId="43" fontId="0" fillId="0" borderId="0" xfId="0" applyNumberFormat="1"/>
    <xf numFmtId="9" fontId="66" fillId="51" borderId="27" xfId="2" applyFont="1" applyFill="1" applyBorder="1" applyAlignment="1">
      <alignment horizontal="center" vertical="center"/>
    </xf>
    <xf numFmtId="171" fontId="68" fillId="0" borderId="0" xfId="5249" applyNumberFormat="1" applyFont="1" applyFill="1" applyBorder="1" applyAlignment="1">
      <alignment vertical="center"/>
    </xf>
    <xf numFmtId="43" fontId="87" fillId="0" borderId="0" xfId="0" applyNumberFormat="1" applyFont="1"/>
    <xf numFmtId="180" fontId="84" fillId="0" borderId="36" xfId="1" applyNumberFormat="1" applyFont="1" applyFill="1" applyBorder="1" applyAlignment="1">
      <alignment horizontal="center" vertical="center"/>
    </xf>
    <xf numFmtId="3" fontId="102" fillId="0" borderId="0" xfId="3" applyNumberFormat="1" applyFont="1" applyAlignment="1">
      <alignment vertical="center"/>
    </xf>
    <xf numFmtId="0" fontId="99" fillId="0" borderId="0" xfId="0" applyFont="1"/>
    <xf numFmtId="0" fontId="105" fillId="0" borderId="1" xfId="0" applyFont="1" applyBorder="1" applyAlignment="1">
      <alignment horizontal="center" vertical="center"/>
    </xf>
    <xf numFmtId="9" fontId="104" fillId="0" borderId="1" xfId="2" applyFont="1" applyBorder="1" applyAlignment="1">
      <alignment horizontal="center" vertical="center" readingOrder="2"/>
    </xf>
    <xf numFmtId="0" fontId="106" fillId="0" borderId="1" xfId="0" applyFont="1" applyBorder="1" applyAlignment="1">
      <alignment horizontal="center"/>
    </xf>
    <xf numFmtId="0" fontId="104" fillId="0" borderId="1" xfId="3985" applyFont="1" applyBorder="1" applyAlignment="1">
      <alignment horizontal="center" vertical="center" wrapText="1" readingOrder="2"/>
    </xf>
    <xf numFmtId="0" fontId="105" fillId="0" borderId="1" xfId="3985" applyFont="1" applyBorder="1" applyAlignment="1">
      <alignment horizontal="center" vertical="center" wrapText="1"/>
    </xf>
    <xf numFmtId="10" fontId="104" fillId="0" borderId="1" xfId="2" applyNumberFormat="1" applyFont="1" applyBorder="1" applyAlignment="1">
      <alignment horizontal="center" vertical="center" readingOrder="2"/>
    </xf>
    <xf numFmtId="174" fontId="104" fillId="0" borderId="1" xfId="2" applyNumberFormat="1" applyFont="1" applyBorder="1" applyAlignment="1">
      <alignment horizontal="center" vertical="center" readingOrder="2"/>
    </xf>
    <xf numFmtId="0" fontId="107" fillId="0" borderId="1" xfId="3985" applyFont="1" applyBorder="1" applyAlignment="1">
      <alignment horizontal="center" vertical="center" wrapText="1" readingOrder="2"/>
    </xf>
    <xf numFmtId="9" fontId="108" fillId="0" borderId="1" xfId="2" applyFont="1" applyBorder="1" applyAlignment="1">
      <alignment horizontal="center" vertical="center" readingOrder="2"/>
    </xf>
    <xf numFmtId="0" fontId="64" fillId="0" borderId="1" xfId="0" applyFont="1" applyBorder="1" applyAlignment="1">
      <alignment horizontal="center"/>
    </xf>
    <xf numFmtId="0" fontId="107" fillId="0" borderId="1" xfId="3985" applyFont="1" applyBorder="1" applyAlignment="1">
      <alignment horizontal="center" vertical="center" readingOrder="2"/>
    </xf>
    <xf numFmtId="0" fontId="10" fillId="0" borderId="0" xfId="0" applyFont="1" applyAlignment="1">
      <alignment vertical="center" wrapText="1"/>
    </xf>
    <xf numFmtId="0" fontId="107" fillId="0" borderId="1" xfId="0" applyFont="1" applyBorder="1" applyAlignment="1">
      <alignment horizontal="center" vertical="center" wrapText="1"/>
    </xf>
    <xf numFmtId="9" fontId="109" fillId="0" borderId="1" xfId="2" applyFont="1" applyFill="1" applyBorder="1" applyAlignment="1">
      <alignment horizontal="center" vertical="center" readingOrder="2"/>
    </xf>
    <xf numFmtId="9" fontId="108" fillId="39" borderId="1" xfId="2" applyFont="1" applyFill="1" applyBorder="1" applyAlignment="1">
      <alignment horizontal="center" vertical="center" readingOrder="2"/>
    </xf>
    <xf numFmtId="0" fontId="0" fillId="39" borderId="0" xfId="0" applyFill="1"/>
    <xf numFmtId="9" fontId="108" fillId="39" borderId="5" xfId="2" applyFont="1" applyFill="1" applyBorder="1" applyAlignment="1">
      <alignment horizontal="center" vertical="center" readingOrder="2"/>
    </xf>
    <xf numFmtId="0" fontId="109" fillId="0" borderId="0" xfId="0" applyFont="1" applyAlignment="1">
      <alignment vertical="center"/>
    </xf>
    <xf numFmtId="9" fontId="108" fillId="0" borderId="0" xfId="2" applyFont="1" applyBorder="1" applyAlignment="1">
      <alignment horizontal="center" vertical="center" readingOrder="2"/>
    </xf>
    <xf numFmtId="9" fontId="108" fillId="40" borderId="6" xfId="2" applyFont="1" applyFill="1" applyBorder="1" applyAlignment="1">
      <alignment horizontal="center" vertical="center" readingOrder="2"/>
    </xf>
    <xf numFmtId="9" fontId="110" fillId="40" borderId="6" xfId="2" applyFont="1" applyFill="1" applyBorder="1" applyAlignment="1">
      <alignment horizontal="center" vertical="center" readingOrder="2"/>
    </xf>
    <xf numFmtId="0" fontId="0" fillId="40" borderId="0" xfId="0" applyFill="1"/>
    <xf numFmtId="9" fontId="108" fillId="40" borderId="1" xfId="2" applyFont="1" applyFill="1" applyBorder="1" applyAlignment="1">
      <alignment horizontal="center" vertical="center" readingOrder="2"/>
    </xf>
    <xf numFmtId="9" fontId="108" fillId="61" borderId="1" xfId="2" applyFont="1" applyFill="1" applyBorder="1" applyAlignment="1">
      <alignment horizontal="center" vertical="center" readingOrder="2"/>
    </xf>
    <xf numFmtId="9" fontId="110" fillId="61" borderId="1" xfId="2" applyFont="1" applyFill="1" applyBorder="1" applyAlignment="1">
      <alignment horizontal="center" vertical="center" readingOrder="2"/>
    </xf>
    <xf numFmtId="0" fontId="0" fillId="61" borderId="0" xfId="0" applyFill="1"/>
    <xf numFmtId="0" fontId="10" fillId="0" borderId="0" xfId="0" applyFont="1" applyAlignment="1">
      <alignment horizontal="center" vertical="center" wrapText="1"/>
    </xf>
    <xf numFmtId="0" fontId="93" fillId="0" borderId="0" xfId="0" applyFont="1" applyAlignment="1">
      <alignment horizontal="center"/>
    </xf>
    <xf numFmtId="0" fontId="109" fillId="0" borderId="1" xfId="3985" applyFont="1" applyBorder="1" applyAlignment="1">
      <alignment horizontal="center" vertical="center" wrapText="1"/>
    </xf>
    <xf numFmtId="0" fontId="109" fillId="0" borderId="0" xfId="3985" applyFont="1" applyAlignment="1">
      <alignment horizontal="center" vertical="center" wrapText="1"/>
    </xf>
    <xf numFmtId="171" fontId="66" fillId="0" borderId="0" xfId="1" applyNumberFormat="1" applyFont="1" applyFill="1" applyBorder="1" applyAlignment="1">
      <alignment horizontal="center" vertical="center"/>
    </xf>
    <xf numFmtId="9" fontId="108" fillId="62" borderId="3" xfId="2" applyFont="1" applyFill="1" applyBorder="1" applyAlignment="1">
      <alignment horizontal="center" vertical="center" readingOrder="2"/>
    </xf>
    <xf numFmtId="171" fontId="66" fillId="62" borderId="1" xfId="1" applyNumberFormat="1" applyFont="1" applyFill="1" applyBorder="1" applyAlignment="1">
      <alignment horizontal="center" vertical="center"/>
    </xf>
    <xf numFmtId="9" fontId="108" fillId="0" borderId="0" xfId="2" applyFont="1" applyFill="1" applyBorder="1" applyAlignment="1">
      <alignment horizontal="center" vertical="center" readingOrder="2"/>
    </xf>
    <xf numFmtId="9" fontId="111" fillId="0" borderId="0" xfId="2" applyFont="1" applyFill="1" applyBorder="1" applyAlignment="1">
      <alignment horizontal="center" vertical="center" readingOrder="2"/>
    </xf>
    <xf numFmtId="0" fontId="112" fillId="0" borderId="1" xfId="3985" applyFont="1" applyBorder="1" applyAlignment="1">
      <alignment horizontal="center" vertical="center" wrapText="1"/>
    </xf>
    <xf numFmtId="0" fontId="0" fillId="62" borderId="0" xfId="0" applyFill="1"/>
    <xf numFmtId="171" fontId="66" fillId="62" borderId="5" xfId="1" applyNumberFormat="1" applyFont="1" applyFill="1" applyBorder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91" fillId="0" borderId="0" xfId="0" applyFont="1"/>
    <xf numFmtId="9" fontId="110" fillId="0" borderId="0" xfId="2" applyFont="1" applyFill="1" applyBorder="1" applyAlignment="1">
      <alignment horizontal="center" vertical="center" readingOrder="2"/>
    </xf>
    <xf numFmtId="0" fontId="100" fillId="0" borderId="0" xfId="0" applyFont="1" applyAlignment="1">
      <alignment vertical="center"/>
    </xf>
    <xf numFmtId="0" fontId="100" fillId="0" borderId="0" xfId="0" applyFont="1" applyAlignment="1">
      <alignment horizontal="center" vertical="center"/>
    </xf>
    <xf numFmtId="0" fontId="84" fillId="56" borderId="32" xfId="3985" applyFont="1" applyFill="1" applyBorder="1" applyAlignment="1">
      <alignment horizontal="right" vertical="center"/>
    </xf>
    <xf numFmtId="166" fontId="94" fillId="0" borderId="0" xfId="1" applyNumberFormat="1" applyFont="1" applyBorder="1" applyAlignment="1">
      <alignment horizontal="center" vertical="center"/>
    </xf>
    <xf numFmtId="0" fontId="84" fillId="56" borderId="1" xfId="3985" applyFont="1" applyFill="1" applyBorder="1" applyAlignment="1">
      <alignment horizontal="right" vertical="center"/>
    </xf>
    <xf numFmtId="0" fontId="109" fillId="0" borderId="1" xfId="0" applyFont="1" applyBorder="1" applyAlignment="1">
      <alignment horizontal="center" vertical="center"/>
    </xf>
    <xf numFmtId="10" fontId="108" fillId="0" borderId="1" xfId="2" applyNumberFormat="1" applyFont="1" applyBorder="1" applyAlignment="1">
      <alignment horizontal="center" vertical="center" readingOrder="2"/>
    </xf>
    <xf numFmtId="174" fontId="108" fillId="0" borderId="1" xfId="2" applyNumberFormat="1" applyFont="1" applyBorder="1" applyAlignment="1">
      <alignment horizontal="center" vertical="center" readingOrder="2"/>
    </xf>
    <xf numFmtId="0" fontId="117" fillId="55" borderId="0" xfId="0" applyFont="1" applyFill="1" applyAlignment="1">
      <alignment vertical="center"/>
    </xf>
    <xf numFmtId="0" fontId="81" fillId="7" borderId="1" xfId="3985" applyFont="1" applyFill="1" applyBorder="1" applyAlignment="1">
      <alignment horizontal="right" vertical="center"/>
    </xf>
    <xf numFmtId="0" fontId="83" fillId="0" borderId="0" xfId="3985" applyFont="1" applyAlignment="1">
      <alignment vertical="center"/>
    </xf>
    <xf numFmtId="0" fontId="82" fillId="54" borderId="19" xfId="0" applyFont="1" applyFill="1" applyBorder="1" applyAlignment="1">
      <alignment horizontal="right" vertical="center"/>
    </xf>
    <xf numFmtId="0" fontId="82" fillId="47" borderId="1" xfId="3985" applyFont="1" applyFill="1" applyBorder="1" applyAlignment="1">
      <alignment horizontal="right" vertical="center"/>
    </xf>
    <xf numFmtId="0" fontId="82" fillId="47" borderId="19" xfId="3985" applyFont="1" applyFill="1" applyBorder="1" applyAlignment="1">
      <alignment horizontal="right" vertical="center"/>
    </xf>
    <xf numFmtId="0" fontId="83" fillId="0" borderId="0" xfId="3985" applyFont="1" applyAlignment="1">
      <alignment horizontal="right" vertical="center"/>
    </xf>
    <xf numFmtId="3" fontId="120" fillId="47" borderId="23" xfId="1" applyNumberFormat="1" applyFont="1" applyFill="1" applyBorder="1" applyAlignment="1">
      <alignment horizontal="right" vertical="center"/>
    </xf>
    <xf numFmtId="171" fontId="10" fillId="0" borderId="0" xfId="1" applyNumberFormat="1" applyFont="1" applyFill="1" applyBorder="1" applyAlignment="1">
      <alignment horizontal="right" vertical="center"/>
    </xf>
    <xf numFmtId="166" fontId="114" fillId="0" borderId="0" xfId="1" applyNumberFormat="1" applyFont="1" applyBorder="1" applyAlignment="1">
      <alignment horizontal="right" vertical="center"/>
    </xf>
    <xf numFmtId="0" fontId="0" fillId="0" borderId="0" xfId="0" applyAlignment="1">
      <alignment horizontal="right"/>
    </xf>
    <xf numFmtId="0" fontId="89" fillId="0" borderId="65" xfId="0" applyFont="1" applyBorder="1" applyAlignment="1">
      <alignment horizontal="right" vertical="center" wrapText="1"/>
    </xf>
    <xf numFmtId="0" fontId="82" fillId="0" borderId="0" xfId="0" applyFont="1" applyAlignment="1">
      <alignment horizontal="right" vertical="center"/>
    </xf>
    <xf numFmtId="0" fontId="85" fillId="0" borderId="0" xfId="0" applyFont="1" applyAlignment="1">
      <alignment horizontal="right" vertical="center"/>
    </xf>
    <xf numFmtId="0" fontId="90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87" fillId="0" borderId="0" xfId="0" applyFont="1" applyAlignment="1">
      <alignment horizontal="right"/>
    </xf>
    <xf numFmtId="166" fontId="68" fillId="0" borderId="0" xfId="1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right"/>
    </xf>
    <xf numFmtId="3" fontId="93" fillId="0" borderId="0" xfId="0" applyNumberFormat="1" applyFont="1" applyAlignment="1">
      <alignment horizontal="right"/>
    </xf>
    <xf numFmtId="176" fontId="66" fillId="0" borderId="0" xfId="0" applyNumberFormat="1" applyFont="1" applyAlignment="1">
      <alignment horizontal="right" vertical="center"/>
    </xf>
    <xf numFmtId="166" fontId="115" fillId="0" borderId="0" xfId="1" applyNumberFormat="1" applyFont="1" applyAlignment="1">
      <alignment horizontal="center"/>
    </xf>
    <xf numFmtId="176" fontId="81" fillId="0" borderId="32" xfId="0" applyNumberFormat="1" applyFont="1" applyBorder="1" applyAlignment="1">
      <alignment horizontal="right" vertical="center"/>
    </xf>
    <xf numFmtId="3" fontId="81" fillId="52" borderId="33" xfId="1" applyNumberFormat="1" applyFont="1" applyFill="1" applyBorder="1" applyAlignment="1">
      <alignment horizontal="center" vertical="center"/>
    </xf>
    <xf numFmtId="176" fontId="81" fillId="0" borderId="1" xfId="0" applyNumberFormat="1" applyFont="1" applyBorder="1" applyAlignment="1">
      <alignment horizontal="right" vertical="center"/>
    </xf>
    <xf numFmtId="3" fontId="81" fillId="52" borderId="36" xfId="1" applyNumberFormat="1" applyFont="1" applyFill="1" applyBorder="1" applyAlignment="1">
      <alignment horizontal="center" vertical="center"/>
    </xf>
    <xf numFmtId="171" fontId="81" fillId="0" borderId="1" xfId="1" applyNumberFormat="1" applyFont="1" applyFill="1" applyBorder="1" applyAlignment="1">
      <alignment horizontal="right" vertical="center"/>
    </xf>
    <xf numFmtId="180" fontId="81" fillId="0" borderId="1" xfId="0" applyNumberFormat="1" applyFont="1" applyBorder="1" applyAlignment="1">
      <alignment horizontal="right" vertical="center"/>
    </xf>
    <xf numFmtId="4" fontId="81" fillId="52" borderId="36" xfId="1" applyNumberFormat="1" applyFont="1" applyFill="1" applyBorder="1" applyAlignment="1">
      <alignment horizontal="center" vertical="center"/>
    </xf>
    <xf numFmtId="171" fontId="81" fillId="54" borderId="19" xfId="1" applyNumberFormat="1" applyFont="1" applyFill="1" applyBorder="1" applyAlignment="1">
      <alignment horizontal="right" vertical="center"/>
    </xf>
    <xf numFmtId="3" fontId="95" fillId="40" borderId="27" xfId="1" applyNumberFormat="1" applyFont="1" applyFill="1" applyBorder="1" applyAlignment="1">
      <alignment horizontal="center" vertical="center"/>
    </xf>
    <xf numFmtId="3" fontId="81" fillId="63" borderId="23" xfId="1" applyNumberFormat="1" applyFont="1" applyFill="1" applyBorder="1" applyAlignment="1">
      <alignment horizontal="right" vertical="center"/>
    </xf>
    <xf numFmtId="3" fontId="95" fillId="40" borderId="24" xfId="1" applyNumberFormat="1" applyFont="1" applyFill="1" applyBorder="1" applyAlignment="1">
      <alignment horizontal="center" vertical="center"/>
    </xf>
    <xf numFmtId="171" fontId="81" fillId="47" borderId="1" xfId="1" applyNumberFormat="1" applyFont="1" applyFill="1" applyBorder="1" applyAlignment="1">
      <alignment horizontal="right" vertical="center"/>
    </xf>
    <xf numFmtId="3" fontId="81" fillId="47" borderId="1" xfId="1" applyNumberFormat="1" applyFont="1" applyFill="1" applyBorder="1" applyAlignment="1">
      <alignment horizontal="right" vertical="center"/>
    </xf>
    <xf numFmtId="3" fontId="95" fillId="40" borderId="36" xfId="1" applyNumberFormat="1" applyFont="1" applyFill="1" applyBorder="1" applyAlignment="1">
      <alignment horizontal="center" vertical="center"/>
    </xf>
    <xf numFmtId="3" fontId="81" fillId="0" borderId="36" xfId="1" applyNumberFormat="1" applyFont="1" applyBorder="1" applyAlignment="1">
      <alignment horizontal="center" vertical="center"/>
    </xf>
    <xf numFmtId="3" fontId="81" fillId="47" borderId="19" xfId="1" applyNumberFormat="1" applyFont="1" applyFill="1" applyBorder="1" applyAlignment="1">
      <alignment horizontal="right" vertical="center"/>
    </xf>
    <xf numFmtId="3" fontId="81" fillId="0" borderId="1" xfId="1" applyNumberFormat="1" applyFont="1" applyFill="1" applyBorder="1" applyAlignment="1">
      <alignment horizontal="right" vertical="center"/>
    </xf>
    <xf numFmtId="4" fontId="81" fillId="0" borderId="1" xfId="1" applyNumberFormat="1" applyFont="1" applyFill="1" applyBorder="1" applyAlignment="1">
      <alignment horizontal="right" vertical="center"/>
    </xf>
    <xf numFmtId="171" fontId="121" fillId="0" borderId="0" xfId="0" applyNumberFormat="1" applyFont="1" applyAlignment="1">
      <alignment horizontal="right"/>
    </xf>
    <xf numFmtId="171" fontId="81" fillId="0" borderId="5" xfId="1" applyNumberFormat="1" applyFont="1" applyFill="1" applyBorder="1" applyAlignment="1">
      <alignment horizontal="right" vertical="center"/>
    </xf>
    <xf numFmtId="171" fontId="8" fillId="0" borderId="0" xfId="0" applyNumberFormat="1" applyFont="1" applyAlignment="1">
      <alignment vertical="center"/>
    </xf>
    <xf numFmtId="9" fontId="8" fillId="0" borderId="0" xfId="2" applyFont="1" applyFill="1" applyAlignment="1">
      <alignment vertical="center"/>
    </xf>
    <xf numFmtId="171" fontId="8" fillId="0" borderId="0" xfId="2" applyNumberFormat="1" applyFont="1" applyFill="1" applyAlignment="1">
      <alignment vertical="center"/>
    </xf>
    <xf numFmtId="177" fontId="8" fillId="0" borderId="0" xfId="1" applyNumberFormat="1" applyFont="1" applyFill="1" applyAlignment="1">
      <alignment vertical="center"/>
    </xf>
    <xf numFmtId="3" fontId="81" fillId="52" borderId="56" xfId="1" applyNumberFormat="1" applyFont="1" applyFill="1" applyBorder="1" applyAlignment="1">
      <alignment horizontal="center" vertical="center"/>
    </xf>
    <xf numFmtId="0" fontId="81" fillId="0" borderId="1" xfId="3985" applyFont="1" applyBorder="1" applyAlignment="1">
      <alignment horizontal="right" vertical="center"/>
    </xf>
    <xf numFmtId="3" fontId="81" fillId="0" borderId="1" xfId="68" applyNumberFormat="1" applyFont="1" applyFill="1" applyBorder="1" applyAlignment="1">
      <alignment horizontal="right" vertical="center"/>
    </xf>
    <xf numFmtId="0" fontId="65" fillId="0" borderId="1" xfId="3985" applyFont="1" applyBorder="1" applyAlignment="1">
      <alignment horizontal="right" vertical="center"/>
    </xf>
    <xf numFmtId="0" fontId="123" fillId="65" borderId="0" xfId="0" applyFont="1" applyFill="1"/>
    <xf numFmtId="171" fontId="67" fillId="41" borderId="51" xfId="1" applyNumberFormat="1" applyFont="1" applyFill="1" applyBorder="1" applyAlignment="1">
      <alignment horizontal="center" vertical="center"/>
    </xf>
    <xf numFmtId="171" fontId="67" fillId="52" borderId="51" xfId="1" applyNumberFormat="1" applyFont="1" applyFill="1" applyBorder="1" applyAlignment="1">
      <alignment horizontal="center" vertical="center"/>
    </xf>
    <xf numFmtId="171" fontId="67" fillId="40" borderId="51" xfId="1" applyNumberFormat="1" applyFont="1" applyFill="1" applyBorder="1" applyAlignment="1">
      <alignment horizontal="center" vertical="center"/>
    </xf>
    <xf numFmtId="0" fontId="85" fillId="0" borderId="63" xfId="3985" applyFont="1" applyBorder="1" applyAlignment="1">
      <alignment horizontal="center" vertical="center"/>
    </xf>
    <xf numFmtId="171" fontId="85" fillId="0" borderId="65" xfId="1" applyNumberFormat="1" applyFont="1" applyFill="1" applyBorder="1" applyAlignment="1">
      <alignment horizontal="center" vertical="center" wrapText="1"/>
    </xf>
    <xf numFmtId="171" fontId="85" fillId="41" borderId="65" xfId="1" applyNumberFormat="1" applyFont="1" applyFill="1" applyBorder="1" applyAlignment="1">
      <alignment horizontal="center" vertical="center"/>
    </xf>
    <xf numFmtId="0" fontId="96" fillId="40" borderId="49" xfId="3985" applyFont="1" applyFill="1" applyBorder="1" applyAlignment="1">
      <alignment horizontal="center" vertical="center"/>
    </xf>
    <xf numFmtId="0" fontId="96" fillId="40" borderId="61" xfId="3985" applyFont="1" applyFill="1" applyBorder="1" applyAlignment="1">
      <alignment vertical="center"/>
    </xf>
    <xf numFmtId="0" fontId="96" fillId="40" borderId="62" xfId="3985" applyFont="1" applyFill="1" applyBorder="1" applyAlignment="1">
      <alignment vertical="center"/>
    </xf>
    <xf numFmtId="171" fontId="85" fillId="55" borderId="65" xfId="1" applyNumberFormat="1" applyFont="1" applyFill="1" applyBorder="1" applyAlignment="1">
      <alignment horizontal="center" vertical="center"/>
    </xf>
    <xf numFmtId="171" fontId="85" fillId="55" borderId="66" xfId="1" applyNumberFormat="1" applyFont="1" applyFill="1" applyBorder="1" applyAlignment="1">
      <alignment horizontal="center" vertical="center"/>
    </xf>
    <xf numFmtId="3" fontId="76" fillId="7" borderId="35" xfId="1663" applyNumberFormat="1" applyFont="1" applyFill="1" applyBorder="1" applyAlignment="1">
      <alignment horizontal="center" vertical="center" wrapText="1"/>
    </xf>
    <xf numFmtId="3" fontId="71" fillId="7" borderId="1" xfId="1663" applyNumberFormat="1" applyFont="1" applyFill="1" applyBorder="1" applyAlignment="1">
      <alignment horizontal="center"/>
    </xf>
    <xf numFmtId="3" fontId="73" fillId="48" borderId="36" xfId="1663" applyNumberFormat="1" applyFont="1" applyFill="1" applyBorder="1" applyAlignment="1">
      <alignment horizontal="center"/>
    </xf>
    <xf numFmtId="3" fontId="75" fillId="48" borderId="19" xfId="1663" applyNumberFormat="1" applyFont="1" applyFill="1" applyBorder="1" applyAlignment="1">
      <alignment horizontal="center"/>
    </xf>
    <xf numFmtId="3" fontId="74" fillId="48" borderId="27" xfId="1663" applyNumberFormat="1" applyFont="1" applyFill="1" applyBorder="1" applyAlignment="1">
      <alignment horizontal="center"/>
    </xf>
    <xf numFmtId="0" fontId="1" fillId="0" borderId="0" xfId="5251" applyAlignment="1">
      <alignment horizontal="center" vertical="center"/>
    </xf>
    <xf numFmtId="171" fontId="68" fillId="50" borderId="31" xfId="5249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vertical="center" readingOrder="2"/>
    </xf>
    <xf numFmtId="0" fontId="21" fillId="0" borderId="0" xfId="0" applyFont="1" applyAlignment="1">
      <alignment vertical="center" readingOrder="2"/>
    </xf>
    <xf numFmtId="0" fontId="10" fillId="0" borderId="1" xfId="0" applyFont="1" applyBorder="1" applyAlignment="1">
      <alignment horizontal="center" vertical="center" readingOrder="2"/>
    </xf>
    <xf numFmtId="0" fontId="10" fillId="0" borderId="6" xfId="0" applyFont="1" applyBorder="1" applyAlignment="1">
      <alignment horizontal="center" vertical="center"/>
    </xf>
    <xf numFmtId="3" fontId="100" fillId="0" borderId="1" xfId="0" applyNumberFormat="1" applyFont="1" applyBorder="1" applyAlignment="1">
      <alignment horizontal="center" vertical="center" readingOrder="2"/>
    </xf>
    <xf numFmtId="0" fontId="100" fillId="0" borderId="0" xfId="0" applyFont="1" applyAlignment="1">
      <alignment horizontal="center" vertical="center" readingOrder="2"/>
    </xf>
    <xf numFmtId="3" fontId="68" fillId="40" borderId="1" xfId="0" applyNumberFormat="1" applyFont="1" applyFill="1" applyBorder="1" applyAlignment="1">
      <alignment horizontal="center" vertical="center" readingOrder="2"/>
    </xf>
    <xf numFmtId="9" fontId="67" fillId="0" borderId="33" xfId="5250" applyFont="1" applyBorder="1" applyAlignment="1">
      <alignment horizontal="center" vertical="center"/>
    </xf>
    <xf numFmtId="9" fontId="67" fillId="0" borderId="36" xfId="5250" applyFont="1" applyBorder="1" applyAlignment="1">
      <alignment horizontal="center" vertical="center"/>
    </xf>
    <xf numFmtId="0" fontId="98" fillId="0" borderId="0" xfId="1663" applyFont="1" applyAlignment="1">
      <alignment horizontal="center" vertical="center"/>
    </xf>
    <xf numFmtId="0" fontId="98" fillId="0" borderId="74" xfId="1663" applyFont="1" applyBorder="1" applyAlignment="1">
      <alignment horizontal="center" vertical="center"/>
    </xf>
    <xf numFmtId="0" fontId="80" fillId="49" borderId="32" xfId="1663" applyFont="1" applyFill="1" applyBorder="1" applyAlignment="1">
      <alignment horizontal="center" vertical="center" wrapText="1" readingOrder="2"/>
    </xf>
    <xf numFmtId="0" fontId="80" fillId="49" borderId="31" xfId="1663" applyFont="1" applyFill="1" applyBorder="1" applyAlignment="1">
      <alignment horizontal="center" vertical="center" wrapText="1" readingOrder="2"/>
    </xf>
    <xf numFmtId="0" fontId="69" fillId="49" borderId="33" xfId="1663" applyFont="1" applyFill="1" applyBorder="1" applyAlignment="1">
      <alignment horizontal="center" vertical="center" readingOrder="2"/>
    </xf>
    <xf numFmtId="0" fontId="124" fillId="0" borderId="35" xfId="3985" applyFont="1" applyBorder="1" applyAlignment="1">
      <alignment horizontal="right" vertical="center"/>
    </xf>
    <xf numFmtId="171" fontId="15" fillId="0" borderId="1" xfId="1" applyNumberFormat="1" applyFont="1" applyFill="1" applyBorder="1" applyAlignment="1">
      <alignment horizontal="center" vertical="center"/>
    </xf>
    <xf numFmtId="0" fontId="125" fillId="0" borderId="0" xfId="0" applyFont="1"/>
    <xf numFmtId="43" fontId="125" fillId="0" borderId="0" xfId="0" applyNumberFormat="1" applyFont="1"/>
    <xf numFmtId="0" fontId="75" fillId="40" borderId="35" xfId="3985" applyFont="1" applyFill="1" applyBorder="1" applyAlignment="1">
      <alignment horizontal="center" vertical="center"/>
    </xf>
    <xf numFmtId="171" fontId="71" fillId="40" borderId="1" xfId="1" applyNumberFormat="1" applyFont="1" applyFill="1" applyBorder="1" applyAlignment="1">
      <alignment horizontal="center" vertical="center"/>
    </xf>
    <xf numFmtId="0" fontId="125" fillId="64" borderId="0" xfId="0" applyFont="1" applyFill="1"/>
    <xf numFmtId="176" fontId="15" fillId="40" borderId="35" xfId="3985" applyNumberFormat="1" applyFont="1" applyFill="1" applyBorder="1" applyAlignment="1">
      <alignment horizontal="right" vertical="center"/>
    </xf>
    <xf numFmtId="171" fontId="16" fillId="40" borderId="1" xfId="1" applyNumberFormat="1" applyFont="1" applyFill="1" applyBorder="1" applyAlignment="1">
      <alignment horizontal="center" vertical="center"/>
    </xf>
    <xf numFmtId="176" fontId="15" fillId="40" borderId="20" xfId="3985" applyNumberFormat="1" applyFont="1" applyFill="1" applyBorder="1" applyAlignment="1">
      <alignment horizontal="right" vertical="center"/>
    </xf>
    <xf numFmtId="171" fontId="16" fillId="40" borderId="19" xfId="1" applyNumberFormat="1" applyFont="1" applyFill="1" applyBorder="1" applyAlignment="1">
      <alignment horizontal="center" vertical="center"/>
    </xf>
    <xf numFmtId="0" fontId="75" fillId="47" borderId="28" xfId="3985" applyFont="1" applyFill="1" applyBorder="1" applyAlignment="1">
      <alignment horizontal="center" vertical="center"/>
    </xf>
    <xf numFmtId="0" fontId="75" fillId="47" borderId="48" xfId="3985" applyFont="1" applyFill="1" applyBorder="1" applyAlignment="1">
      <alignment vertical="center"/>
    </xf>
    <xf numFmtId="0" fontId="71" fillId="39" borderId="49" xfId="3985" applyFont="1" applyFill="1" applyBorder="1" applyAlignment="1">
      <alignment vertical="center"/>
    </xf>
    <xf numFmtId="0" fontId="77" fillId="39" borderId="61" xfId="3985" applyFont="1" applyFill="1" applyBorder="1" applyAlignment="1">
      <alignment vertical="center"/>
    </xf>
    <xf numFmtId="171" fontId="125" fillId="0" borderId="0" xfId="0" applyNumberFormat="1" applyFont="1"/>
    <xf numFmtId="43" fontId="88" fillId="0" borderId="0" xfId="0" applyNumberFormat="1" applyFont="1"/>
    <xf numFmtId="0" fontId="88" fillId="0" borderId="0" xfId="0" applyFont="1"/>
    <xf numFmtId="171" fontId="125" fillId="64" borderId="0" xfId="0" applyNumberFormat="1" applyFont="1" applyFill="1"/>
    <xf numFmtId="181" fontId="15" fillId="0" borderId="0" xfId="1" applyNumberFormat="1" applyFont="1" applyFill="1" applyBorder="1" applyAlignment="1">
      <alignment horizontal="center" vertical="center"/>
    </xf>
    <xf numFmtId="178" fontId="75" fillId="0" borderId="0" xfId="3985" applyNumberFormat="1" applyFont="1" applyAlignment="1">
      <alignment horizontal="center" vertical="center"/>
    </xf>
    <xf numFmtId="3" fontId="68" fillId="7" borderId="1" xfId="0" applyNumberFormat="1" applyFont="1" applyFill="1" applyBorder="1" applyAlignment="1">
      <alignment horizontal="center" vertical="center"/>
    </xf>
    <xf numFmtId="3" fontId="126" fillId="0" borderId="1" xfId="0" applyNumberFormat="1" applyFont="1" applyBorder="1" applyAlignment="1">
      <alignment horizontal="center" vertical="center" readingOrder="2"/>
    </xf>
    <xf numFmtId="171" fontId="68" fillId="51" borderId="27" xfId="5249" applyNumberFormat="1" applyFont="1" applyFill="1" applyBorder="1" applyAlignment="1">
      <alignment vertical="center"/>
    </xf>
    <xf numFmtId="0" fontId="77" fillId="39" borderId="61" xfId="3985" applyFont="1" applyFill="1" applyBorder="1" applyAlignment="1">
      <alignment horizontal="center" vertical="center"/>
    </xf>
    <xf numFmtId="0" fontId="77" fillId="39" borderId="62" xfId="3985" applyFont="1" applyFill="1" applyBorder="1" applyAlignment="1">
      <alignment horizontal="center" vertical="center"/>
    </xf>
    <xf numFmtId="3" fontId="81" fillId="52" borderId="36" xfId="1" applyNumberFormat="1" applyFont="1" applyFill="1" applyBorder="1" applyAlignment="1">
      <alignment horizontal="right" vertical="center"/>
    </xf>
    <xf numFmtId="3" fontId="95" fillId="40" borderId="27" xfId="1" applyNumberFormat="1" applyFont="1" applyFill="1" applyBorder="1" applyAlignment="1">
      <alignment horizontal="right" vertical="center"/>
    </xf>
    <xf numFmtId="3" fontId="81" fillId="52" borderId="56" xfId="1" applyNumberFormat="1" applyFont="1" applyFill="1" applyBorder="1" applyAlignment="1">
      <alignment horizontal="right" vertical="center"/>
    </xf>
    <xf numFmtId="3" fontId="118" fillId="40" borderId="24" xfId="1" applyNumberFormat="1" applyFont="1" applyFill="1" applyBorder="1" applyAlignment="1">
      <alignment horizontal="right" vertical="center"/>
    </xf>
    <xf numFmtId="43" fontId="125" fillId="64" borderId="0" xfId="0" applyNumberFormat="1" applyFont="1" applyFill="1"/>
    <xf numFmtId="171" fontId="10" fillId="0" borderId="1" xfId="1" applyNumberFormat="1" applyFont="1" applyFill="1" applyBorder="1" applyAlignment="1">
      <alignment horizontal="center" vertical="center"/>
    </xf>
    <xf numFmtId="171" fontId="127" fillId="40" borderId="1" xfId="1" applyNumberFormat="1" applyFont="1" applyFill="1" applyBorder="1" applyAlignment="1">
      <alignment horizontal="center" vertical="center"/>
    </xf>
    <xf numFmtId="171" fontId="58" fillId="40" borderId="1" xfId="1" applyNumberFormat="1" applyFont="1" applyFill="1" applyBorder="1" applyAlignment="1">
      <alignment horizontal="center" vertical="center"/>
    </xf>
    <xf numFmtId="0" fontId="128" fillId="0" borderId="35" xfId="3985" applyFont="1" applyBorder="1" applyAlignment="1">
      <alignment horizontal="right" vertical="center"/>
    </xf>
    <xf numFmtId="0" fontId="7" fillId="41" borderId="0" xfId="0" applyFont="1" applyFill="1"/>
    <xf numFmtId="171" fontId="7" fillId="0" borderId="0" xfId="0" applyNumberFormat="1" applyFont="1"/>
    <xf numFmtId="165" fontId="7" fillId="0" borderId="0" xfId="0" applyNumberFormat="1" applyFont="1"/>
    <xf numFmtId="176" fontId="10" fillId="66" borderId="25" xfId="3985" applyNumberFormat="1" applyFont="1" applyFill="1" applyBorder="1" applyAlignment="1">
      <alignment horizontal="right" vertical="center"/>
    </xf>
    <xf numFmtId="171" fontId="10" fillId="66" borderId="19" xfId="1" applyNumberFormat="1" applyFont="1" applyFill="1" applyBorder="1" applyAlignment="1">
      <alignment horizontal="center" vertical="center"/>
    </xf>
    <xf numFmtId="0" fontId="7" fillId="0" borderId="0" xfId="0" applyFont="1"/>
    <xf numFmtId="176" fontId="10" fillId="58" borderId="41" xfId="3985" applyNumberFormat="1" applyFont="1" applyFill="1" applyBorder="1" applyAlignment="1">
      <alignment horizontal="right" vertical="center"/>
    </xf>
    <xf numFmtId="171" fontId="10" fillId="58" borderId="23" xfId="1" applyNumberFormat="1" applyFont="1" applyFill="1" applyBorder="1" applyAlignment="1">
      <alignment horizontal="center" vertical="center"/>
    </xf>
    <xf numFmtId="171" fontId="10" fillId="58" borderId="24" xfId="1" applyNumberFormat="1" applyFont="1" applyFill="1" applyBorder="1" applyAlignment="1">
      <alignment horizontal="center" vertical="center"/>
    </xf>
    <xf numFmtId="176" fontId="10" fillId="0" borderId="0" xfId="3985" applyNumberFormat="1" applyFont="1" applyAlignment="1">
      <alignment horizontal="right" vertical="center"/>
    </xf>
    <xf numFmtId="171" fontId="10" fillId="0" borderId="0" xfId="1" applyNumberFormat="1" applyFont="1" applyFill="1" applyBorder="1" applyAlignment="1">
      <alignment horizontal="center" vertical="center"/>
    </xf>
    <xf numFmtId="0" fontId="127" fillId="55" borderId="49" xfId="3985" applyFont="1" applyFill="1" applyBorder="1" applyAlignment="1">
      <alignment vertical="center"/>
    </xf>
    <xf numFmtId="0" fontId="85" fillId="55" borderId="61" xfId="3985" applyFont="1" applyFill="1" applyBorder="1" applyAlignment="1">
      <alignment vertical="center"/>
    </xf>
    <xf numFmtId="166" fontId="85" fillId="55" borderId="61" xfId="3985" applyNumberFormat="1" applyFont="1" applyFill="1" applyBorder="1" applyAlignment="1">
      <alignment vertical="center"/>
    </xf>
    <xf numFmtId="0" fontId="128" fillId="0" borderId="25" xfId="3985" applyFont="1" applyBorder="1" applyAlignment="1">
      <alignment horizontal="right" vertical="center"/>
    </xf>
    <xf numFmtId="171" fontId="10" fillId="0" borderId="19" xfId="1" applyNumberFormat="1" applyFont="1" applyFill="1" applyBorder="1" applyAlignment="1">
      <alignment horizontal="center" vertical="center"/>
    </xf>
    <xf numFmtId="0" fontId="10" fillId="55" borderId="20" xfId="3985" applyFont="1" applyFill="1" applyBorder="1" applyAlignment="1">
      <alignment horizontal="right" vertical="center"/>
    </xf>
    <xf numFmtId="171" fontId="10" fillId="55" borderId="22" xfId="1" applyNumberFormat="1" applyFont="1" applyFill="1" applyBorder="1" applyAlignment="1">
      <alignment horizontal="center" vertical="center"/>
    </xf>
    <xf numFmtId="171" fontId="10" fillId="55" borderId="19" xfId="1" applyNumberFormat="1" applyFont="1" applyFill="1" applyBorder="1" applyAlignment="1">
      <alignment horizontal="center" vertical="center"/>
    </xf>
    <xf numFmtId="43" fontId="7" fillId="0" borderId="0" xfId="0" applyNumberFormat="1" applyFont="1"/>
    <xf numFmtId="0" fontId="127" fillId="61" borderId="49" xfId="3985" applyFont="1" applyFill="1" applyBorder="1" applyAlignment="1">
      <alignment vertical="center"/>
    </xf>
    <xf numFmtId="0" fontId="85" fillId="61" borderId="61" xfId="3985" applyFont="1" applyFill="1" applyBorder="1" applyAlignment="1">
      <alignment vertical="center"/>
    </xf>
    <xf numFmtId="0" fontId="10" fillId="61" borderId="20" xfId="3985" applyFont="1" applyFill="1" applyBorder="1" applyAlignment="1">
      <alignment horizontal="right" vertical="center"/>
    </xf>
    <xf numFmtId="171" fontId="10" fillId="61" borderId="22" xfId="1" applyNumberFormat="1" applyFont="1" applyFill="1" applyBorder="1" applyAlignment="1">
      <alignment horizontal="center" vertical="center"/>
    </xf>
    <xf numFmtId="171" fontId="10" fillId="61" borderId="19" xfId="1" applyNumberFormat="1" applyFont="1" applyFill="1" applyBorder="1" applyAlignment="1">
      <alignment horizontal="center" vertical="center"/>
    </xf>
    <xf numFmtId="0" fontId="96" fillId="47" borderId="41" xfId="3985" applyFont="1" applyFill="1" applyBorder="1" applyAlignment="1">
      <alignment horizontal="center" vertical="center"/>
    </xf>
    <xf numFmtId="171" fontId="127" fillId="47" borderId="23" xfId="1" applyNumberFormat="1" applyFont="1" applyFill="1" applyBorder="1" applyAlignment="1">
      <alignment horizontal="center" vertical="center"/>
    </xf>
    <xf numFmtId="0" fontId="96" fillId="0" borderId="0" xfId="3985" applyFont="1" applyAlignment="1">
      <alignment vertical="center"/>
    </xf>
    <xf numFmtId="0" fontId="96" fillId="41" borderId="41" xfId="3985" applyFont="1" applyFill="1" applyBorder="1" applyAlignment="1">
      <alignment horizontal="right" vertical="center"/>
    </xf>
    <xf numFmtId="171" fontId="96" fillId="41" borderId="23" xfId="1" applyNumberFormat="1" applyFont="1" applyFill="1" applyBorder="1" applyAlignment="1">
      <alignment horizontal="center" vertical="center"/>
    </xf>
    <xf numFmtId="0" fontId="129" fillId="67" borderId="41" xfId="3985" applyFont="1" applyFill="1" applyBorder="1" applyAlignment="1">
      <alignment horizontal="right" vertical="center"/>
    </xf>
    <xf numFmtId="171" fontId="10" fillId="67" borderId="23" xfId="1" applyNumberFormat="1" applyFont="1" applyFill="1" applyBorder="1" applyAlignment="1">
      <alignment horizontal="center" vertical="center"/>
    </xf>
    <xf numFmtId="166" fontId="11" fillId="67" borderId="23" xfId="1" applyNumberFormat="1" applyFont="1" applyFill="1" applyBorder="1" applyAlignment="1">
      <alignment horizontal="center" vertical="center"/>
    </xf>
    <xf numFmtId="166" fontId="11" fillId="67" borderId="24" xfId="1" applyNumberFormat="1" applyFont="1" applyFill="1" applyBorder="1" applyAlignment="1">
      <alignment horizontal="center" vertical="center"/>
    </xf>
    <xf numFmtId="176" fontId="7" fillId="0" borderId="0" xfId="0" applyNumberFormat="1" applyFont="1"/>
    <xf numFmtId="0" fontId="87" fillId="61" borderId="0" xfId="0" applyFont="1" applyFill="1"/>
    <xf numFmtId="3" fontId="87" fillId="0" borderId="0" xfId="0" applyNumberFormat="1" applyFont="1"/>
    <xf numFmtId="171" fontId="7" fillId="41" borderId="0" xfId="0" applyNumberFormat="1" applyFont="1" applyFill="1"/>
    <xf numFmtId="43" fontId="7" fillId="41" borderId="0" xfId="0" applyNumberFormat="1" applyFont="1" applyFill="1"/>
    <xf numFmtId="171" fontId="10" fillId="61" borderId="18" xfId="1" applyNumberFormat="1" applyFont="1" applyFill="1" applyBorder="1" applyAlignment="1">
      <alignment horizontal="center" vertical="center"/>
    </xf>
    <xf numFmtId="171" fontId="96" fillId="41" borderId="18" xfId="1" applyNumberFormat="1" applyFont="1" applyFill="1" applyBorder="1" applyAlignment="1">
      <alignment horizontal="center" vertical="center"/>
    </xf>
    <xf numFmtId="171" fontId="10" fillId="0" borderId="18" xfId="1" applyNumberFormat="1" applyFont="1" applyFill="1" applyBorder="1" applyAlignment="1">
      <alignment horizontal="center" vertical="center"/>
    </xf>
    <xf numFmtId="171" fontId="10" fillId="55" borderId="18" xfId="1" applyNumberFormat="1" applyFont="1" applyFill="1" applyBorder="1" applyAlignment="1">
      <alignment horizontal="center" vertical="center"/>
    </xf>
    <xf numFmtId="176" fontId="66" fillId="0" borderId="44" xfId="5249" applyNumberFormat="1" applyFont="1" applyBorder="1" applyAlignment="1">
      <alignment horizontal="center" vertical="center"/>
    </xf>
    <xf numFmtId="176" fontId="66" fillId="0" borderId="70" xfId="5249" applyNumberFormat="1" applyFont="1" applyBorder="1" applyAlignment="1">
      <alignment horizontal="center" vertical="center"/>
    </xf>
    <xf numFmtId="176" fontId="66" fillId="0" borderId="2" xfId="5249" applyNumberFormat="1" applyFont="1" applyBorder="1" applyAlignment="1">
      <alignment horizontal="center" vertical="center"/>
    </xf>
    <xf numFmtId="176" fontId="66" fillId="0" borderId="71" xfId="5249" applyNumberFormat="1" applyFont="1" applyBorder="1" applyAlignment="1">
      <alignment horizontal="center" vertical="center"/>
    </xf>
    <xf numFmtId="3" fontId="66" fillId="51" borderId="45" xfId="5249" applyNumberFormat="1" applyFont="1" applyFill="1" applyBorder="1" applyAlignment="1">
      <alignment horizontal="center" vertical="center"/>
    </xf>
    <xf numFmtId="3" fontId="66" fillId="51" borderId="72" xfId="5249" applyNumberFormat="1" applyFont="1" applyFill="1" applyBorder="1" applyAlignment="1">
      <alignment horizontal="center" vertical="center"/>
    </xf>
    <xf numFmtId="171" fontId="68" fillId="51" borderId="69" xfId="5249" applyNumberFormat="1" applyFont="1" applyFill="1" applyBorder="1" applyAlignment="1">
      <alignment horizontal="center" vertical="center"/>
    </xf>
    <xf numFmtId="171" fontId="68" fillId="51" borderId="26" xfId="5249" applyNumberFormat="1" applyFont="1" applyFill="1" applyBorder="1" applyAlignment="1">
      <alignment horizontal="center" vertical="center"/>
    </xf>
    <xf numFmtId="171" fontId="68" fillId="0" borderId="28" xfId="5249" applyNumberFormat="1" applyFont="1" applyFill="1" applyBorder="1" applyAlignment="1">
      <alignment horizontal="center" vertical="center"/>
    </xf>
    <xf numFmtId="171" fontId="68" fillId="0" borderId="48" xfId="5249" applyNumberFormat="1" applyFont="1" applyFill="1" applyBorder="1" applyAlignment="1">
      <alignment horizontal="center" vertical="center"/>
    </xf>
    <xf numFmtId="171" fontId="68" fillId="0" borderId="30" xfId="5249" applyNumberFormat="1" applyFont="1" applyFill="1" applyBorder="1" applyAlignment="1">
      <alignment horizontal="center" vertical="center"/>
    </xf>
    <xf numFmtId="0" fontId="69" fillId="49" borderId="67" xfId="1663" applyFont="1" applyFill="1" applyBorder="1" applyAlignment="1">
      <alignment horizontal="center" vertical="center" wrapText="1" readingOrder="2"/>
    </xf>
    <xf numFmtId="0" fontId="69" fillId="49" borderId="34" xfId="1663" applyFont="1" applyFill="1" applyBorder="1" applyAlignment="1">
      <alignment horizontal="center" vertical="center" wrapText="1" readingOrder="2"/>
    </xf>
    <xf numFmtId="3" fontId="70" fillId="7" borderId="68" xfId="1663" applyNumberFormat="1" applyFont="1" applyFill="1" applyBorder="1" applyAlignment="1">
      <alignment horizontal="center" vertical="center"/>
    </xf>
    <xf numFmtId="3" fontId="70" fillId="7" borderId="3" xfId="1663" applyNumberFormat="1" applyFont="1" applyFill="1" applyBorder="1" applyAlignment="1">
      <alignment horizontal="center" vertical="center"/>
    </xf>
    <xf numFmtId="3" fontId="74" fillId="48" borderId="69" xfId="1663" applyNumberFormat="1" applyFont="1" applyFill="1" applyBorder="1" applyAlignment="1">
      <alignment horizontal="center" vertical="center"/>
    </xf>
    <xf numFmtId="3" fontId="74" fillId="48" borderId="26" xfId="1663" applyNumberFormat="1" applyFont="1" applyFill="1" applyBorder="1" applyAlignment="1">
      <alignment horizontal="center" vertical="center"/>
    </xf>
    <xf numFmtId="3" fontId="74" fillId="0" borderId="48" xfId="1663" applyNumberFormat="1" applyFont="1" applyBorder="1" applyAlignment="1">
      <alignment horizontal="center" vertical="center"/>
    </xf>
    <xf numFmtId="3" fontId="76" fillId="7" borderId="28" xfId="1663" applyNumberFormat="1" applyFont="1" applyFill="1" applyBorder="1" applyAlignment="1">
      <alignment horizontal="center" vertical="center" wrapText="1"/>
    </xf>
    <xf numFmtId="3" fontId="76" fillId="7" borderId="48" xfId="1663" applyNumberFormat="1" applyFont="1" applyFill="1" applyBorder="1" applyAlignment="1">
      <alignment horizontal="center" vertical="center" wrapText="1"/>
    </xf>
    <xf numFmtId="3" fontId="76" fillId="7" borderId="30" xfId="1663" applyNumberFormat="1" applyFont="1" applyFill="1" applyBorder="1" applyAlignment="1">
      <alignment horizontal="center" vertical="center" wrapText="1"/>
    </xf>
    <xf numFmtId="0" fontId="66" fillId="0" borderId="28" xfId="5248" applyFont="1" applyBorder="1" applyAlignment="1">
      <alignment horizontal="center"/>
    </xf>
    <xf numFmtId="0" fontId="66" fillId="0" borderId="30" xfId="5248" applyFont="1" applyBorder="1" applyAlignment="1">
      <alignment horizontal="center"/>
    </xf>
    <xf numFmtId="0" fontId="98" fillId="55" borderId="1" xfId="1663" applyFont="1" applyFill="1" applyBorder="1" applyAlignment="1">
      <alignment horizontal="center" vertical="center"/>
    </xf>
    <xf numFmtId="0" fontId="68" fillId="50" borderId="67" xfId="3985" applyFont="1" applyFill="1" applyBorder="1" applyAlignment="1">
      <alignment horizontal="center" vertical="center" wrapText="1"/>
    </xf>
    <xf numFmtId="0" fontId="68" fillId="50" borderId="34" xfId="3985" applyFont="1" applyFill="1" applyBorder="1" applyAlignment="1">
      <alignment horizontal="center" vertical="center" wrapText="1"/>
    </xf>
    <xf numFmtId="0" fontId="68" fillId="50" borderId="68" xfId="3985" applyFont="1" applyFill="1" applyBorder="1" applyAlignment="1">
      <alignment horizontal="center" vertical="center" wrapText="1"/>
    </xf>
    <xf numFmtId="0" fontId="68" fillId="50" borderId="3" xfId="3985" applyFont="1" applyFill="1" applyBorder="1" applyAlignment="1">
      <alignment horizontal="center" vertical="center" wrapText="1"/>
    </xf>
    <xf numFmtId="0" fontId="66" fillId="0" borderId="28" xfId="5248" applyFont="1" applyBorder="1" applyAlignment="1">
      <alignment horizontal="center" vertical="center"/>
    </xf>
    <xf numFmtId="0" fontId="66" fillId="0" borderId="48" xfId="5248" applyFont="1" applyBorder="1" applyAlignment="1">
      <alignment horizontal="center" vertical="center"/>
    </xf>
    <xf numFmtId="0" fontId="66" fillId="0" borderId="30" xfId="5248" applyFont="1" applyBorder="1" applyAlignment="1">
      <alignment horizontal="center" vertical="center"/>
    </xf>
    <xf numFmtId="3" fontId="97" fillId="68" borderId="1" xfId="3" applyNumberFormat="1" applyFont="1" applyFill="1" applyBorder="1" applyAlignment="1">
      <alignment horizontal="center" vertical="center"/>
    </xf>
    <xf numFmtId="176" fontId="10" fillId="0" borderId="0" xfId="3985" applyNumberFormat="1" applyFont="1" applyAlignment="1">
      <alignment horizontal="center" vertical="center"/>
    </xf>
    <xf numFmtId="0" fontId="10" fillId="0" borderId="28" xfId="3985" applyFont="1" applyBorder="1" applyAlignment="1">
      <alignment horizontal="center" vertical="center"/>
    </xf>
    <xf numFmtId="0" fontId="10" fillId="0" borderId="48" xfId="3985" applyFont="1" applyBorder="1" applyAlignment="1">
      <alignment horizontal="center" vertical="center"/>
    </xf>
    <xf numFmtId="0" fontId="10" fillId="0" borderId="29" xfId="3985" applyFont="1" applyBorder="1" applyAlignment="1">
      <alignment horizontal="center" vertical="center"/>
    </xf>
    <xf numFmtId="0" fontId="10" fillId="0" borderId="54" xfId="3985" applyFont="1" applyBorder="1" applyAlignment="1">
      <alignment horizontal="center" vertical="center"/>
    </xf>
    <xf numFmtId="0" fontId="10" fillId="0" borderId="0" xfId="3985" applyFont="1" applyAlignment="1">
      <alignment horizontal="center" vertical="center"/>
    </xf>
    <xf numFmtId="0" fontId="118" fillId="47" borderId="28" xfId="3985" applyFont="1" applyFill="1" applyBorder="1" applyAlignment="1">
      <alignment horizontal="right" vertical="center"/>
    </xf>
    <xf numFmtId="0" fontId="118" fillId="47" borderId="29" xfId="3985" applyFont="1" applyFill="1" applyBorder="1" applyAlignment="1">
      <alignment horizontal="right" vertical="center"/>
    </xf>
    <xf numFmtId="0" fontId="107" fillId="61" borderId="64" xfId="3985" applyFont="1" applyFill="1" applyBorder="1" applyAlignment="1">
      <alignment horizontal="center" vertical="center" wrapText="1" readingOrder="2"/>
    </xf>
    <xf numFmtId="0" fontId="107" fillId="61" borderId="42" xfId="3985" applyFont="1" applyFill="1" applyBorder="1" applyAlignment="1">
      <alignment horizontal="center" vertical="center" wrapText="1" readingOrder="2"/>
    </xf>
    <xf numFmtId="0" fontId="107" fillId="61" borderId="17" xfId="3985" applyFont="1" applyFill="1" applyBorder="1" applyAlignment="1">
      <alignment horizontal="center" vertical="center" wrapText="1" readingOrder="2"/>
    </xf>
    <xf numFmtId="0" fontId="82" fillId="0" borderId="31" xfId="0" applyFont="1" applyBorder="1" applyAlignment="1">
      <alignment horizontal="right" vertical="center" wrapText="1"/>
    </xf>
    <xf numFmtId="0" fontId="82" fillId="0" borderId="35" xfId="0" applyFont="1" applyBorder="1" applyAlignment="1">
      <alignment horizontal="right" vertical="center"/>
    </xf>
    <xf numFmtId="0" fontId="82" fillId="0" borderId="25" xfId="0" applyFont="1" applyBorder="1" applyAlignment="1">
      <alignment horizontal="right" vertical="center"/>
    </xf>
    <xf numFmtId="176" fontId="116" fillId="59" borderId="1" xfId="0" applyNumberFormat="1" applyFont="1" applyFill="1" applyBorder="1" applyAlignment="1">
      <alignment horizontal="center" vertical="center"/>
    </xf>
    <xf numFmtId="0" fontId="103" fillId="47" borderId="63" xfId="0" applyFont="1" applyFill="1" applyBorder="1" applyAlignment="1">
      <alignment horizontal="center" vertical="center" wrapText="1"/>
    </xf>
    <xf numFmtId="0" fontId="103" fillId="47" borderId="20" xfId="0" applyFont="1" applyFill="1" applyBorder="1" applyAlignment="1">
      <alignment horizontal="center" vertical="center" wrapText="1"/>
    </xf>
    <xf numFmtId="0" fontId="107" fillId="40" borderId="6" xfId="0" applyFont="1" applyFill="1" applyBorder="1" applyAlignment="1">
      <alignment horizontal="center" vertical="center" wrapText="1"/>
    </xf>
    <xf numFmtId="0" fontId="107" fillId="40" borderId="1" xfId="0" applyFont="1" applyFill="1" applyBorder="1" applyAlignment="1">
      <alignment horizontal="center" vertical="center" wrapText="1"/>
    </xf>
    <xf numFmtId="0" fontId="107" fillId="40" borderId="40" xfId="0" applyFont="1" applyFill="1" applyBorder="1" applyAlignment="1">
      <alignment horizontal="center" vertical="center" wrapText="1"/>
    </xf>
    <xf numFmtId="0" fontId="107" fillId="40" borderId="36" xfId="0" applyFont="1" applyFill="1" applyBorder="1" applyAlignment="1">
      <alignment horizontal="center" vertical="center" wrapText="1"/>
    </xf>
    <xf numFmtId="0" fontId="109" fillId="39" borderId="64" xfId="0" applyFont="1" applyFill="1" applyBorder="1" applyAlignment="1">
      <alignment horizontal="center" vertical="center"/>
    </xf>
    <xf numFmtId="0" fontId="109" fillId="39" borderId="42" xfId="0" applyFont="1" applyFill="1" applyBorder="1" applyAlignment="1">
      <alignment horizontal="center" vertical="center"/>
    </xf>
    <xf numFmtId="0" fontId="107" fillId="40" borderId="17" xfId="3985" applyFont="1" applyFill="1" applyBorder="1" applyAlignment="1">
      <alignment horizontal="center" vertical="center" wrapText="1" readingOrder="2"/>
    </xf>
    <xf numFmtId="0" fontId="107" fillId="40" borderId="3" xfId="3985" applyFont="1" applyFill="1" applyBorder="1" applyAlignment="1">
      <alignment horizontal="center" vertical="center" wrapText="1" readingOrder="2"/>
    </xf>
    <xf numFmtId="0" fontId="10" fillId="60" borderId="1" xfId="0" applyFont="1" applyFill="1" applyBorder="1" applyAlignment="1">
      <alignment horizontal="center" vertical="center" wrapText="1"/>
    </xf>
    <xf numFmtId="0" fontId="83" fillId="54" borderId="28" xfId="3985" applyFont="1" applyFill="1" applyBorder="1" applyAlignment="1">
      <alignment horizontal="right" vertical="center" readingOrder="2"/>
    </xf>
    <xf numFmtId="0" fontId="83" fillId="54" borderId="29" xfId="3985" applyFont="1" applyFill="1" applyBorder="1" applyAlignment="1">
      <alignment horizontal="right" vertical="center" readingOrder="2"/>
    </xf>
    <xf numFmtId="3" fontId="77" fillId="0" borderId="0" xfId="3" applyNumberFormat="1" applyFont="1" applyAlignment="1">
      <alignment horizontal="center" vertical="center"/>
    </xf>
    <xf numFmtId="3" fontId="122" fillId="55" borderId="1" xfId="3" applyNumberFormat="1" applyFont="1" applyFill="1" applyBorder="1" applyAlignment="1">
      <alignment horizontal="center" vertical="center"/>
    </xf>
    <xf numFmtId="0" fontId="119" fillId="39" borderId="31" xfId="3985" applyFont="1" applyFill="1" applyBorder="1" applyAlignment="1">
      <alignment horizontal="right" vertical="center"/>
    </xf>
    <xf numFmtId="0" fontId="119" fillId="39" borderId="32" xfId="3985" applyFont="1" applyFill="1" applyBorder="1" applyAlignment="1">
      <alignment horizontal="right" vertical="center"/>
    </xf>
    <xf numFmtId="0" fontId="119" fillId="39" borderId="33" xfId="3985" applyFont="1" applyFill="1" applyBorder="1" applyAlignment="1">
      <alignment horizontal="right" vertical="center"/>
    </xf>
    <xf numFmtId="0" fontId="86" fillId="0" borderId="35" xfId="0" applyFont="1" applyBorder="1" applyAlignment="1">
      <alignment horizontal="right" vertical="center"/>
    </xf>
    <xf numFmtId="0" fontId="86" fillId="0" borderId="25" xfId="0" applyFont="1" applyBorder="1" applyAlignment="1">
      <alignment horizontal="right" vertical="center"/>
    </xf>
    <xf numFmtId="0" fontId="66" fillId="0" borderId="49" xfId="3985" applyFont="1" applyBorder="1" applyAlignment="1">
      <alignment horizontal="center" vertical="center" wrapText="1"/>
    </xf>
    <xf numFmtId="0" fontId="66" fillId="0" borderId="50" xfId="3985" applyFont="1" applyBorder="1" applyAlignment="1">
      <alignment horizontal="center" vertical="center" wrapText="1"/>
    </xf>
    <xf numFmtId="0" fontId="113" fillId="0" borderId="35" xfId="0" applyFont="1" applyBorder="1" applyAlignment="1">
      <alignment horizontal="right" vertical="center"/>
    </xf>
    <xf numFmtId="0" fontId="113" fillId="0" borderId="25" xfId="0" applyFont="1" applyBorder="1" applyAlignment="1">
      <alignment horizontal="right" vertical="center"/>
    </xf>
    <xf numFmtId="0" fontId="113" fillId="0" borderId="54" xfId="0" applyFont="1" applyBorder="1" applyAlignment="1">
      <alignment horizontal="right" vertical="center"/>
    </xf>
    <xf numFmtId="0" fontId="113" fillId="0" borderId="0" xfId="0" applyFont="1" applyAlignment="1">
      <alignment horizontal="right" vertical="center"/>
    </xf>
    <xf numFmtId="0" fontId="83" fillId="39" borderId="31" xfId="3985" applyFont="1" applyFill="1" applyBorder="1" applyAlignment="1">
      <alignment horizontal="right" vertical="center"/>
    </xf>
    <xf numFmtId="0" fontId="83" fillId="39" borderId="32" xfId="3985" applyFont="1" applyFill="1" applyBorder="1" applyAlignment="1">
      <alignment horizontal="right" vertical="center"/>
    </xf>
    <xf numFmtId="0" fontId="83" fillId="39" borderId="33" xfId="3985" applyFont="1" applyFill="1" applyBorder="1" applyAlignment="1">
      <alignment horizontal="right" vertical="center"/>
    </xf>
    <xf numFmtId="0" fontId="82" fillId="0" borderId="35" xfId="3985" applyFont="1" applyBorder="1" applyAlignment="1">
      <alignment horizontal="right" vertical="center"/>
    </xf>
    <xf numFmtId="0" fontId="82" fillId="0" borderId="35" xfId="0" applyFont="1" applyBorder="1" applyAlignment="1">
      <alignment horizontal="right" vertical="center" wrapText="1"/>
    </xf>
    <xf numFmtId="0" fontId="82" fillId="0" borderId="37" xfId="0" applyFont="1" applyBorder="1" applyAlignment="1">
      <alignment horizontal="right" vertical="center" wrapText="1"/>
    </xf>
    <xf numFmtId="0" fontId="82" fillId="0" borderId="25" xfId="0" applyFont="1" applyBorder="1" applyAlignment="1">
      <alignment horizontal="right" vertical="center" wrapText="1"/>
    </xf>
    <xf numFmtId="0" fontId="82" fillId="0" borderId="37" xfId="3985" applyFont="1" applyBorder="1" applyAlignment="1">
      <alignment horizontal="right" vertical="center"/>
    </xf>
    <xf numFmtId="0" fontId="82" fillId="0" borderId="25" xfId="3985" applyFont="1" applyBorder="1" applyAlignment="1">
      <alignment horizontal="right" vertical="center"/>
    </xf>
    <xf numFmtId="0" fontId="83" fillId="39" borderId="39" xfId="3985" applyFont="1" applyFill="1" applyBorder="1" applyAlignment="1">
      <alignment horizontal="right" vertical="center"/>
    </xf>
    <xf numFmtId="0" fontId="83" fillId="39" borderId="6" xfId="3985" applyFont="1" applyFill="1" applyBorder="1" applyAlignment="1">
      <alignment horizontal="right" vertical="center"/>
    </xf>
    <xf numFmtId="0" fontId="83" fillId="39" borderId="40" xfId="3985" applyFont="1" applyFill="1" applyBorder="1" applyAlignment="1">
      <alignment horizontal="right" vertical="center"/>
    </xf>
    <xf numFmtId="0" fontId="117" fillId="52" borderId="1" xfId="0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 readingOrder="2"/>
    </xf>
    <xf numFmtId="0" fontId="58" fillId="0" borderId="73" xfId="0" applyFont="1" applyBorder="1" applyAlignment="1">
      <alignment horizontal="center" vertical="center" readingOrder="2"/>
    </xf>
    <xf numFmtId="0" fontId="89" fillId="0" borderId="58" xfId="0" applyFont="1" applyBorder="1" applyAlignment="1">
      <alignment horizontal="center" vertical="center" wrapText="1"/>
    </xf>
    <xf numFmtId="0" fontId="89" fillId="0" borderId="53" xfId="0" applyFont="1" applyBorder="1" applyAlignment="1">
      <alignment horizontal="center" vertical="center" wrapText="1"/>
    </xf>
    <xf numFmtId="0" fontId="89" fillId="0" borderId="59" xfId="0" applyFont="1" applyBorder="1" applyAlignment="1">
      <alignment horizontal="center" vertical="center" wrapText="1"/>
    </xf>
    <xf numFmtId="0" fontId="83" fillId="39" borderId="55" xfId="3985" applyFont="1" applyFill="1" applyBorder="1" applyAlignment="1">
      <alignment horizontal="right" vertical="center"/>
    </xf>
    <xf numFmtId="0" fontId="83" fillId="39" borderId="0" xfId="3985" applyFont="1" applyFill="1" applyAlignment="1">
      <alignment horizontal="right" vertical="center"/>
    </xf>
    <xf numFmtId="0" fontId="83" fillId="39" borderId="60" xfId="3985" applyFont="1" applyFill="1" applyBorder="1" applyAlignment="1">
      <alignment horizontal="right" vertical="center"/>
    </xf>
    <xf numFmtId="0" fontId="82" fillId="0" borderId="49" xfId="0" applyFont="1" applyBorder="1" applyAlignment="1">
      <alignment horizontal="center" vertical="center"/>
    </xf>
    <xf numFmtId="0" fontId="82" fillId="0" borderId="54" xfId="0" applyFont="1" applyBorder="1" applyAlignment="1">
      <alignment horizontal="center" vertical="center"/>
    </xf>
    <xf numFmtId="0" fontId="82" fillId="0" borderId="55" xfId="0" applyFont="1" applyBorder="1" applyAlignment="1">
      <alignment horizontal="center" vertical="center"/>
    </xf>
    <xf numFmtId="0" fontId="82" fillId="0" borderId="49" xfId="0" applyFont="1" applyBorder="1" applyAlignment="1">
      <alignment horizontal="center" vertical="center" wrapText="1"/>
    </xf>
    <xf numFmtId="0" fontId="82" fillId="0" borderId="54" xfId="0" applyFont="1" applyBorder="1" applyAlignment="1">
      <alignment horizontal="center" vertical="center" wrapText="1"/>
    </xf>
    <xf numFmtId="0" fontId="86" fillId="53" borderId="28" xfId="3985" applyFont="1" applyFill="1" applyBorder="1" applyAlignment="1">
      <alignment horizontal="center" vertical="center"/>
    </xf>
    <xf numFmtId="0" fontId="86" fillId="53" borderId="29" xfId="3985" applyFont="1" applyFill="1" applyBorder="1" applyAlignment="1">
      <alignment horizontal="center" vertical="center"/>
    </xf>
    <xf numFmtId="3" fontId="79" fillId="0" borderId="0" xfId="3" applyNumberFormat="1" applyFont="1" applyAlignment="1">
      <alignment horizontal="center" vertical="center"/>
    </xf>
    <xf numFmtId="0" fontId="81" fillId="39" borderId="31" xfId="3985" applyFont="1" applyFill="1" applyBorder="1" applyAlignment="1">
      <alignment horizontal="right" vertical="center"/>
    </xf>
    <xf numFmtId="0" fontId="81" fillId="39" borderId="32" xfId="3985" applyFont="1" applyFill="1" applyBorder="1" applyAlignment="1">
      <alignment horizontal="right" vertical="center"/>
    </xf>
    <xf numFmtId="0" fontId="81" fillId="39" borderId="33" xfId="3985" applyFont="1" applyFill="1" applyBorder="1" applyAlignment="1">
      <alignment horizontal="right" vertical="center"/>
    </xf>
    <xf numFmtId="0" fontId="82" fillId="0" borderId="57" xfId="0" applyFont="1" applyBorder="1" applyAlignment="1">
      <alignment horizontal="center" vertical="center"/>
    </xf>
    <xf numFmtId="176" fontId="101" fillId="59" borderId="1" xfId="0" applyNumberFormat="1" applyFont="1" applyFill="1" applyBorder="1" applyAlignment="1">
      <alignment horizontal="center" vertical="center"/>
    </xf>
    <xf numFmtId="0" fontId="104" fillId="40" borderId="6" xfId="0" applyFont="1" applyFill="1" applyBorder="1" applyAlignment="1">
      <alignment horizontal="center" vertical="center" wrapText="1"/>
    </xf>
    <xf numFmtId="0" fontId="104" fillId="40" borderId="1" xfId="0" applyFont="1" applyFill="1" applyBorder="1" applyAlignment="1">
      <alignment horizontal="center" vertical="center" wrapText="1"/>
    </xf>
    <xf numFmtId="0" fontId="104" fillId="40" borderId="40" xfId="0" applyFont="1" applyFill="1" applyBorder="1" applyAlignment="1">
      <alignment horizontal="center" vertical="center" wrapText="1"/>
    </xf>
    <xf numFmtId="0" fontId="104" fillId="40" borderId="36" xfId="0" applyFont="1" applyFill="1" applyBorder="1" applyAlignment="1">
      <alignment horizontal="center" vertical="center" wrapText="1"/>
    </xf>
    <xf numFmtId="0" fontId="117" fillId="55" borderId="1" xfId="0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3" fontId="16" fillId="0" borderId="16" xfId="3" applyNumberFormat="1" applyFont="1" applyBorder="1" applyAlignment="1">
      <alignment horizontal="left" vertical="center" readingOrder="2"/>
    </xf>
    <xf numFmtId="0" fontId="20" fillId="0" borderId="0" xfId="0" applyFont="1" applyAlignment="1">
      <alignment horizontal="center" readingOrder="2"/>
    </xf>
    <xf numFmtId="0" fontId="58" fillId="41" borderId="28" xfId="3985" applyFont="1" applyFill="1" applyBorder="1" applyAlignment="1">
      <alignment horizontal="center" vertical="center"/>
    </xf>
    <xf numFmtId="0" fontId="58" fillId="41" borderId="29" xfId="3985" applyFont="1" applyFill="1" applyBorder="1" applyAlignment="1">
      <alignment horizontal="center" vertical="center"/>
    </xf>
    <xf numFmtId="0" fontId="58" fillId="41" borderId="1" xfId="3985" applyFont="1" applyFill="1" applyBorder="1" applyAlignment="1">
      <alignment horizontal="center" vertical="center"/>
    </xf>
  </cellXfs>
  <cellStyles count="5253">
    <cellStyle name="(2)" xfId="16" xr:uid="{00000000-0005-0000-0000-000000000000}"/>
    <cellStyle name="_MONTH (2)" xfId="17" xr:uid="{00000000-0005-0000-0000-000001000000}"/>
    <cellStyle name="20% - Accent1 2" xfId="18" xr:uid="{00000000-0005-0000-0000-000002000000}"/>
    <cellStyle name="20% - Accent2 2" xfId="5" xr:uid="{00000000-0005-0000-0000-000003000000}"/>
    <cellStyle name="20% - Accent3 2" xfId="19" xr:uid="{00000000-0005-0000-0000-000004000000}"/>
    <cellStyle name="20% - Accent4 2" xfId="20" xr:uid="{00000000-0005-0000-0000-000005000000}"/>
    <cellStyle name="20% - Accent5 2" xfId="21" xr:uid="{00000000-0005-0000-0000-000006000000}"/>
    <cellStyle name="20% - Accent6 2" xfId="22" xr:uid="{00000000-0005-0000-0000-000007000000}"/>
    <cellStyle name="2M_S18M " xfId="23" xr:uid="{00000000-0005-0000-0000-000008000000}"/>
    <cellStyle name="40% - Accent1 2" xfId="24" xr:uid="{00000000-0005-0000-0000-000009000000}"/>
    <cellStyle name="40% - Accent2 2" xfId="25" xr:uid="{00000000-0005-0000-0000-00000A000000}"/>
    <cellStyle name="40% - Accent3 2" xfId="26" xr:uid="{00000000-0005-0000-0000-00000B000000}"/>
    <cellStyle name="40% - Accent4 2" xfId="27" xr:uid="{00000000-0005-0000-0000-00000C000000}"/>
    <cellStyle name="40% - Accent5 2" xfId="28" xr:uid="{00000000-0005-0000-0000-00000D000000}"/>
    <cellStyle name="40% - Accent6 2" xfId="29" xr:uid="{00000000-0005-0000-0000-00000E000000}"/>
    <cellStyle name="60% - Accent1 2" xfId="30" xr:uid="{00000000-0005-0000-0000-00000F000000}"/>
    <cellStyle name="60% - Accent2 2" xfId="31" xr:uid="{00000000-0005-0000-0000-000010000000}"/>
    <cellStyle name="60% - Accent3 2" xfId="32" xr:uid="{00000000-0005-0000-0000-000011000000}"/>
    <cellStyle name="60% - Accent4 2" xfId="33" xr:uid="{00000000-0005-0000-0000-000012000000}"/>
    <cellStyle name="60% - Accent5 2" xfId="34" xr:uid="{00000000-0005-0000-0000-000013000000}"/>
    <cellStyle name="60% - Accent6 2" xfId="35" xr:uid="{00000000-0005-0000-0000-000014000000}"/>
    <cellStyle name="aaa" xfId="3984" xr:uid="{00000000-0005-0000-0000-000015000000}"/>
    <cellStyle name="Accent1 - 20%" xfId="36" xr:uid="{00000000-0005-0000-0000-000016000000}"/>
    <cellStyle name="Accent1 - 40%" xfId="37" xr:uid="{00000000-0005-0000-0000-000017000000}"/>
    <cellStyle name="Accent1 - 60%" xfId="38" xr:uid="{00000000-0005-0000-0000-000018000000}"/>
    <cellStyle name="Accent1 2" xfId="39" xr:uid="{00000000-0005-0000-0000-000019000000}"/>
    <cellStyle name="Accent2 - 20%" xfId="40" xr:uid="{00000000-0005-0000-0000-00001A000000}"/>
    <cellStyle name="Accent2 - 40%" xfId="41" xr:uid="{00000000-0005-0000-0000-00001B000000}"/>
    <cellStyle name="Accent2 - 60%" xfId="42" xr:uid="{00000000-0005-0000-0000-00001C000000}"/>
    <cellStyle name="Accent2 2" xfId="6" xr:uid="{00000000-0005-0000-0000-00001D000000}"/>
    <cellStyle name="Accent3 - 20%" xfId="43" xr:uid="{00000000-0005-0000-0000-00001E000000}"/>
    <cellStyle name="Accent3 - 40%" xfId="44" xr:uid="{00000000-0005-0000-0000-00001F000000}"/>
    <cellStyle name="Accent3 - 60%" xfId="45" xr:uid="{00000000-0005-0000-0000-000020000000}"/>
    <cellStyle name="Accent3 2" xfId="7" xr:uid="{00000000-0005-0000-0000-000021000000}"/>
    <cellStyle name="Accent4 - 20%" xfId="46" xr:uid="{00000000-0005-0000-0000-000022000000}"/>
    <cellStyle name="Accent4 - 40%" xfId="47" xr:uid="{00000000-0005-0000-0000-000023000000}"/>
    <cellStyle name="Accent4 - 60%" xfId="48" xr:uid="{00000000-0005-0000-0000-000024000000}"/>
    <cellStyle name="Accent4 2" xfId="8" xr:uid="{00000000-0005-0000-0000-000025000000}"/>
    <cellStyle name="Accent5 - 20%" xfId="49" xr:uid="{00000000-0005-0000-0000-000026000000}"/>
    <cellStyle name="Accent5 - 40%" xfId="50" xr:uid="{00000000-0005-0000-0000-000027000000}"/>
    <cellStyle name="Accent5 - 60%" xfId="51" xr:uid="{00000000-0005-0000-0000-000028000000}"/>
    <cellStyle name="Accent5 2" xfId="52" xr:uid="{00000000-0005-0000-0000-000029000000}"/>
    <cellStyle name="Accent6 - 20%" xfId="53" xr:uid="{00000000-0005-0000-0000-00002A000000}"/>
    <cellStyle name="Accent6 - 40%" xfId="54" xr:uid="{00000000-0005-0000-0000-00002B000000}"/>
    <cellStyle name="Accent6 - 60%" xfId="55" xr:uid="{00000000-0005-0000-0000-00002C000000}"/>
    <cellStyle name="Accent6 2" xfId="56" xr:uid="{00000000-0005-0000-0000-00002D000000}"/>
    <cellStyle name="Bad 2" xfId="57" xr:uid="{00000000-0005-0000-0000-00002E000000}"/>
    <cellStyle name="Calculation 2" xfId="58" xr:uid="{00000000-0005-0000-0000-00002F000000}"/>
    <cellStyle name="Check Cell 2" xfId="59" xr:uid="{00000000-0005-0000-0000-000030000000}"/>
    <cellStyle name="Comma" xfId="1" builtinId="3"/>
    <cellStyle name="Comma [0] 2" xfId="60" xr:uid="{00000000-0005-0000-0000-000032000000}"/>
    <cellStyle name="Comma [0] 3" xfId="61" xr:uid="{00000000-0005-0000-0000-000033000000}"/>
    <cellStyle name="Comma [0] 4" xfId="62" xr:uid="{00000000-0005-0000-0000-000034000000}"/>
    <cellStyle name="Comma [0] 4 2" xfId="63" xr:uid="{00000000-0005-0000-0000-000035000000}"/>
    <cellStyle name="Comma 10" xfId="64" xr:uid="{00000000-0005-0000-0000-000036000000}"/>
    <cellStyle name="Comma 10 2" xfId="65" xr:uid="{00000000-0005-0000-0000-000037000000}"/>
    <cellStyle name="Comma 10 2 2" xfId="66" xr:uid="{00000000-0005-0000-0000-000038000000}"/>
    <cellStyle name="Comma 10 2 2 2" xfId="4003" xr:uid="{00000000-0005-0000-0000-000039000000}"/>
    <cellStyle name="Comma 10 2 2 2 2" xfId="4843" xr:uid="{00000000-0005-0000-0000-00003A000000}"/>
    <cellStyle name="Comma 10 2 2 3" xfId="4447" xr:uid="{00000000-0005-0000-0000-00003B000000}"/>
    <cellStyle name="Comma 10 2 3" xfId="4002" xr:uid="{00000000-0005-0000-0000-00003C000000}"/>
    <cellStyle name="Comma 10 2 3 2" xfId="4920" xr:uid="{00000000-0005-0000-0000-00003D000000}"/>
    <cellStyle name="Comma 10 2 4" xfId="4446" xr:uid="{00000000-0005-0000-0000-00003E000000}"/>
    <cellStyle name="Comma 10 3" xfId="67" xr:uid="{00000000-0005-0000-0000-00003F000000}"/>
    <cellStyle name="Comma 10 3 2" xfId="4004" xr:uid="{00000000-0005-0000-0000-000040000000}"/>
    <cellStyle name="Comma 10 3 2 2" xfId="4881" xr:uid="{00000000-0005-0000-0000-000041000000}"/>
    <cellStyle name="Comma 10 3 3" xfId="4448" xr:uid="{00000000-0005-0000-0000-000042000000}"/>
    <cellStyle name="Comma 10 4" xfId="4001" xr:uid="{00000000-0005-0000-0000-000043000000}"/>
    <cellStyle name="Comma 10 4 2" xfId="4957" xr:uid="{00000000-0005-0000-0000-000044000000}"/>
    <cellStyle name="Comma 10 5" xfId="4445" xr:uid="{00000000-0005-0000-0000-000045000000}"/>
    <cellStyle name="Comma 11" xfId="68" xr:uid="{00000000-0005-0000-0000-000046000000}"/>
    <cellStyle name="Comma 11 2" xfId="4401" xr:uid="{00000000-0005-0000-0000-000047000000}"/>
    <cellStyle name="Comma 11 2 2" xfId="4829" xr:uid="{00000000-0005-0000-0000-000048000000}"/>
    <cellStyle name="Comma 11 3" xfId="4437" xr:uid="{00000000-0005-0000-0000-000049000000}"/>
    <cellStyle name="Comma 11 3 2" xfId="4994" xr:uid="{00000000-0005-0000-0000-00004A000000}"/>
    <cellStyle name="Comma 12" xfId="69" xr:uid="{00000000-0005-0000-0000-00004B000000}"/>
    <cellStyle name="Comma 12 2" xfId="4379" xr:uid="{00000000-0005-0000-0000-00004C000000}"/>
    <cellStyle name="Comma 12 3" xfId="4431" xr:uid="{00000000-0005-0000-0000-00004D000000}"/>
    <cellStyle name="Comma 13" xfId="70" xr:uid="{00000000-0005-0000-0000-00004E000000}"/>
    <cellStyle name="Comma 13 2" xfId="4433" xr:uid="{00000000-0005-0000-0000-00004F000000}"/>
    <cellStyle name="Comma 13 2 2" xfId="4989" xr:uid="{00000000-0005-0000-0000-000050000000}"/>
    <cellStyle name="Comma 14" xfId="71" xr:uid="{00000000-0005-0000-0000-000051000000}"/>
    <cellStyle name="Comma 14 2" xfId="4392" xr:uid="{00000000-0005-0000-0000-000052000000}"/>
    <cellStyle name="Comma 14 2 2" xfId="4820" xr:uid="{00000000-0005-0000-0000-000053000000}"/>
    <cellStyle name="Comma 15" xfId="72" xr:uid="{00000000-0005-0000-0000-000054000000}"/>
    <cellStyle name="Comma 15 2" xfId="4388" xr:uid="{00000000-0005-0000-0000-000055000000}"/>
    <cellStyle name="Comma 15 2 2" xfId="4816" xr:uid="{00000000-0005-0000-0000-000056000000}"/>
    <cellStyle name="Comma 16" xfId="73" xr:uid="{00000000-0005-0000-0000-000057000000}"/>
    <cellStyle name="Comma 16 2" xfId="4387" xr:uid="{00000000-0005-0000-0000-000058000000}"/>
    <cellStyle name="Comma 16 3" xfId="4438" xr:uid="{00000000-0005-0000-0000-000059000000}"/>
    <cellStyle name="Comma 17" xfId="74" xr:uid="{00000000-0005-0000-0000-00005A000000}"/>
    <cellStyle name="Comma 18" xfId="75" xr:uid="{00000000-0005-0000-0000-00005B000000}"/>
    <cellStyle name="Comma 19" xfId="76" xr:uid="{00000000-0005-0000-0000-00005C000000}"/>
    <cellStyle name="Comma 2" xfId="4" xr:uid="{00000000-0005-0000-0000-00005D000000}"/>
    <cellStyle name="Comma 2 10" xfId="77" xr:uid="{00000000-0005-0000-0000-00005E000000}"/>
    <cellStyle name="Comma 2 11" xfId="78" xr:uid="{00000000-0005-0000-0000-00005F000000}"/>
    <cellStyle name="Comma 2 2" xfId="79" xr:uid="{00000000-0005-0000-0000-000060000000}"/>
    <cellStyle name="Comma 2 2 2" xfId="80" xr:uid="{00000000-0005-0000-0000-000061000000}"/>
    <cellStyle name="Comma 2 2 2 2" xfId="81" xr:uid="{00000000-0005-0000-0000-000062000000}"/>
    <cellStyle name="Comma 2 2 2 2 2" xfId="4006" xr:uid="{00000000-0005-0000-0000-000063000000}"/>
    <cellStyle name="Comma 2 2 2 2 2 2" xfId="4879" xr:uid="{00000000-0005-0000-0000-000064000000}"/>
    <cellStyle name="Comma 2 2 2 2 3" xfId="4450" xr:uid="{00000000-0005-0000-0000-000065000000}"/>
    <cellStyle name="Comma 2 2 2 3" xfId="82" xr:uid="{00000000-0005-0000-0000-000066000000}"/>
    <cellStyle name="Comma 2 2 2 3 2" xfId="4419" xr:uid="{00000000-0005-0000-0000-000067000000}"/>
    <cellStyle name="Comma 2 2 2 3 2 2" xfId="4955" xr:uid="{00000000-0005-0000-0000-000068000000}"/>
    <cellStyle name="Comma 2 2 2 4" xfId="83" xr:uid="{00000000-0005-0000-0000-000069000000}"/>
    <cellStyle name="Comma 2 2 2 5" xfId="84" xr:uid="{00000000-0005-0000-0000-00006A000000}"/>
    <cellStyle name="Comma 2 2 2 6" xfId="4005" xr:uid="{00000000-0005-0000-0000-00006B000000}"/>
    <cellStyle name="Comma 2 2 2 6 2" xfId="5002" xr:uid="{00000000-0005-0000-0000-00006C000000}"/>
    <cellStyle name="Comma 2 2 2 7" xfId="4449" xr:uid="{00000000-0005-0000-0000-00006D000000}"/>
    <cellStyle name="Comma 2 2 3" xfId="85" xr:uid="{00000000-0005-0000-0000-00006E000000}"/>
    <cellStyle name="Comma 2 2 3 2" xfId="4007" xr:uid="{00000000-0005-0000-0000-00006F000000}"/>
    <cellStyle name="Comma 2 2 3 2 2" xfId="4916" xr:uid="{00000000-0005-0000-0000-000070000000}"/>
    <cellStyle name="Comma 2 2 3 3" xfId="4451" xr:uid="{00000000-0005-0000-0000-000071000000}"/>
    <cellStyle name="Comma 2 2 4" xfId="4422" xr:uid="{00000000-0005-0000-0000-000072000000}"/>
    <cellStyle name="Comma 2 2 4 2" xfId="4978" xr:uid="{00000000-0005-0000-0000-000073000000}"/>
    <cellStyle name="Comma 2 3" xfId="86" xr:uid="{00000000-0005-0000-0000-000074000000}"/>
    <cellStyle name="Comma 2 3 2" xfId="87" xr:uid="{00000000-0005-0000-0000-000075000000}"/>
    <cellStyle name="Comma 2 4" xfId="88" xr:uid="{00000000-0005-0000-0000-000076000000}"/>
    <cellStyle name="Comma 2 4 2" xfId="89" xr:uid="{00000000-0005-0000-0000-000077000000}"/>
    <cellStyle name="Comma 2 4 3" xfId="4430" xr:uid="{00000000-0005-0000-0000-000078000000}"/>
    <cellStyle name="Comma 2 4 3 2" xfId="4988" xr:uid="{00000000-0005-0000-0000-000079000000}"/>
    <cellStyle name="Comma 2 5" xfId="90" xr:uid="{00000000-0005-0000-0000-00007A000000}"/>
    <cellStyle name="Comma 2 5 2" xfId="91" xr:uid="{00000000-0005-0000-0000-00007B000000}"/>
    <cellStyle name="Comma 2 5 3" xfId="4386" xr:uid="{00000000-0005-0000-0000-00007C000000}"/>
    <cellStyle name="Comma 2 5 3 2" xfId="4815" xr:uid="{00000000-0005-0000-0000-00007D000000}"/>
    <cellStyle name="Comma 2 6" xfId="92" xr:uid="{00000000-0005-0000-0000-00007E000000}"/>
    <cellStyle name="Comma 2 7" xfId="93" xr:uid="{00000000-0005-0000-0000-00007F000000}"/>
    <cellStyle name="Comma 2 8" xfId="94" xr:uid="{00000000-0005-0000-0000-000080000000}"/>
    <cellStyle name="Comma 2 9" xfId="95" xr:uid="{00000000-0005-0000-0000-000081000000}"/>
    <cellStyle name="Comma 20" xfId="96" xr:uid="{00000000-0005-0000-0000-000082000000}"/>
    <cellStyle name="Comma 21" xfId="97" xr:uid="{00000000-0005-0000-0000-000083000000}"/>
    <cellStyle name="Comma 22" xfId="3987" xr:uid="{00000000-0005-0000-0000-000084000000}"/>
    <cellStyle name="Comma 22 2" xfId="4366" xr:uid="{00000000-0005-0000-0000-000085000000}"/>
    <cellStyle name="Comma 22 2 2" xfId="5236" xr:uid="{00000000-0005-0000-0000-000086000000}"/>
    <cellStyle name="Comma 22 3" xfId="4808" xr:uid="{00000000-0005-0000-0000-000087000000}"/>
    <cellStyle name="Comma 23" xfId="3988" xr:uid="{00000000-0005-0000-0000-000088000000}"/>
    <cellStyle name="Comma 23 2" xfId="4367" xr:uid="{00000000-0005-0000-0000-000089000000}"/>
    <cellStyle name="Comma 23 2 2" xfId="5237" xr:uid="{00000000-0005-0000-0000-00008A000000}"/>
    <cellStyle name="Comma 23 3" xfId="4809" xr:uid="{00000000-0005-0000-0000-00008B000000}"/>
    <cellStyle name="Comma 24" xfId="3989" xr:uid="{00000000-0005-0000-0000-00008C000000}"/>
    <cellStyle name="Comma 24 2" xfId="4368" xr:uid="{00000000-0005-0000-0000-00008D000000}"/>
    <cellStyle name="Comma 24 2 2" xfId="5238" xr:uid="{00000000-0005-0000-0000-00008E000000}"/>
    <cellStyle name="Comma 24 3" xfId="4810" xr:uid="{00000000-0005-0000-0000-00008F000000}"/>
    <cellStyle name="Comma 25" xfId="3990" xr:uid="{00000000-0005-0000-0000-000090000000}"/>
    <cellStyle name="Comma 25 2" xfId="4369" xr:uid="{00000000-0005-0000-0000-000091000000}"/>
    <cellStyle name="Comma 25 2 2" xfId="5239" xr:uid="{00000000-0005-0000-0000-000092000000}"/>
    <cellStyle name="Comma 25 3" xfId="4811" xr:uid="{00000000-0005-0000-0000-000093000000}"/>
    <cellStyle name="Comma 26" xfId="3991" xr:uid="{00000000-0005-0000-0000-000094000000}"/>
    <cellStyle name="Comma 26 2" xfId="4370" xr:uid="{00000000-0005-0000-0000-000095000000}"/>
    <cellStyle name="Comma 26 2 2" xfId="5240" xr:uid="{00000000-0005-0000-0000-000096000000}"/>
    <cellStyle name="Comma 26 3" xfId="4812" xr:uid="{00000000-0005-0000-0000-000097000000}"/>
    <cellStyle name="Comma 27" xfId="3992" xr:uid="{00000000-0005-0000-0000-000098000000}"/>
    <cellStyle name="Comma 27 2" xfId="4371" xr:uid="{00000000-0005-0000-0000-000099000000}"/>
    <cellStyle name="Comma 27 2 2" xfId="5241" xr:uid="{00000000-0005-0000-0000-00009A000000}"/>
    <cellStyle name="Comma 27 3" xfId="4813" xr:uid="{00000000-0005-0000-0000-00009B000000}"/>
    <cellStyle name="Comma 28" xfId="3996" xr:uid="{00000000-0005-0000-0000-00009C000000}"/>
    <cellStyle name="Comma 29" xfId="4372" xr:uid="{00000000-0005-0000-0000-00009D000000}"/>
    <cellStyle name="Comma 3" xfId="15" xr:uid="{00000000-0005-0000-0000-00009E000000}"/>
    <cellStyle name="Comma 3 2" xfId="98" xr:uid="{00000000-0005-0000-0000-00009F000000}"/>
    <cellStyle name="Comma 3 2 2" xfId="99" xr:uid="{00000000-0005-0000-0000-0000A0000000}"/>
    <cellStyle name="Comma 3 2 2 2" xfId="100" xr:uid="{00000000-0005-0000-0000-0000A1000000}"/>
    <cellStyle name="Comma 3 2 2 2 2" xfId="4010" xr:uid="{00000000-0005-0000-0000-0000A2000000}"/>
    <cellStyle name="Comma 3 2 2 2 2 2" xfId="4863" xr:uid="{00000000-0005-0000-0000-0000A3000000}"/>
    <cellStyle name="Comma 3 2 2 2 3" xfId="4454" xr:uid="{00000000-0005-0000-0000-0000A4000000}"/>
    <cellStyle name="Comma 3 2 2 3" xfId="4009" xr:uid="{00000000-0005-0000-0000-0000A5000000}"/>
    <cellStyle name="Comma 3 2 2 3 2" xfId="4940" xr:uid="{00000000-0005-0000-0000-0000A6000000}"/>
    <cellStyle name="Comma 3 2 2 4" xfId="4453" xr:uid="{00000000-0005-0000-0000-0000A7000000}"/>
    <cellStyle name="Comma 3 2 3" xfId="101" xr:uid="{00000000-0005-0000-0000-0000A8000000}"/>
    <cellStyle name="Comma 3 2 3 2" xfId="4011" xr:uid="{00000000-0005-0000-0000-0000A9000000}"/>
    <cellStyle name="Comma 3 2 3 2 2" xfId="4901" xr:uid="{00000000-0005-0000-0000-0000AA000000}"/>
    <cellStyle name="Comma 3 2 3 3" xfId="4455" xr:uid="{00000000-0005-0000-0000-0000AB000000}"/>
    <cellStyle name="Comma 3 2 4" xfId="4008" xr:uid="{00000000-0005-0000-0000-0000AC000000}"/>
    <cellStyle name="Comma 3 2 4 2" xfId="4975" xr:uid="{00000000-0005-0000-0000-0000AD000000}"/>
    <cellStyle name="Comma 3 2 5" xfId="4452" xr:uid="{00000000-0005-0000-0000-0000AE000000}"/>
    <cellStyle name="Comma 3 3" xfId="102" xr:uid="{00000000-0005-0000-0000-0000AF000000}"/>
    <cellStyle name="Comma 3 3 2" xfId="103" xr:uid="{00000000-0005-0000-0000-0000B0000000}"/>
    <cellStyle name="Comma 3 3 2 2" xfId="4013" xr:uid="{00000000-0005-0000-0000-0000B1000000}"/>
    <cellStyle name="Comma 3 3 2 2 2" xfId="4876" xr:uid="{00000000-0005-0000-0000-0000B2000000}"/>
    <cellStyle name="Comma 3 3 2 3" xfId="4457" xr:uid="{00000000-0005-0000-0000-0000B3000000}"/>
    <cellStyle name="Comma 3 3 3" xfId="4012" xr:uid="{00000000-0005-0000-0000-0000B4000000}"/>
    <cellStyle name="Comma 3 3 3 2" xfId="4952" xr:uid="{00000000-0005-0000-0000-0000B5000000}"/>
    <cellStyle name="Comma 3 3 4" xfId="4456" xr:uid="{00000000-0005-0000-0000-0000B6000000}"/>
    <cellStyle name="Comma 3 4" xfId="104" xr:uid="{00000000-0005-0000-0000-0000B7000000}"/>
    <cellStyle name="Comma 3 4 2" xfId="4014" xr:uid="{00000000-0005-0000-0000-0000B8000000}"/>
    <cellStyle name="Comma 3 4 2 2" xfId="4912" xr:uid="{00000000-0005-0000-0000-0000B9000000}"/>
    <cellStyle name="Comma 3 4 3" xfId="4458" xr:uid="{00000000-0005-0000-0000-0000BA000000}"/>
    <cellStyle name="Comma 3 5" xfId="105" xr:uid="{00000000-0005-0000-0000-0000BB000000}"/>
    <cellStyle name="Comma 3 5 2" xfId="4427" xr:uid="{00000000-0005-0000-0000-0000BC000000}"/>
    <cellStyle name="Comma 3 5 2 2" xfId="4985" xr:uid="{00000000-0005-0000-0000-0000BD000000}"/>
    <cellStyle name="Comma 3 6" xfId="106" xr:uid="{00000000-0005-0000-0000-0000BE000000}"/>
    <cellStyle name="Comma 3 7" xfId="107" xr:uid="{00000000-0005-0000-0000-0000BF000000}"/>
    <cellStyle name="Comma 3 8" xfId="108" xr:uid="{00000000-0005-0000-0000-0000C0000000}"/>
    <cellStyle name="Comma 30" xfId="3994" xr:uid="{00000000-0005-0000-0000-0000C1000000}"/>
    <cellStyle name="Comma 30 2" xfId="4998" xr:uid="{00000000-0005-0000-0000-0000C2000000}"/>
    <cellStyle name="Comma 31" xfId="109" xr:uid="{00000000-0005-0000-0000-0000C3000000}"/>
    <cellStyle name="Comma 32" xfId="4364" xr:uid="{00000000-0005-0000-0000-0000C4000000}"/>
    <cellStyle name="Comma 32 2" xfId="5234" xr:uid="{00000000-0005-0000-0000-0000C5000000}"/>
    <cellStyle name="Comma 33" xfId="110" xr:uid="{00000000-0005-0000-0000-0000C6000000}"/>
    <cellStyle name="Comma 34" xfId="111" xr:uid="{00000000-0005-0000-0000-0000C7000000}"/>
    <cellStyle name="Comma 35" xfId="4376" xr:uid="{00000000-0005-0000-0000-0000C8000000}"/>
    <cellStyle name="Comma 35 2" xfId="5245" xr:uid="{00000000-0005-0000-0000-0000C9000000}"/>
    <cellStyle name="Comma 36" xfId="4310" xr:uid="{00000000-0005-0000-0000-0000CA000000}"/>
    <cellStyle name="Comma 36 2" xfId="5180" xr:uid="{00000000-0005-0000-0000-0000CB000000}"/>
    <cellStyle name="Comma 37" xfId="4374" xr:uid="{00000000-0005-0000-0000-0000CC000000}"/>
    <cellStyle name="Comma 37 2" xfId="5243" xr:uid="{00000000-0005-0000-0000-0000CD000000}"/>
    <cellStyle name="Comma 38" xfId="4363" xr:uid="{00000000-0005-0000-0000-0000CE000000}"/>
    <cellStyle name="Comma 38 2" xfId="5233" xr:uid="{00000000-0005-0000-0000-0000CF000000}"/>
    <cellStyle name="Comma 39" xfId="4375" xr:uid="{00000000-0005-0000-0000-0000D0000000}"/>
    <cellStyle name="Comma 39 2" xfId="5244" xr:uid="{00000000-0005-0000-0000-0000D1000000}"/>
    <cellStyle name="Comma 4" xfId="112" xr:uid="{00000000-0005-0000-0000-0000D2000000}"/>
    <cellStyle name="Comma 4 2" xfId="113" xr:uid="{00000000-0005-0000-0000-0000D3000000}"/>
    <cellStyle name="Comma 4 2 2" xfId="114" xr:uid="{00000000-0005-0000-0000-0000D4000000}"/>
    <cellStyle name="Comma 4 2 2 2" xfId="115" xr:uid="{00000000-0005-0000-0000-0000D5000000}"/>
    <cellStyle name="Comma 4 2 2 2 2" xfId="4018" xr:uid="{00000000-0005-0000-0000-0000D6000000}"/>
    <cellStyle name="Comma 4 2 2 2 2 2" xfId="4860" xr:uid="{00000000-0005-0000-0000-0000D7000000}"/>
    <cellStyle name="Comma 4 2 2 2 3" xfId="4462" xr:uid="{00000000-0005-0000-0000-0000D8000000}"/>
    <cellStyle name="Comma 4 2 2 3" xfId="4017" xr:uid="{00000000-0005-0000-0000-0000D9000000}"/>
    <cellStyle name="Comma 4 2 2 3 2" xfId="4937" xr:uid="{00000000-0005-0000-0000-0000DA000000}"/>
    <cellStyle name="Comma 4 2 2 4" xfId="4461" xr:uid="{00000000-0005-0000-0000-0000DB000000}"/>
    <cellStyle name="Comma 4 2 3" xfId="116" xr:uid="{00000000-0005-0000-0000-0000DC000000}"/>
    <cellStyle name="Comma 4 2 3 2" xfId="4019" xr:uid="{00000000-0005-0000-0000-0000DD000000}"/>
    <cellStyle name="Comma 4 2 3 2 2" xfId="4898" xr:uid="{00000000-0005-0000-0000-0000DE000000}"/>
    <cellStyle name="Comma 4 2 3 3" xfId="4463" xr:uid="{00000000-0005-0000-0000-0000DF000000}"/>
    <cellStyle name="Comma 4 2 4" xfId="4016" xr:uid="{00000000-0005-0000-0000-0000E0000000}"/>
    <cellStyle name="Comma 4 2 4 2" xfId="4973" xr:uid="{00000000-0005-0000-0000-0000E1000000}"/>
    <cellStyle name="Comma 4 2 5" xfId="4460" xr:uid="{00000000-0005-0000-0000-0000E2000000}"/>
    <cellStyle name="Comma 4 3" xfId="117" xr:uid="{00000000-0005-0000-0000-0000E3000000}"/>
    <cellStyle name="Comma 4 3 2" xfId="118" xr:uid="{00000000-0005-0000-0000-0000E4000000}"/>
    <cellStyle name="Comma 4 3 2 2" xfId="4021" xr:uid="{00000000-0005-0000-0000-0000E5000000}"/>
    <cellStyle name="Comma 4 3 2 2 2" xfId="4873" xr:uid="{00000000-0005-0000-0000-0000E6000000}"/>
    <cellStyle name="Comma 4 3 2 3" xfId="4465" xr:uid="{00000000-0005-0000-0000-0000E7000000}"/>
    <cellStyle name="Comma 4 3 3" xfId="4020" xr:uid="{00000000-0005-0000-0000-0000E8000000}"/>
    <cellStyle name="Comma 4 3 3 2" xfId="4950" xr:uid="{00000000-0005-0000-0000-0000E9000000}"/>
    <cellStyle name="Comma 4 3 4" xfId="4464" xr:uid="{00000000-0005-0000-0000-0000EA000000}"/>
    <cellStyle name="Comma 4 4" xfId="119" xr:uid="{00000000-0005-0000-0000-0000EB000000}"/>
    <cellStyle name="Comma 4 4 2" xfId="4022" xr:uid="{00000000-0005-0000-0000-0000EC000000}"/>
    <cellStyle name="Comma 4 4 2 2" xfId="4910" xr:uid="{00000000-0005-0000-0000-0000ED000000}"/>
    <cellStyle name="Comma 4 4 3" xfId="4466" xr:uid="{00000000-0005-0000-0000-0000EE000000}"/>
    <cellStyle name="Comma 4 5" xfId="4015" xr:uid="{00000000-0005-0000-0000-0000EF000000}"/>
    <cellStyle name="Comma 4 5 2" xfId="4984" xr:uid="{00000000-0005-0000-0000-0000F0000000}"/>
    <cellStyle name="Comma 4 6" xfId="4459" xr:uid="{00000000-0005-0000-0000-0000F1000000}"/>
    <cellStyle name="Comma 40" xfId="4309" xr:uid="{00000000-0005-0000-0000-0000F2000000}"/>
    <cellStyle name="Comma 40 2" xfId="5179" xr:uid="{00000000-0005-0000-0000-0000F3000000}"/>
    <cellStyle name="Comma 41" xfId="4373" xr:uid="{00000000-0005-0000-0000-0000F4000000}"/>
    <cellStyle name="Comma 41 2" xfId="5242" xr:uid="{00000000-0005-0000-0000-0000F5000000}"/>
    <cellStyle name="Comma 42" xfId="4441" xr:uid="{00000000-0005-0000-0000-0000F6000000}"/>
    <cellStyle name="Comma 43" xfId="4806" xr:uid="{00000000-0005-0000-0000-0000F7000000}"/>
    <cellStyle name="Comma 44" xfId="4995" xr:uid="{00000000-0005-0000-0000-0000F8000000}"/>
    <cellStyle name="Comma 45" xfId="4996" xr:uid="{00000000-0005-0000-0000-0000F9000000}"/>
    <cellStyle name="Comma 46" xfId="4997" xr:uid="{00000000-0005-0000-0000-0000FA000000}"/>
    <cellStyle name="Comma 47" xfId="4753" xr:uid="{00000000-0005-0000-0000-0000FB000000}"/>
    <cellStyle name="Comma 48" xfId="5247" xr:uid="{00000000-0005-0000-0000-0000FC000000}"/>
    <cellStyle name="Comma 49" xfId="5249" xr:uid="{4A228A3F-00E1-4A16-9E0A-1CE9348BBCCF}"/>
    <cellStyle name="Comma 5" xfId="120" xr:uid="{00000000-0005-0000-0000-0000FD000000}"/>
    <cellStyle name="Comma 5 2" xfId="121" xr:uid="{00000000-0005-0000-0000-0000FE000000}"/>
    <cellStyle name="Comma 5 2 2" xfId="122" xr:uid="{00000000-0005-0000-0000-0000FF000000}"/>
    <cellStyle name="Comma 5 2 2 2" xfId="123" xr:uid="{00000000-0005-0000-0000-000000010000}"/>
    <cellStyle name="Comma 5 2 2 2 2" xfId="4026" xr:uid="{00000000-0005-0000-0000-000001010000}"/>
    <cellStyle name="Comma 5 2 2 2 2 2" xfId="4858" xr:uid="{00000000-0005-0000-0000-000002010000}"/>
    <cellStyle name="Comma 5 2 2 2 3" xfId="4470" xr:uid="{00000000-0005-0000-0000-000003010000}"/>
    <cellStyle name="Comma 5 2 2 3" xfId="4025" xr:uid="{00000000-0005-0000-0000-000004010000}"/>
    <cellStyle name="Comma 5 2 2 3 2" xfId="4935" xr:uid="{00000000-0005-0000-0000-000005010000}"/>
    <cellStyle name="Comma 5 2 2 4" xfId="4469" xr:uid="{00000000-0005-0000-0000-000006010000}"/>
    <cellStyle name="Comma 5 2 3" xfId="124" xr:uid="{00000000-0005-0000-0000-000007010000}"/>
    <cellStyle name="Comma 5 2 3 2" xfId="4027" xr:uid="{00000000-0005-0000-0000-000008010000}"/>
    <cellStyle name="Comma 5 2 3 2 2" xfId="4896" xr:uid="{00000000-0005-0000-0000-000009010000}"/>
    <cellStyle name="Comma 5 2 3 3" xfId="4471" xr:uid="{00000000-0005-0000-0000-00000A010000}"/>
    <cellStyle name="Comma 5 2 4" xfId="4024" xr:uid="{00000000-0005-0000-0000-00000B010000}"/>
    <cellStyle name="Comma 5 2 4 2" xfId="4971" xr:uid="{00000000-0005-0000-0000-00000C010000}"/>
    <cellStyle name="Comma 5 2 5" xfId="4468" xr:uid="{00000000-0005-0000-0000-00000D010000}"/>
    <cellStyle name="Comma 5 3" xfId="125" xr:uid="{00000000-0005-0000-0000-00000E010000}"/>
    <cellStyle name="Comma 5 3 2" xfId="126" xr:uid="{00000000-0005-0000-0000-00000F010000}"/>
    <cellStyle name="Comma 5 3 2 2" xfId="4029" xr:uid="{00000000-0005-0000-0000-000010010000}"/>
    <cellStyle name="Comma 5 3 2 2 2" xfId="4871" xr:uid="{00000000-0005-0000-0000-000011010000}"/>
    <cellStyle name="Comma 5 3 2 3" xfId="4473" xr:uid="{00000000-0005-0000-0000-000012010000}"/>
    <cellStyle name="Comma 5 3 3" xfId="4028" xr:uid="{00000000-0005-0000-0000-000013010000}"/>
    <cellStyle name="Comma 5 3 3 2" xfId="4948" xr:uid="{00000000-0005-0000-0000-000014010000}"/>
    <cellStyle name="Comma 5 3 4" xfId="4472" xr:uid="{00000000-0005-0000-0000-000015010000}"/>
    <cellStyle name="Comma 5 4" xfId="127" xr:uid="{00000000-0005-0000-0000-000016010000}"/>
    <cellStyle name="Comma 5 4 2" xfId="4030" xr:uid="{00000000-0005-0000-0000-000017010000}"/>
    <cellStyle name="Comma 5 4 2 2" xfId="4908" xr:uid="{00000000-0005-0000-0000-000018010000}"/>
    <cellStyle name="Comma 5 4 3" xfId="4474" xr:uid="{00000000-0005-0000-0000-000019010000}"/>
    <cellStyle name="Comma 5 5" xfId="128" xr:uid="{00000000-0005-0000-0000-00001A010000}"/>
    <cellStyle name="Comma 5 5 2" xfId="4426" xr:uid="{00000000-0005-0000-0000-00001B010000}"/>
    <cellStyle name="Comma 5 5 2 2" xfId="4983" xr:uid="{00000000-0005-0000-0000-00001C010000}"/>
    <cellStyle name="Comma 5 6" xfId="129" xr:uid="{00000000-0005-0000-0000-00001D010000}"/>
    <cellStyle name="Comma 5 7" xfId="4023" xr:uid="{00000000-0005-0000-0000-00001E010000}"/>
    <cellStyle name="Comma 5 7 2" xfId="5003" xr:uid="{00000000-0005-0000-0000-00001F010000}"/>
    <cellStyle name="Comma 5 8" xfId="4467" xr:uid="{00000000-0005-0000-0000-000020010000}"/>
    <cellStyle name="Comma 50" xfId="5252" xr:uid="{F759D87B-2621-4395-8840-E59EB030EADF}"/>
    <cellStyle name="Comma 6" xfId="130" xr:uid="{00000000-0005-0000-0000-000021010000}"/>
    <cellStyle name="Comma 6 2" xfId="131" xr:uid="{00000000-0005-0000-0000-000022010000}"/>
    <cellStyle name="Comma 6 2 2" xfId="132" xr:uid="{00000000-0005-0000-0000-000023010000}"/>
    <cellStyle name="Comma 6 2 2 2" xfId="133" xr:uid="{00000000-0005-0000-0000-000024010000}"/>
    <cellStyle name="Comma 6 2 2 2 2" xfId="4034" xr:uid="{00000000-0005-0000-0000-000025010000}"/>
    <cellStyle name="Comma 6 2 2 2 2 2" xfId="4856" xr:uid="{00000000-0005-0000-0000-000026010000}"/>
    <cellStyle name="Comma 6 2 2 2 3" xfId="4478" xr:uid="{00000000-0005-0000-0000-000027010000}"/>
    <cellStyle name="Comma 6 2 2 3" xfId="4033" xr:uid="{00000000-0005-0000-0000-000028010000}"/>
    <cellStyle name="Comma 6 2 2 3 2" xfId="4933" xr:uid="{00000000-0005-0000-0000-000029010000}"/>
    <cellStyle name="Comma 6 2 2 4" xfId="4477" xr:uid="{00000000-0005-0000-0000-00002A010000}"/>
    <cellStyle name="Comma 6 2 3" xfId="134" xr:uid="{00000000-0005-0000-0000-00002B010000}"/>
    <cellStyle name="Comma 6 2 3 2" xfId="4035" xr:uid="{00000000-0005-0000-0000-00002C010000}"/>
    <cellStyle name="Comma 6 2 3 2 2" xfId="4894" xr:uid="{00000000-0005-0000-0000-00002D010000}"/>
    <cellStyle name="Comma 6 2 3 3" xfId="4479" xr:uid="{00000000-0005-0000-0000-00002E010000}"/>
    <cellStyle name="Comma 6 2 4" xfId="4032" xr:uid="{00000000-0005-0000-0000-00002F010000}"/>
    <cellStyle name="Comma 6 2 4 2" xfId="4969" xr:uid="{00000000-0005-0000-0000-000030010000}"/>
    <cellStyle name="Comma 6 2 5" xfId="4476" xr:uid="{00000000-0005-0000-0000-000031010000}"/>
    <cellStyle name="Comma 6 3" xfId="135" xr:uid="{00000000-0005-0000-0000-000032010000}"/>
    <cellStyle name="Comma 6 3 2" xfId="136" xr:uid="{00000000-0005-0000-0000-000033010000}"/>
    <cellStyle name="Comma 6 3 2 2" xfId="4037" xr:uid="{00000000-0005-0000-0000-000034010000}"/>
    <cellStyle name="Comma 6 3 2 2 2" xfId="4869" xr:uid="{00000000-0005-0000-0000-000035010000}"/>
    <cellStyle name="Comma 6 3 2 3" xfId="4481" xr:uid="{00000000-0005-0000-0000-000036010000}"/>
    <cellStyle name="Comma 6 3 3" xfId="4036" xr:uid="{00000000-0005-0000-0000-000037010000}"/>
    <cellStyle name="Comma 6 3 3 2" xfId="4946" xr:uid="{00000000-0005-0000-0000-000038010000}"/>
    <cellStyle name="Comma 6 3 4" xfId="4480" xr:uid="{00000000-0005-0000-0000-000039010000}"/>
    <cellStyle name="Comma 6 4" xfId="137" xr:uid="{00000000-0005-0000-0000-00003A010000}"/>
    <cellStyle name="Comma 6 4 2" xfId="4038" xr:uid="{00000000-0005-0000-0000-00003B010000}"/>
    <cellStyle name="Comma 6 4 2 2" xfId="4906" xr:uid="{00000000-0005-0000-0000-00003C010000}"/>
    <cellStyle name="Comma 6 4 3" xfId="4482" xr:uid="{00000000-0005-0000-0000-00003D010000}"/>
    <cellStyle name="Comma 6 5" xfId="138" xr:uid="{00000000-0005-0000-0000-00003E010000}"/>
    <cellStyle name="Comma 6 5 2" xfId="4424" xr:uid="{00000000-0005-0000-0000-00003F010000}"/>
    <cellStyle name="Comma 6 5 2 2" xfId="4981" xr:uid="{00000000-0005-0000-0000-000040010000}"/>
    <cellStyle name="Comma 6 6" xfId="4031" xr:uid="{00000000-0005-0000-0000-000041010000}"/>
    <cellStyle name="Comma 6 6 2" xfId="5004" xr:uid="{00000000-0005-0000-0000-000042010000}"/>
    <cellStyle name="Comma 6 7" xfId="4475" xr:uid="{00000000-0005-0000-0000-000043010000}"/>
    <cellStyle name="Comma 7" xfId="139" xr:uid="{00000000-0005-0000-0000-000044010000}"/>
    <cellStyle name="Comma 7 2" xfId="140" xr:uid="{00000000-0005-0000-0000-000045010000}"/>
    <cellStyle name="Comma 7 2 2" xfId="4383" xr:uid="{00000000-0005-0000-0000-000046010000}"/>
    <cellStyle name="Comma 8" xfId="141" xr:uid="{00000000-0005-0000-0000-000047010000}"/>
    <cellStyle name="Comma 8 2" xfId="142" xr:uid="{00000000-0005-0000-0000-000048010000}"/>
    <cellStyle name="Comma 8 2 2" xfId="143" xr:uid="{00000000-0005-0000-0000-000049010000}"/>
    <cellStyle name="Comma 8 2 2 2" xfId="4041" xr:uid="{00000000-0005-0000-0000-00004A010000}"/>
    <cellStyle name="Comma 8 2 2 2 2" xfId="4867" xr:uid="{00000000-0005-0000-0000-00004B010000}"/>
    <cellStyle name="Comma 8 2 2 3" xfId="4485" xr:uid="{00000000-0005-0000-0000-00004C010000}"/>
    <cellStyle name="Comma 8 2 3" xfId="4040" xr:uid="{00000000-0005-0000-0000-00004D010000}"/>
    <cellStyle name="Comma 8 2 3 2" xfId="4944" xr:uid="{00000000-0005-0000-0000-00004E010000}"/>
    <cellStyle name="Comma 8 2 4" xfId="4484" xr:uid="{00000000-0005-0000-0000-00004F010000}"/>
    <cellStyle name="Comma 8 3" xfId="144" xr:uid="{00000000-0005-0000-0000-000050010000}"/>
    <cellStyle name="Comma 8 3 2" xfId="4042" xr:uid="{00000000-0005-0000-0000-000051010000}"/>
    <cellStyle name="Comma 8 3 2 2" xfId="4904" xr:uid="{00000000-0005-0000-0000-000052010000}"/>
    <cellStyle name="Comma 8 3 3" xfId="4486" xr:uid="{00000000-0005-0000-0000-000053010000}"/>
    <cellStyle name="Comma 8 4" xfId="4039" xr:uid="{00000000-0005-0000-0000-000054010000}"/>
    <cellStyle name="Comma 8 4 2" xfId="4979" xr:uid="{00000000-0005-0000-0000-000055010000}"/>
    <cellStyle name="Comma 8 5" xfId="4483" xr:uid="{00000000-0005-0000-0000-000056010000}"/>
    <cellStyle name="Comma 9" xfId="145" xr:uid="{00000000-0005-0000-0000-000057010000}"/>
    <cellStyle name="Comma 9 2" xfId="146" xr:uid="{00000000-0005-0000-0000-000058010000}"/>
    <cellStyle name="Comma 9 2 2" xfId="147" xr:uid="{00000000-0005-0000-0000-000059010000}"/>
    <cellStyle name="Comma 9 2 2 2" xfId="4045" xr:uid="{00000000-0005-0000-0000-00005A010000}"/>
    <cellStyle name="Comma 9 2 2 2 2" xfId="4849" xr:uid="{00000000-0005-0000-0000-00005B010000}"/>
    <cellStyle name="Comma 9 2 2 3" xfId="4489" xr:uid="{00000000-0005-0000-0000-00005C010000}"/>
    <cellStyle name="Comma 9 2 3" xfId="4044" xr:uid="{00000000-0005-0000-0000-00005D010000}"/>
    <cellStyle name="Comma 9 2 3 2" xfId="4926" xr:uid="{00000000-0005-0000-0000-00005E010000}"/>
    <cellStyle name="Comma 9 2 4" xfId="4488" xr:uid="{00000000-0005-0000-0000-00005F010000}"/>
    <cellStyle name="Comma 9 3" xfId="148" xr:uid="{00000000-0005-0000-0000-000060010000}"/>
    <cellStyle name="Comma 9 3 2" xfId="4046" xr:uid="{00000000-0005-0000-0000-000061010000}"/>
    <cellStyle name="Comma 9 3 2 2" xfId="4887" xr:uid="{00000000-0005-0000-0000-000062010000}"/>
    <cellStyle name="Comma 9 3 3" xfId="4490" xr:uid="{00000000-0005-0000-0000-000063010000}"/>
    <cellStyle name="Comma 9 4" xfId="4043" xr:uid="{00000000-0005-0000-0000-000064010000}"/>
    <cellStyle name="Comma 9 4 2" xfId="4962" xr:uid="{00000000-0005-0000-0000-000065010000}"/>
    <cellStyle name="Comma 9 5" xfId="4487" xr:uid="{00000000-0005-0000-0000-000066010000}"/>
    <cellStyle name="Condensed_Epson" xfId="149" xr:uid="{00000000-0005-0000-0000-000067010000}"/>
    <cellStyle name="Currdncy_DAYREP_1_DAYREP.w_Book1" xfId="150" xr:uid="{00000000-0005-0000-0000-000068010000}"/>
    <cellStyle name="Currency [0]WSteel-Struc DAILY" xfId="151" xr:uid="{00000000-0005-0000-0000-000069010000}"/>
    <cellStyle name="Date" xfId="152" xr:uid="{00000000-0005-0000-0000-00006A010000}"/>
    <cellStyle name="Date 2" xfId="153" xr:uid="{00000000-0005-0000-0000-00006B010000}"/>
    <cellStyle name="Date 3" xfId="154" xr:uid="{00000000-0005-0000-0000-00006C010000}"/>
    <cellStyle name="Date 4" xfId="155" xr:uid="{00000000-0005-0000-0000-00006D010000}"/>
    <cellStyle name="Date 5" xfId="156" xr:uid="{00000000-0005-0000-0000-00006E010000}"/>
    <cellStyle name="Emphasis" xfId="9" xr:uid="{00000000-0005-0000-0000-00006F010000}"/>
    <cellStyle name="Emphasis 1" xfId="157" xr:uid="{00000000-0005-0000-0000-000070010000}"/>
    <cellStyle name="Emphasis 2" xfId="158" xr:uid="{00000000-0005-0000-0000-000071010000}"/>
    <cellStyle name="Emphasis 3" xfId="159" xr:uid="{00000000-0005-0000-0000-000072010000}"/>
    <cellStyle name="Euro" xfId="160" xr:uid="{00000000-0005-0000-0000-000073010000}"/>
    <cellStyle name="Explanatory Text 2" xfId="161" xr:uid="{00000000-0005-0000-0000-000074010000}"/>
    <cellStyle name="Fixed" xfId="162" xr:uid="{00000000-0005-0000-0000-000075010000}"/>
    <cellStyle name="Good 2" xfId="163" xr:uid="{00000000-0005-0000-0000-000076010000}"/>
    <cellStyle name="Heading 1 2" xfId="164" xr:uid="{00000000-0005-0000-0000-000077010000}"/>
    <cellStyle name="Heading 2 2" xfId="165" xr:uid="{00000000-0005-0000-0000-000078010000}"/>
    <cellStyle name="Heading 3 2" xfId="166" xr:uid="{00000000-0005-0000-0000-000079010000}"/>
    <cellStyle name="Heading 4 2" xfId="167" xr:uid="{00000000-0005-0000-0000-00007A010000}"/>
    <cellStyle name="HEADING1" xfId="168" xr:uid="{00000000-0005-0000-0000-00007B010000}"/>
    <cellStyle name="HEADING1 2" xfId="169" xr:uid="{00000000-0005-0000-0000-00007C010000}"/>
    <cellStyle name="HEADING1 3" xfId="170" xr:uid="{00000000-0005-0000-0000-00007D010000}"/>
    <cellStyle name="HEADING1 4" xfId="171" xr:uid="{00000000-0005-0000-0000-00007E010000}"/>
    <cellStyle name="HEADING1 5" xfId="172" xr:uid="{00000000-0005-0000-0000-00007F010000}"/>
    <cellStyle name="HEADING2" xfId="173" xr:uid="{00000000-0005-0000-0000-000080010000}"/>
    <cellStyle name="HEADING2 2" xfId="174" xr:uid="{00000000-0005-0000-0000-000081010000}"/>
    <cellStyle name="HEADING2 3" xfId="175" xr:uid="{00000000-0005-0000-0000-000082010000}"/>
    <cellStyle name="HEADING2 4" xfId="176" xr:uid="{00000000-0005-0000-0000-000083010000}"/>
    <cellStyle name="HEADING2 5" xfId="177" xr:uid="{00000000-0005-0000-0000-000084010000}"/>
    <cellStyle name="Hyperlink 2" xfId="178" xr:uid="{00000000-0005-0000-0000-000085010000}"/>
    <cellStyle name="Hyperlink 3" xfId="179" xr:uid="{00000000-0005-0000-0000-000086010000}"/>
    <cellStyle name="Hyperlink 4" xfId="180" xr:uid="{00000000-0005-0000-0000-000087010000}"/>
    <cellStyle name="Input 2" xfId="181" xr:uid="{00000000-0005-0000-0000-000088010000}"/>
    <cellStyle name="Linked Cell 2" xfId="182" xr:uid="{00000000-0005-0000-0000-000089010000}"/>
    <cellStyle name="MS_Arabic" xfId="183" xr:uid="{00000000-0005-0000-0000-00008A010000}"/>
    <cellStyle name="Neutral 2" xfId="184" xr:uid="{00000000-0005-0000-0000-00008B010000}"/>
    <cellStyle name="Normal" xfId="0" builtinId="0"/>
    <cellStyle name="Normal 10" xfId="185" xr:uid="{00000000-0005-0000-0000-00008D010000}"/>
    <cellStyle name="Normal 10 10" xfId="186" xr:uid="{00000000-0005-0000-0000-00008E010000}"/>
    <cellStyle name="Normal 10 10 2" xfId="187" xr:uid="{00000000-0005-0000-0000-00008F010000}"/>
    <cellStyle name="Normal 10 10 2 2" xfId="188" xr:uid="{00000000-0005-0000-0000-000090010000}"/>
    <cellStyle name="Normal 10 10 3" xfId="189" xr:uid="{00000000-0005-0000-0000-000091010000}"/>
    <cellStyle name="Normal 10 11" xfId="190" xr:uid="{00000000-0005-0000-0000-000092010000}"/>
    <cellStyle name="Normal 10 11 2" xfId="191" xr:uid="{00000000-0005-0000-0000-000093010000}"/>
    <cellStyle name="Normal 10 11 2 2" xfId="192" xr:uid="{00000000-0005-0000-0000-000094010000}"/>
    <cellStyle name="Normal 10 11 3" xfId="193" xr:uid="{00000000-0005-0000-0000-000095010000}"/>
    <cellStyle name="Normal 10 12" xfId="194" xr:uid="{00000000-0005-0000-0000-000096010000}"/>
    <cellStyle name="Normal 10 12 2" xfId="4048" xr:uid="{00000000-0005-0000-0000-000097010000}"/>
    <cellStyle name="Normal 10 12 2 2" xfId="5006" xr:uid="{00000000-0005-0000-0000-000098010000}"/>
    <cellStyle name="Normal 10 12 2 2 2" xfId="5251" xr:uid="{D57387E1-41EF-4C12-A422-E17694934D09}"/>
    <cellStyle name="Normal 10 12 3" xfId="4492" xr:uid="{00000000-0005-0000-0000-000099010000}"/>
    <cellStyle name="Normal 10 13" xfId="4047" xr:uid="{00000000-0005-0000-0000-00009A010000}"/>
    <cellStyle name="Normal 10 13 2" xfId="5005" xr:uid="{00000000-0005-0000-0000-00009B010000}"/>
    <cellStyle name="Normal 10 14" xfId="4491" xr:uid="{00000000-0005-0000-0000-00009C010000}"/>
    <cellStyle name="Normal 10 2" xfId="195" xr:uid="{00000000-0005-0000-0000-00009D010000}"/>
    <cellStyle name="Normal 10 2 2" xfId="196" xr:uid="{00000000-0005-0000-0000-00009E010000}"/>
    <cellStyle name="Normal 10 2 2 2" xfId="197" xr:uid="{00000000-0005-0000-0000-00009F010000}"/>
    <cellStyle name="Normal 10 2 2 2 2" xfId="4409" xr:uid="{00000000-0005-0000-0000-0000A0010000}"/>
    <cellStyle name="Normal 10 2 2 2 2 2" xfId="4868" xr:uid="{00000000-0005-0000-0000-0000A1010000}"/>
    <cellStyle name="Normal 10 2 2 3" xfId="4050" xr:uid="{00000000-0005-0000-0000-0000A2010000}"/>
    <cellStyle name="Normal 10 2 2 3 2" xfId="5008" xr:uid="{00000000-0005-0000-0000-0000A3010000}"/>
    <cellStyle name="Normal 10 2 2 4" xfId="4494" xr:uid="{00000000-0005-0000-0000-0000A4010000}"/>
    <cellStyle name="Normal 10 2 3" xfId="198" xr:uid="{00000000-0005-0000-0000-0000A5010000}"/>
    <cellStyle name="Normal 10 2 3 2" xfId="4416" xr:uid="{00000000-0005-0000-0000-0000A6010000}"/>
    <cellStyle name="Normal 10 2 3 2 2" xfId="4945" xr:uid="{00000000-0005-0000-0000-0000A7010000}"/>
    <cellStyle name="Normal 10 2 4" xfId="4049" xr:uid="{00000000-0005-0000-0000-0000A8010000}"/>
    <cellStyle name="Normal 10 2 4 2" xfId="5007" xr:uid="{00000000-0005-0000-0000-0000A9010000}"/>
    <cellStyle name="Normal 10 2 5" xfId="4493" xr:uid="{00000000-0005-0000-0000-0000AA010000}"/>
    <cellStyle name="Normal 10 3" xfId="199" xr:uid="{00000000-0005-0000-0000-0000AB010000}"/>
    <cellStyle name="Normal 10 3 2" xfId="200" xr:uid="{00000000-0005-0000-0000-0000AC010000}"/>
    <cellStyle name="Normal 10 3 2 2" xfId="201" xr:uid="{00000000-0005-0000-0000-0000AD010000}"/>
    <cellStyle name="Normal 10 3 2 3" xfId="4411" xr:uid="{00000000-0005-0000-0000-0000AE010000}"/>
    <cellStyle name="Normal 10 3 2 3 2" xfId="4905" xr:uid="{00000000-0005-0000-0000-0000AF010000}"/>
    <cellStyle name="Normal 10 3 3" xfId="202" xr:uid="{00000000-0005-0000-0000-0000B0010000}"/>
    <cellStyle name="Normal 10 3 4" xfId="4051" xr:uid="{00000000-0005-0000-0000-0000B1010000}"/>
    <cellStyle name="Normal 10 3 4 2" xfId="5009" xr:uid="{00000000-0005-0000-0000-0000B2010000}"/>
    <cellStyle name="Normal 10 3 5" xfId="4495" xr:uid="{00000000-0005-0000-0000-0000B3010000}"/>
    <cellStyle name="Normal 10 4" xfId="203" xr:uid="{00000000-0005-0000-0000-0000B4010000}"/>
    <cellStyle name="Normal 10 4 2" xfId="204" xr:uid="{00000000-0005-0000-0000-0000B5010000}"/>
    <cellStyle name="Normal 10 4 2 2" xfId="205" xr:uid="{00000000-0005-0000-0000-0000B6010000}"/>
    <cellStyle name="Normal 10 4 3" xfId="206" xr:uid="{00000000-0005-0000-0000-0000B7010000}"/>
    <cellStyle name="Normal 10 4 4" xfId="4423" xr:uid="{00000000-0005-0000-0000-0000B8010000}"/>
    <cellStyle name="Normal 10 4 4 2" xfId="4980" xr:uid="{00000000-0005-0000-0000-0000B9010000}"/>
    <cellStyle name="Normal 10 5" xfId="207" xr:uid="{00000000-0005-0000-0000-0000BA010000}"/>
    <cellStyle name="Normal 10 5 2" xfId="208" xr:uid="{00000000-0005-0000-0000-0000BB010000}"/>
    <cellStyle name="Normal 10 5 2 2" xfId="209" xr:uid="{00000000-0005-0000-0000-0000BC010000}"/>
    <cellStyle name="Normal 10 5 3" xfId="210" xr:uid="{00000000-0005-0000-0000-0000BD010000}"/>
    <cellStyle name="Normal 10 6" xfId="211" xr:uid="{00000000-0005-0000-0000-0000BE010000}"/>
    <cellStyle name="Normal 10 6 2" xfId="212" xr:uid="{00000000-0005-0000-0000-0000BF010000}"/>
    <cellStyle name="Normal 10 6 2 2" xfId="213" xr:uid="{00000000-0005-0000-0000-0000C0010000}"/>
    <cellStyle name="Normal 10 6 3" xfId="214" xr:uid="{00000000-0005-0000-0000-0000C1010000}"/>
    <cellStyle name="Normal 10 7" xfId="215" xr:uid="{00000000-0005-0000-0000-0000C2010000}"/>
    <cellStyle name="Normal 10 7 2" xfId="216" xr:uid="{00000000-0005-0000-0000-0000C3010000}"/>
    <cellStyle name="Normal 10 7 2 2" xfId="217" xr:uid="{00000000-0005-0000-0000-0000C4010000}"/>
    <cellStyle name="Normal 10 7 3" xfId="218" xr:uid="{00000000-0005-0000-0000-0000C5010000}"/>
    <cellStyle name="Normal 10 8" xfId="219" xr:uid="{00000000-0005-0000-0000-0000C6010000}"/>
    <cellStyle name="Normal 10 8 2" xfId="220" xr:uid="{00000000-0005-0000-0000-0000C7010000}"/>
    <cellStyle name="Normal 10 8 2 2" xfId="221" xr:uid="{00000000-0005-0000-0000-0000C8010000}"/>
    <cellStyle name="Normal 10 8 3" xfId="222" xr:uid="{00000000-0005-0000-0000-0000C9010000}"/>
    <cellStyle name="Normal 10 9" xfId="223" xr:uid="{00000000-0005-0000-0000-0000CA010000}"/>
    <cellStyle name="Normal 10 9 2" xfId="224" xr:uid="{00000000-0005-0000-0000-0000CB010000}"/>
    <cellStyle name="Normal 10 9 2 2" xfId="225" xr:uid="{00000000-0005-0000-0000-0000CC010000}"/>
    <cellStyle name="Normal 10 9 3" xfId="226" xr:uid="{00000000-0005-0000-0000-0000CD010000}"/>
    <cellStyle name="Normal 100 2" xfId="227" xr:uid="{00000000-0005-0000-0000-0000CE010000}"/>
    <cellStyle name="Normal 100 2 2" xfId="228" xr:uid="{00000000-0005-0000-0000-0000CF010000}"/>
    <cellStyle name="Normal 100 2 2 2" xfId="229" xr:uid="{00000000-0005-0000-0000-0000D0010000}"/>
    <cellStyle name="Normal 100 2 3" xfId="230" xr:uid="{00000000-0005-0000-0000-0000D1010000}"/>
    <cellStyle name="Normal 100 3" xfId="231" xr:uid="{00000000-0005-0000-0000-0000D2010000}"/>
    <cellStyle name="Normal 100 3 2" xfId="232" xr:uid="{00000000-0005-0000-0000-0000D3010000}"/>
    <cellStyle name="Normal 100 4" xfId="233" xr:uid="{00000000-0005-0000-0000-0000D4010000}"/>
    <cellStyle name="Normal 100 4 2" xfId="234" xr:uid="{00000000-0005-0000-0000-0000D5010000}"/>
    <cellStyle name="Normal 100 5" xfId="235" xr:uid="{00000000-0005-0000-0000-0000D6010000}"/>
    <cellStyle name="Normal 100 5 2" xfId="236" xr:uid="{00000000-0005-0000-0000-0000D7010000}"/>
    <cellStyle name="Normal 100 6" xfId="237" xr:uid="{00000000-0005-0000-0000-0000D8010000}"/>
    <cellStyle name="Normal 100 6 2" xfId="238" xr:uid="{00000000-0005-0000-0000-0000D9010000}"/>
    <cellStyle name="Normal 100 7" xfId="239" xr:uid="{00000000-0005-0000-0000-0000DA010000}"/>
    <cellStyle name="Normal 100 7 2" xfId="240" xr:uid="{00000000-0005-0000-0000-0000DB010000}"/>
    <cellStyle name="Normal 100 8" xfId="241" xr:uid="{00000000-0005-0000-0000-0000DC010000}"/>
    <cellStyle name="Normal 100 8 2" xfId="242" xr:uid="{00000000-0005-0000-0000-0000DD010000}"/>
    <cellStyle name="Normal 100 9" xfId="243" xr:uid="{00000000-0005-0000-0000-0000DE010000}"/>
    <cellStyle name="Normal 100 9 2" xfId="244" xr:uid="{00000000-0005-0000-0000-0000DF010000}"/>
    <cellStyle name="Normal 101 2" xfId="245" xr:uid="{00000000-0005-0000-0000-0000E0010000}"/>
    <cellStyle name="Normal 101 2 2" xfId="246" xr:uid="{00000000-0005-0000-0000-0000E1010000}"/>
    <cellStyle name="Normal 101 2 2 2" xfId="247" xr:uid="{00000000-0005-0000-0000-0000E2010000}"/>
    <cellStyle name="Normal 101 2 3" xfId="248" xr:uid="{00000000-0005-0000-0000-0000E3010000}"/>
    <cellStyle name="Normal 101 3" xfId="249" xr:uid="{00000000-0005-0000-0000-0000E4010000}"/>
    <cellStyle name="Normal 101 3 2" xfId="250" xr:uid="{00000000-0005-0000-0000-0000E5010000}"/>
    <cellStyle name="Normal 101 4" xfId="251" xr:uid="{00000000-0005-0000-0000-0000E6010000}"/>
    <cellStyle name="Normal 101 4 2" xfId="252" xr:uid="{00000000-0005-0000-0000-0000E7010000}"/>
    <cellStyle name="Normal 101 5" xfId="253" xr:uid="{00000000-0005-0000-0000-0000E8010000}"/>
    <cellStyle name="Normal 101 5 2" xfId="254" xr:uid="{00000000-0005-0000-0000-0000E9010000}"/>
    <cellStyle name="Normal 101 6" xfId="255" xr:uid="{00000000-0005-0000-0000-0000EA010000}"/>
    <cellStyle name="Normal 101 6 2" xfId="256" xr:uid="{00000000-0005-0000-0000-0000EB010000}"/>
    <cellStyle name="Normal 101 7" xfId="257" xr:uid="{00000000-0005-0000-0000-0000EC010000}"/>
    <cellStyle name="Normal 101 7 2" xfId="258" xr:uid="{00000000-0005-0000-0000-0000ED010000}"/>
    <cellStyle name="Normal 101 8" xfId="259" xr:uid="{00000000-0005-0000-0000-0000EE010000}"/>
    <cellStyle name="Normal 101 8 2" xfId="260" xr:uid="{00000000-0005-0000-0000-0000EF010000}"/>
    <cellStyle name="Normal 101 9" xfId="261" xr:uid="{00000000-0005-0000-0000-0000F0010000}"/>
    <cellStyle name="Normal 101 9 2" xfId="262" xr:uid="{00000000-0005-0000-0000-0000F1010000}"/>
    <cellStyle name="Normal 102 2" xfId="263" xr:uid="{00000000-0005-0000-0000-0000F2010000}"/>
    <cellStyle name="Normal 102 2 2" xfId="264" xr:uid="{00000000-0005-0000-0000-0000F3010000}"/>
    <cellStyle name="Normal 102 2 2 2" xfId="265" xr:uid="{00000000-0005-0000-0000-0000F4010000}"/>
    <cellStyle name="Normal 102 2 3" xfId="266" xr:uid="{00000000-0005-0000-0000-0000F5010000}"/>
    <cellStyle name="Normal 102 3" xfId="267" xr:uid="{00000000-0005-0000-0000-0000F6010000}"/>
    <cellStyle name="Normal 102 3 2" xfId="268" xr:uid="{00000000-0005-0000-0000-0000F7010000}"/>
    <cellStyle name="Normal 102 4" xfId="269" xr:uid="{00000000-0005-0000-0000-0000F8010000}"/>
    <cellStyle name="Normal 102 4 2" xfId="270" xr:uid="{00000000-0005-0000-0000-0000F9010000}"/>
    <cellStyle name="Normal 102 5" xfId="271" xr:uid="{00000000-0005-0000-0000-0000FA010000}"/>
    <cellStyle name="Normal 102 5 2" xfId="272" xr:uid="{00000000-0005-0000-0000-0000FB010000}"/>
    <cellStyle name="Normal 102 6" xfId="273" xr:uid="{00000000-0005-0000-0000-0000FC010000}"/>
    <cellStyle name="Normal 102 6 2" xfId="274" xr:uid="{00000000-0005-0000-0000-0000FD010000}"/>
    <cellStyle name="Normal 102 7" xfId="275" xr:uid="{00000000-0005-0000-0000-0000FE010000}"/>
    <cellStyle name="Normal 102 7 2" xfId="276" xr:uid="{00000000-0005-0000-0000-0000FF010000}"/>
    <cellStyle name="Normal 102 8" xfId="277" xr:uid="{00000000-0005-0000-0000-000000020000}"/>
    <cellStyle name="Normal 102 8 2" xfId="278" xr:uid="{00000000-0005-0000-0000-000001020000}"/>
    <cellStyle name="Normal 102 9" xfId="279" xr:uid="{00000000-0005-0000-0000-000002020000}"/>
    <cellStyle name="Normal 102 9 2" xfId="280" xr:uid="{00000000-0005-0000-0000-000003020000}"/>
    <cellStyle name="Normal 103 2" xfId="281" xr:uid="{00000000-0005-0000-0000-000004020000}"/>
    <cellStyle name="Normal 103 2 2" xfId="282" xr:uid="{00000000-0005-0000-0000-000005020000}"/>
    <cellStyle name="Normal 103 2 2 2" xfId="283" xr:uid="{00000000-0005-0000-0000-000006020000}"/>
    <cellStyle name="Normal 103 2 3" xfId="284" xr:uid="{00000000-0005-0000-0000-000007020000}"/>
    <cellStyle name="Normal 103 3" xfId="285" xr:uid="{00000000-0005-0000-0000-000008020000}"/>
    <cellStyle name="Normal 103 3 2" xfId="286" xr:uid="{00000000-0005-0000-0000-000009020000}"/>
    <cellStyle name="Normal 103 4" xfId="287" xr:uid="{00000000-0005-0000-0000-00000A020000}"/>
    <cellStyle name="Normal 103 4 2" xfId="288" xr:uid="{00000000-0005-0000-0000-00000B020000}"/>
    <cellStyle name="Normal 103 5" xfId="289" xr:uid="{00000000-0005-0000-0000-00000C020000}"/>
    <cellStyle name="Normal 103 5 2" xfId="290" xr:uid="{00000000-0005-0000-0000-00000D020000}"/>
    <cellStyle name="Normal 103 6" xfId="291" xr:uid="{00000000-0005-0000-0000-00000E020000}"/>
    <cellStyle name="Normal 103 6 2" xfId="292" xr:uid="{00000000-0005-0000-0000-00000F020000}"/>
    <cellStyle name="Normal 103 7" xfId="293" xr:uid="{00000000-0005-0000-0000-000010020000}"/>
    <cellStyle name="Normal 103 7 2" xfId="294" xr:uid="{00000000-0005-0000-0000-000011020000}"/>
    <cellStyle name="Normal 103 8" xfId="295" xr:uid="{00000000-0005-0000-0000-000012020000}"/>
    <cellStyle name="Normal 103 8 2" xfId="296" xr:uid="{00000000-0005-0000-0000-000013020000}"/>
    <cellStyle name="Normal 103 9" xfId="297" xr:uid="{00000000-0005-0000-0000-000014020000}"/>
    <cellStyle name="Normal 103 9 2" xfId="298" xr:uid="{00000000-0005-0000-0000-000015020000}"/>
    <cellStyle name="Normal 104 2" xfId="299" xr:uid="{00000000-0005-0000-0000-000016020000}"/>
    <cellStyle name="Normal 104 2 2" xfId="300" xr:uid="{00000000-0005-0000-0000-000017020000}"/>
    <cellStyle name="Normal 104 2 2 2" xfId="301" xr:uid="{00000000-0005-0000-0000-000018020000}"/>
    <cellStyle name="Normal 104 2 3" xfId="302" xr:uid="{00000000-0005-0000-0000-000019020000}"/>
    <cellStyle name="Normal 104 3" xfId="303" xr:uid="{00000000-0005-0000-0000-00001A020000}"/>
    <cellStyle name="Normal 104 3 2" xfId="304" xr:uid="{00000000-0005-0000-0000-00001B020000}"/>
    <cellStyle name="Normal 104 4" xfId="305" xr:uid="{00000000-0005-0000-0000-00001C020000}"/>
    <cellStyle name="Normal 104 4 2" xfId="306" xr:uid="{00000000-0005-0000-0000-00001D020000}"/>
    <cellStyle name="Normal 104 5" xfId="307" xr:uid="{00000000-0005-0000-0000-00001E020000}"/>
    <cellStyle name="Normal 104 5 2" xfId="308" xr:uid="{00000000-0005-0000-0000-00001F020000}"/>
    <cellStyle name="Normal 104 6" xfId="309" xr:uid="{00000000-0005-0000-0000-000020020000}"/>
    <cellStyle name="Normal 104 6 2" xfId="310" xr:uid="{00000000-0005-0000-0000-000021020000}"/>
    <cellStyle name="Normal 104 7" xfId="311" xr:uid="{00000000-0005-0000-0000-000022020000}"/>
    <cellStyle name="Normal 104 7 2" xfId="312" xr:uid="{00000000-0005-0000-0000-000023020000}"/>
    <cellStyle name="Normal 104 8" xfId="313" xr:uid="{00000000-0005-0000-0000-000024020000}"/>
    <cellStyle name="Normal 104 8 2" xfId="314" xr:uid="{00000000-0005-0000-0000-000025020000}"/>
    <cellStyle name="Normal 104 9" xfId="315" xr:uid="{00000000-0005-0000-0000-000026020000}"/>
    <cellStyle name="Normal 104 9 2" xfId="316" xr:uid="{00000000-0005-0000-0000-000027020000}"/>
    <cellStyle name="Normal 105 2" xfId="317" xr:uid="{00000000-0005-0000-0000-000028020000}"/>
    <cellStyle name="Normal 105 2 2" xfId="318" xr:uid="{00000000-0005-0000-0000-000029020000}"/>
    <cellStyle name="Normal 105 2 2 2" xfId="319" xr:uid="{00000000-0005-0000-0000-00002A020000}"/>
    <cellStyle name="Normal 105 2 3" xfId="320" xr:uid="{00000000-0005-0000-0000-00002B020000}"/>
    <cellStyle name="Normal 105 3" xfId="321" xr:uid="{00000000-0005-0000-0000-00002C020000}"/>
    <cellStyle name="Normal 105 3 2" xfId="322" xr:uid="{00000000-0005-0000-0000-00002D020000}"/>
    <cellStyle name="Normal 105 4" xfId="323" xr:uid="{00000000-0005-0000-0000-00002E020000}"/>
    <cellStyle name="Normal 105 4 2" xfId="324" xr:uid="{00000000-0005-0000-0000-00002F020000}"/>
    <cellStyle name="Normal 105 5" xfId="325" xr:uid="{00000000-0005-0000-0000-000030020000}"/>
    <cellStyle name="Normal 105 5 2" xfId="326" xr:uid="{00000000-0005-0000-0000-000031020000}"/>
    <cellStyle name="Normal 105 6" xfId="327" xr:uid="{00000000-0005-0000-0000-000032020000}"/>
    <cellStyle name="Normal 105 6 2" xfId="328" xr:uid="{00000000-0005-0000-0000-000033020000}"/>
    <cellStyle name="Normal 105 7" xfId="329" xr:uid="{00000000-0005-0000-0000-000034020000}"/>
    <cellStyle name="Normal 105 7 2" xfId="330" xr:uid="{00000000-0005-0000-0000-000035020000}"/>
    <cellStyle name="Normal 105 8" xfId="331" xr:uid="{00000000-0005-0000-0000-000036020000}"/>
    <cellStyle name="Normal 105 8 2" xfId="332" xr:uid="{00000000-0005-0000-0000-000037020000}"/>
    <cellStyle name="Normal 105 9" xfId="333" xr:uid="{00000000-0005-0000-0000-000038020000}"/>
    <cellStyle name="Normal 105 9 2" xfId="334" xr:uid="{00000000-0005-0000-0000-000039020000}"/>
    <cellStyle name="Normal 106 2" xfId="335" xr:uid="{00000000-0005-0000-0000-00003A020000}"/>
    <cellStyle name="Normal 106 2 2" xfId="336" xr:uid="{00000000-0005-0000-0000-00003B020000}"/>
    <cellStyle name="Normal 106 2 2 2" xfId="337" xr:uid="{00000000-0005-0000-0000-00003C020000}"/>
    <cellStyle name="Normal 106 2 3" xfId="338" xr:uid="{00000000-0005-0000-0000-00003D020000}"/>
    <cellStyle name="Normal 106 3" xfId="339" xr:uid="{00000000-0005-0000-0000-00003E020000}"/>
    <cellStyle name="Normal 106 3 2" xfId="340" xr:uid="{00000000-0005-0000-0000-00003F020000}"/>
    <cellStyle name="Normal 106 4" xfId="341" xr:uid="{00000000-0005-0000-0000-000040020000}"/>
    <cellStyle name="Normal 106 4 2" xfId="342" xr:uid="{00000000-0005-0000-0000-000041020000}"/>
    <cellStyle name="Normal 106 5" xfId="343" xr:uid="{00000000-0005-0000-0000-000042020000}"/>
    <cellStyle name="Normal 106 5 2" xfId="344" xr:uid="{00000000-0005-0000-0000-000043020000}"/>
    <cellStyle name="Normal 106 6" xfId="345" xr:uid="{00000000-0005-0000-0000-000044020000}"/>
    <cellStyle name="Normal 106 6 2" xfId="346" xr:uid="{00000000-0005-0000-0000-000045020000}"/>
    <cellStyle name="Normal 106 7" xfId="347" xr:uid="{00000000-0005-0000-0000-000046020000}"/>
    <cellStyle name="Normal 106 7 2" xfId="348" xr:uid="{00000000-0005-0000-0000-000047020000}"/>
    <cellStyle name="Normal 106 8" xfId="349" xr:uid="{00000000-0005-0000-0000-000048020000}"/>
    <cellStyle name="Normal 106 8 2" xfId="350" xr:uid="{00000000-0005-0000-0000-000049020000}"/>
    <cellStyle name="Normal 106 9" xfId="351" xr:uid="{00000000-0005-0000-0000-00004A020000}"/>
    <cellStyle name="Normal 106 9 2" xfId="352" xr:uid="{00000000-0005-0000-0000-00004B020000}"/>
    <cellStyle name="Normal 107 2" xfId="353" xr:uid="{00000000-0005-0000-0000-00004C020000}"/>
    <cellStyle name="Normal 107 2 2" xfId="354" xr:uid="{00000000-0005-0000-0000-00004D020000}"/>
    <cellStyle name="Normal 107 2 2 2" xfId="355" xr:uid="{00000000-0005-0000-0000-00004E020000}"/>
    <cellStyle name="Normal 107 2 3" xfId="356" xr:uid="{00000000-0005-0000-0000-00004F020000}"/>
    <cellStyle name="Normal 107 3" xfId="357" xr:uid="{00000000-0005-0000-0000-000050020000}"/>
    <cellStyle name="Normal 107 3 2" xfId="358" xr:uid="{00000000-0005-0000-0000-000051020000}"/>
    <cellStyle name="Normal 107 4" xfId="359" xr:uid="{00000000-0005-0000-0000-000052020000}"/>
    <cellStyle name="Normal 107 4 2" xfId="360" xr:uid="{00000000-0005-0000-0000-000053020000}"/>
    <cellStyle name="Normal 107 5" xfId="361" xr:uid="{00000000-0005-0000-0000-000054020000}"/>
    <cellStyle name="Normal 107 5 2" xfId="362" xr:uid="{00000000-0005-0000-0000-000055020000}"/>
    <cellStyle name="Normal 107 6" xfId="363" xr:uid="{00000000-0005-0000-0000-000056020000}"/>
    <cellStyle name="Normal 107 6 2" xfId="364" xr:uid="{00000000-0005-0000-0000-000057020000}"/>
    <cellStyle name="Normal 107 7" xfId="365" xr:uid="{00000000-0005-0000-0000-000058020000}"/>
    <cellStyle name="Normal 107 7 2" xfId="366" xr:uid="{00000000-0005-0000-0000-000059020000}"/>
    <cellStyle name="Normal 107 8" xfId="367" xr:uid="{00000000-0005-0000-0000-00005A020000}"/>
    <cellStyle name="Normal 107 8 2" xfId="368" xr:uid="{00000000-0005-0000-0000-00005B020000}"/>
    <cellStyle name="Normal 107 9" xfId="369" xr:uid="{00000000-0005-0000-0000-00005C020000}"/>
    <cellStyle name="Normal 107 9 2" xfId="370" xr:uid="{00000000-0005-0000-0000-00005D020000}"/>
    <cellStyle name="Normal 108 2" xfId="371" xr:uid="{00000000-0005-0000-0000-00005E020000}"/>
    <cellStyle name="Normal 108 2 2" xfId="372" xr:uid="{00000000-0005-0000-0000-00005F020000}"/>
    <cellStyle name="Normal 108 2 2 2" xfId="373" xr:uid="{00000000-0005-0000-0000-000060020000}"/>
    <cellStyle name="Normal 108 2 3" xfId="374" xr:uid="{00000000-0005-0000-0000-000061020000}"/>
    <cellStyle name="Normal 108 3" xfId="375" xr:uid="{00000000-0005-0000-0000-000062020000}"/>
    <cellStyle name="Normal 108 3 2" xfId="376" xr:uid="{00000000-0005-0000-0000-000063020000}"/>
    <cellStyle name="Normal 108 4" xfId="377" xr:uid="{00000000-0005-0000-0000-000064020000}"/>
    <cellStyle name="Normal 108 4 2" xfId="378" xr:uid="{00000000-0005-0000-0000-000065020000}"/>
    <cellStyle name="Normal 108 5" xfId="379" xr:uid="{00000000-0005-0000-0000-000066020000}"/>
    <cellStyle name="Normal 108 5 2" xfId="380" xr:uid="{00000000-0005-0000-0000-000067020000}"/>
    <cellStyle name="Normal 108 6" xfId="381" xr:uid="{00000000-0005-0000-0000-000068020000}"/>
    <cellStyle name="Normal 108 6 2" xfId="382" xr:uid="{00000000-0005-0000-0000-000069020000}"/>
    <cellStyle name="Normal 108 7" xfId="383" xr:uid="{00000000-0005-0000-0000-00006A020000}"/>
    <cellStyle name="Normal 108 7 2" xfId="384" xr:uid="{00000000-0005-0000-0000-00006B020000}"/>
    <cellStyle name="Normal 108 8" xfId="385" xr:uid="{00000000-0005-0000-0000-00006C020000}"/>
    <cellStyle name="Normal 108 8 2" xfId="386" xr:uid="{00000000-0005-0000-0000-00006D020000}"/>
    <cellStyle name="Normal 108 9" xfId="387" xr:uid="{00000000-0005-0000-0000-00006E020000}"/>
    <cellStyle name="Normal 108 9 2" xfId="388" xr:uid="{00000000-0005-0000-0000-00006F020000}"/>
    <cellStyle name="Normal 109" xfId="389" xr:uid="{00000000-0005-0000-0000-000070020000}"/>
    <cellStyle name="Normal 109 10" xfId="4052" xr:uid="{00000000-0005-0000-0000-000071020000}"/>
    <cellStyle name="Normal 109 10 2" xfId="5010" xr:uid="{00000000-0005-0000-0000-000072020000}"/>
    <cellStyle name="Normal 109 11" xfId="4496" xr:uid="{00000000-0005-0000-0000-000073020000}"/>
    <cellStyle name="Normal 109 2" xfId="390" xr:uid="{00000000-0005-0000-0000-000074020000}"/>
    <cellStyle name="Normal 109 2 2" xfId="391" xr:uid="{00000000-0005-0000-0000-000075020000}"/>
    <cellStyle name="Normal 109 2 2 2" xfId="392" xr:uid="{00000000-0005-0000-0000-000076020000}"/>
    <cellStyle name="Normal 109 2 3" xfId="393" xr:uid="{00000000-0005-0000-0000-000077020000}"/>
    <cellStyle name="Normal 109 3" xfId="394" xr:uid="{00000000-0005-0000-0000-000078020000}"/>
    <cellStyle name="Normal 109 3 2" xfId="395" xr:uid="{00000000-0005-0000-0000-000079020000}"/>
    <cellStyle name="Normal 109 4" xfId="396" xr:uid="{00000000-0005-0000-0000-00007A020000}"/>
    <cellStyle name="Normal 109 4 2" xfId="397" xr:uid="{00000000-0005-0000-0000-00007B020000}"/>
    <cellStyle name="Normal 109 5" xfId="398" xr:uid="{00000000-0005-0000-0000-00007C020000}"/>
    <cellStyle name="Normal 109 5 2" xfId="399" xr:uid="{00000000-0005-0000-0000-00007D020000}"/>
    <cellStyle name="Normal 109 6" xfId="400" xr:uid="{00000000-0005-0000-0000-00007E020000}"/>
    <cellStyle name="Normal 109 6 2" xfId="401" xr:uid="{00000000-0005-0000-0000-00007F020000}"/>
    <cellStyle name="Normal 109 7" xfId="402" xr:uid="{00000000-0005-0000-0000-000080020000}"/>
    <cellStyle name="Normal 109 7 2" xfId="403" xr:uid="{00000000-0005-0000-0000-000081020000}"/>
    <cellStyle name="Normal 109 8" xfId="404" xr:uid="{00000000-0005-0000-0000-000082020000}"/>
    <cellStyle name="Normal 109 8 2" xfId="405" xr:uid="{00000000-0005-0000-0000-000083020000}"/>
    <cellStyle name="Normal 109 9" xfId="406" xr:uid="{00000000-0005-0000-0000-000084020000}"/>
    <cellStyle name="Normal 109 9 2" xfId="407" xr:uid="{00000000-0005-0000-0000-000085020000}"/>
    <cellStyle name="Normal 11" xfId="408" xr:uid="{00000000-0005-0000-0000-000086020000}"/>
    <cellStyle name="Normal 11 2" xfId="409" xr:uid="{00000000-0005-0000-0000-000087020000}"/>
    <cellStyle name="Normal 11 2 2" xfId="410" xr:uid="{00000000-0005-0000-0000-000088020000}"/>
    <cellStyle name="Normal 11 2 2 2" xfId="4055" xr:uid="{00000000-0005-0000-0000-000089020000}"/>
    <cellStyle name="Normal 11 2 2 2 2" xfId="4855" xr:uid="{00000000-0005-0000-0000-00008A020000}"/>
    <cellStyle name="Normal 11 2 2 3" xfId="4499" xr:uid="{00000000-0005-0000-0000-00008B020000}"/>
    <cellStyle name="Normal 11 2 3" xfId="4054" xr:uid="{00000000-0005-0000-0000-00008C020000}"/>
    <cellStyle name="Normal 11 2 3 2" xfId="4932" xr:uid="{00000000-0005-0000-0000-00008D020000}"/>
    <cellStyle name="Normal 11 2 4" xfId="4498" xr:uid="{00000000-0005-0000-0000-00008E020000}"/>
    <cellStyle name="Normal 11 3" xfId="411" xr:uid="{00000000-0005-0000-0000-00008F020000}"/>
    <cellStyle name="Normal 11 3 2" xfId="4056" xr:uid="{00000000-0005-0000-0000-000090020000}"/>
    <cellStyle name="Normal 11 3 2 2" xfId="4893" xr:uid="{00000000-0005-0000-0000-000091020000}"/>
    <cellStyle name="Normal 11 3 3" xfId="4500" xr:uid="{00000000-0005-0000-0000-000092020000}"/>
    <cellStyle name="Normal 11 4" xfId="4053" xr:uid="{00000000-0005-0000-0000-000093020000}"/>
    <cellStyle name="Normal 11 4 2" xfId="4968" xr:uid="{00000000-0005-0000-0000-000094020000}"/>
    <cellStyle name="Normal 11 5" xfId="4497" xr:uid="{00000000-0005-0000-0000-000095020000}"/>
    <cellStyle name="Normal 110" xfId="412" xr:uid="{00000000-0005-0000-0000-000096020000}"/>
    <cellStyle name="Normal 110 10" xfId="4057" xr:uid="{00000000-0005-0000-0000-000097020000}"/>
    <cellStyle name="Normal 110 10 2" xfId="5011" xr:uid="{00000000-0005-0000-0000-000098020000}"/>
    <cellStyle name="Normal 110 11" xfId="4501" xr:uid="{00000000-0005-0000-0000-000099020000}"/>
    <cellStyle name="Normal 110 2" xfId="413" xr:uid="{00000000-0005-0000-0000-00009A020000}"/>
    <cellStyle name="Normal 110 2 2" xfId="414" xr:uid="{00000000-0005-0000-0000-00009B020000}"/>
    <cellStyle name="Normal 110 2 2 2" xfId="415" xr:uid="{00000000-0005-0000-0000-00009C020000}"/>
    <cellStyle name="Normal 110 2 3" xfId="416" xr:uid="{00000000-0005-0000-0000-00009D020000}"/>
    <cellStyle name="Normal 110 3" xfId="417" xr:uid="{00000000-0005-0000-0000-00009E020000}"/>
    <cellStyle name="Normal 110 3 2" xfId="418" xr:uid="{00000000-0005-0000-0000-00009F020000}"/>
    <cellStyle name="Normal 110 4" xfId="419" xr:uid="{00000000-0005-0000-0000-0000A0020000}"/>
    <cellStyle name="Normal 110 4 2" xfId="420" xr:uid="{00000000-0005-0000-0000-0000A1020000}"/>
    <cellStyle name="Normal 110 5" xfId="421" xr:uid="{00000000-0005-0000-0000-0000A2020000}"/>
    <cellStyle name="Normal 110 5 2" xfId="422" xr:uid="{00000000-0005-0000-0000-0000A3020000}"/>
    <cellStyle name="Normal 110 6" xfId="423" xr:uid="{00000000-0005-0000-0000-0000A4020000}"/>
    <cellStyle name="Normal 110 6 2" xfId="424" xr:uid="{00000000-0005-0000-0000-0000A5020000}"/>
    <cellStyle name="Normal 110 7" xfId="425" xr:uid="{00000000-0005-0000-0000-0000A6020000}"/>
    <cellStyle name="Normal 110 7 2" xfId="426" xr:uid="{00000000-0005-0000-0000-0000A7020000}"/>
    <cellStyle name="Normal 110 8" xfId="427" xr:uid="{00000000-0005-0000-0000-0000A8020000}"/>
    <cellStyle name="Normal 110 8 2" xfId="428" xr:uid="{00000000-0005-0000-0000-0000A9020000}"/>
    <cellStyle name="Normal 110 9" xfId="429" xr:uid="{00000000-0005-0000-0000-0000AA020000}"/>
    <cellStyle name="Normal 110 9 2" xfId="430" xr:uid="{00000000-0005-0000-0000-0000AB020000}"/>
    <cellStyle name="Normal 111" xfId="431" xr:uid="{00000000-0005-0000-0000-0000AC020000}"/>
    <cellStyle name="Normal 111 10" xfId="4058" xr:uid="{00000000-0005-0000-0000-0000AD020000}"/>
    <cellStyle name="Normal 111 10 2" xfId="5012" xr:uid="{00000000-0005-0000-0000-0000AE020000}"/>
    <cellStyle name="Normal 111 11" xfId="4502" xr:uid="{00000000-0005-0000-0000-0000AF020000}"/>
    <cellStyle name="Normal 111 2" xfId="432" xr:uid="{00000000-0005-0000-0000-0000B0020000}"/>
    <cellStyle name="Normal 111 2 2" xfId="433" xr:uid="{00000000-0005-0000-0000-0000B1020000}"/>
    <cellStyle name="Normal 111 2 2 2" xfId="434" xr:uid="{00000000-0005-0000-0000-0000B2020000}"/>
    <cellStyle name="Normal 111 2 3" xfId="435" xr:uid="{00000000-0005-0000-0000-0000B3020000}"/>
    <cellStyle name="Normal 111 3" xfId="436" xr:uid="{00000000-0005-0000-0000-0000B4020000}"/>
    <cellStyle name="Normal 111 3 2" xfId="437" xr:uid="{00000000-0005-0000-0000-0000B5020000}"/>
    <cellStyle name="Normal 111 4" xfId="438" xr:uid="{00000000-0005-0000-0000-0000B6020000}"/>
    <cellStyle name="Normal 111 4 2" xfId="439" xr:uid="{00000000-0005-0000-0000-0000B7020000}"/>
    <cellStyle name="Normal 111 5" xfId="440" xr:uid="{00000000-0005-0000-0000-0000B8020000}"/>
    <cellStyle name="Normal 111 5 2" xfId="441" xr:uid="{00000000-0005-0000-0000-0000B9020000}"/>
    <cellStyle name="Normal 111 6" xfId="442" xr:uid="{00000000-0005-0000-0000-0000BA020000}"/>
    <cellStyle name="Normal 111 6 2" xfId="443" xr:uid="{00000000-0005-0000-0000-0000BB020000}"/>
    <cellStyle name="Normal 111 7" xfId="444" xr:uid="{00000000-0005-0000-0000-0000BC020000}"/>
    <cellStyle name="Normal 111 7 2" xfId="445" xr:uid="{00000000-0005-0000-0000-0000BD020000}"/>
    <cellStyle name="Normal 111 8" xfId="446" xr:uid="{00000000-0005-0000-0000-0000BE020000}"/>
    <cellStyle name="Normal 111 8 2" xfId="447" xr:uid="{00000000-0005-0000-0000-0000BF020000}"/>
    <cellStyle name="Normal 111 9" xfId="448" xr:uid="{00000000-0005-0000-0000-0000C0020000}"/>
    <cellStyle name="Normal 111 9 2" xfId="449" xr:uid="{00000000-0005-0000-0000-0000C1020000}"/>
    <cellStyle name="Normal 112 2" xfId="450" xr:uid="{00000000-0005-0000-0000-0000C2020000}"/>
    <cellStyle name="Normal 112 2 2" xfId="451" xr:uid="{00000000-0005-0000-0000-0000C3020000}"/>
    <cellStyle name="Normal 112 2 2 2" xfId="452" xr:uid="{00000000-0005-0000-0000-0000C4020000}"/>
    <cellStyle name="Normal 112 2 3" xfId="453" xr:uid="{00000000-0005-0000-0000-0000C5020000}"/>
    <cellStyle name="Normal 112 3" xfId="454" xr:uid="{00000000-0005-0000-0000-0000C6020000}"/>
    <cellStyle name="Normal 112 3 2" xfId="455" xr:uid="{00000000-0005-0000-0000-0000C7020000}"/>
    <cellStyle name="Normal 112 4" xfId="456" xr:uid="{00000000-0005-0000-0000-0000C8020000}"/>
    <cellStyle name="Normal 112 4 2" xfId="457" xr:uid="{00000000-0005-0000-0000-0000C9020000}"/>
    <cellStyle name="Normal 112 5" xfId="458" xr:uid="{00000000-0005-0000-0000-0000CA020000}"/>
    <cellStyle name="Normal 112 5 2" xfId="459" xr:uid="{00000000-0005-0000-0000-0000CB020000}"/>
    <cellStyle name="Normal 112 6" xfId="460" xr:uid="{00000000-0005-0000-0000-0000CC020000}"/>
    <cellStyle name="Normal 112 6 2" xfId="461" xr:uid="{00000000-0005-0000-0000-0000CD020000}"/>
    <cellStyle name="Normal 112 7" xfId="462" xr:uid="{00000000-0005-0000-0000-0000CE020000}"/>
    <cellStyle name="Normal 112 7 2" xfId="463" xr:uid="{00000000-0005-0000-0000-0000CF020000}"/>
    <cellStyle name="Normal 112 8" xfId="464" xr:uid="{00000000-0005-0000-0000-0000D0020000}"/>
    <cellStyle name="Normal 112 8 2" xfId="465" xr:uid="{00000000-0005-0000-0000-0000D1020000}"/>
    <cellStyle name="Normal 112 9" xfId="466" xr:uid="{00000000-0005-0000-0000-0000D2020000}"/>
    <cellStyle name="Normal 112 9 2" xfId="467" xr:uid="{00000000-0005-0000-0000-0000D3020000}"/>
    <cellStyle name="Normal 113 2" xfId="468" xr:uid="{00000000-0005-0000-0000-0000D4020000}"/>
    <cellStyle name="Normal 113 2 2" xfId="469" xr:uid="{00000000-0005-0000-0000-0000D5020000}"/>
    <cellStyle name="Normal 113 2 2 2" xfId="470" xr:uid="{00000000-0005-0000-0000-0000D6020000}"/>
    <cellStyle name="Normal 113 2 3" xfId="471" xr:uid="{00000000-0005-0000-0000-0000D7020000}"/>
    <cellStyle name="Normal 113 3" xfId="472" xr:uid="{00000000-0005-0000-0000-0000D8020000}"/>
    <cellStyle name="Normal 113 3 2" xfId="473" xr:uid="{00000000-0005-0000-0000-0000D9020000}"/>
    <cellStyle name="Normal 113 4" xfId="474" xr:uid="{00000000-0005-0000-0000-0000DA020000}"/>
    <cellStyle name="Normal 113 4 2" xfId="475" xr:uid="{00000000-0005-0000-0000-0000DB020000}"/>
    <cellStyle name="Normal 113 5" xfId="476" xr:uid="{00000000-0005-0000-0000-0000DC020000}"/>
    <cellStyle name="Normal 113 5 2" xfId="477" xr:uid="{00000000-0005-0000-0000-0000DD020000}"/>
    <cellStyle name="Normal 113 6" xfId="478" xr:uid="{00000000-0005-0000-0000-0000DE020000}"/>
    <cellStyle name="Normal 113 6 2" xfId="479" xr:uid="{00000000-0005-0000-0000-0000DF020000}"/>
    <cellStyle name="Normal 113 7" xfId="480" xr:uid="{00000000-0005-0000-0000-0000E0020000}"/>
    <cellStyle name="Normal 113 7 2" xfId="481" xr:uid="{00000000-0005-0000-0000-0000E1020000}"/>
    <cellStyle name="Normal 113 8" xfId="482" xr:uid="{00000000-0005-0000-0000-0000E2020000}"/>
    <cellStyle name="Normal 113 8 2" xfId="483" xr:uid="{00000000-0005-0000-0000-0000E3020000}"/>
    <cellStyle name="Normal 113 9" xfId="484" xr:uid="{00000000-0005-0000-0000-0000E4020000}"/>
    <cellStyle name="Normal 113 9 2" xfId="485" xr:uid="{00000000-0005-0000-0000-0000E5020000}"/>
    <cellStyle name="Normal 114 2" xfId="486" xr:uid="{00000000-0005-0000-0000-0000E6020000}"/>
    <cellStyle name="Normal 114 2 2" xfId="487" xr:uid="{00000000-0005-0000-0000-0000E7020000}"/>
    <cellStyle name="Normal 114 2 2 2" xfId="488" xr:uid="{00000000-0005-0000-0000-0000E8020000}"/>
    <cellStyle name="Normal 114 2 3" xfId="489" xr:uid="{00000000-0005-0000-0000-0000E9020000}"/>
    <cellStyle name="Normal 114 3" xfId="490" xr:uid="{00000000-0005-0000-0000-0000EA020000}"/>
    <cellStyle name="Normal 114 3 2" xfId="491" xr:uid="{00000000-0005-0000-0000-0000EB020000}"/>
    <cellStyle name="Normal 114 4" xfId="492" xr:uid="{00000000-0005-0000-0000-0000EC020000}"/>
    <cellStyle name="Normal 114 4 2" xfId="493" xr:uid="{00000000-0005-0000-0000-0000ED020000}"/>
    <cellStyle name="Normal 114 5" xfId="494" xr:uid="{00000000-0005-0000-0000-0000EE020000}"/>
    <cellStyle name="Normal 114 5 2" xfId="495" xr:uid="{00000000-0005-0000-0000-0000EF020000}"/>
    <cellStyle name="Normal 114 6" xfId="496" xr:uid="{00000000-0005-0000-0000-0000F0020000}"/>
    <cellStyle name="Normal 114 6 2" xfId="497" xr:uid="{00000000-0005-0000-0000-0000F1020000}"/>
    <cellStyle name="Normal 114 7" xfId="498" xr:uid="{00000000-0005-0000-0000-0000F2020000}"/>
    <cellStyle name="Normal 114 7 2" xfId="499" xr:uid="{00000000-0005-0000-0000-0000F3020000}"/>
    <cellStyle name="Normal 114 8" xfId="500" xr:uid="{00000000-0005-0000-0000-0000F4020000}"/>
    <cellStyle name="Normal 114 8 2" xfId="501" xr:uid="{00000000-0005-0000-0000-0000F5020000}"/>
    <cellStyle name="Normal 114 9" xfId="502" xr:uid="{00000000-0005-0000-0000-0000F6020000}"/>
    <cellStyle name="Normal 114 9 2" xfId="503" xr:uid="{00000000-0005-0000-0000-0000F7020000}"/>
    <cellStyle name="Normal 116 2" xfId="504" xr:uid="{00000000-0005-0000-0000-0000F8020000}"/>
    <cellStyle name="Normal 116 2 2" xfId="505" xr:uid="{00000000-0005-0000-0000-0000F9020000}"/>
    <cellStyle name="Normal 116 2 2 2" xfId="506" xr:uid="{00000000-0005-0000-0000-0000FA020000}"/>
    <cellStyle name="Normal 116 2 3" xfId="507" xr:uid="{00000000-0005-0000-0000-0000FB020000}"/>
    <cellStyle name="Normal 116 3" xfId="508" xr:uid="{00000000-0005-0000-0000-0000FC020000}"/>
    <cellStyle name="Normal 116 3 2" xfId="509" xr:uid="{00000000-0005-0000-0000-0000FD020000}"/>
    <cellStyle name="Normal 116 4" xfId="510" xr:uid="{00000000-0005-0000-0000-0000FE020000}"/>
    <cellStyle name="Normal 116 4 2" xfId="511" xr:uid="{00000000-0005-0000-0000-0000FF020000}"/>
    <cellStyle name="Normal 116 5" xfId="512" xr:uid="{00000000-0005-0000-0000-000000030000}"/>
    <cellStyle name="Normal 116 5 2" xfId="513" xr:uid="{00000000-0005-0000-0000-000001030000}"/>
    <cellStyle name="Normal 116 6" xfId="514" xr:uid="{00000000-0005-0000-0000-000002030000}"/>
    <cellStyle name="Normal 116 6 2" xfId="515" xr:uid="{00000000-0005-0000-0000-000003030000}"/>
    <cellStyle name="Normal 116 7" xfId="516" xr:uid="{00000000-0005-0000-0000-000004030000}"/>
    <cellStyle name="Normal 116 7 2" xfId="517" xr:uid="{00000000-0005-0000-0000-000005030000}"/>
    <cellStyle name="Normal 116 8" xfId="518" xr:uid="{00000000-0005-0000-0000-000006030000}"/>
    <cellStyle name="Normal 116 8 2" xfId="519" xr:uid="{00000000-0005-0000-0000-000007030000}"/>
    <cellStyle name="Normal 116 9" xfId="520" xr:uid="{00000000-0005-0000-0000-000008030000}"/>
    <cellStyle name="Normal 116 9 2" xfId="521" xr:uid="{00000000-0005-0000-0000-000009030000}"/>
    <cellStyle name="Normal 117 2" xfId="522" xr:uid="{00000000-0005-0000-0000-00000A030000}"/>
    <cellStyle name="Normal 117 2 2" xfId="523" xr:uid="{00000000-0005-0000-0000-00000B030000}"/>
    <cellStyle name="Normal 117 2 2 2" xfId="524" xr:uid="{00000000-0005-0000-0000-00000C030000}"/>
    <cellStyle name="Normal 117 2 3" xfId="525" xr:uid="{00000000-0005-0000-0000-00000D030000}"/>
    <cellStyle name="Normal 117 3" xfId="526" xr:uid="{00000000-0005-0000-0000-00000E030000}"/>
    <cellStyle name="Normal 117 3 2" xfId="527" xr:uid="{00000000-0005-0000-0000-00000F030000}"/>
    <cellStyle name="Normal 117 4" xfId="528" xr:uid="{00000000-0005-0000-0000-000010030000}"/>
    <cellStyle name="Normal 117 4 2" xfId="529" xr:uid="{00000000-0005-0000-0000-000011030000}"/>
    <cellStyle name="Normal 117 5" xfId="530" xr:uid="{00000000-0005-0000-0000-000012030000}"/>
    <cellStyle name="Normal 117 5 2" xfId="531" xr:uid="{00000000-0005-0000-0000-000013030000}"/>
    <cellStyle name="Normal 117 6" xfId="532" xr:uid="{00000000-0005-0000-0000-000014030000}"/>
    <cellStyle name="Normal 117 6 2" xfId="533" xr:uid="{00000000-0005-0000-0000-000015030000}"/>
    <cellStyle name="Normal 117 7" xfId="534" xr:uid="{00000000-0005-0000-0000-000016030000}"/>
    <cellStyle name="Normal 117 7 2" xfId="535" xr:uid="{00000000-0005-0000-0000-000017030000}"/>
    <cellStyle name="Normal 117 8" xfId="536" xr:uid="{00000000-0005-0000-0000-000018030000}"/>
    <cellStyle name="Normal 117 8 2" xfId="537" xr:uid="{00000000-0005-0000-0000-000019030000}"/>
    <cellStyle name="Normal 117 9" xfId="538" xr:uid="{00000000-0005-0000-0000-00001A030000}"/>
    <cellStyle name="Normal 117 9 2" xfId="539" xr:uid="{00000000-0005-0000-0000-00001B030000}"/>
    <cellStyle name="Normal 118 2" xfId="540" xr:uid="{00000000-0005-0000-0000-00001C030000}"/>
    <cellStyle name="Normal 118 2 2" xfId="541" xr:uid="{00000000-0005-0000-0000-00001D030000}"/>
    <cellStyle name="Normal 118 2 2 2" xfId="542" xr:uid="{00000000-0005-0000-0000-00001E030000}"/>
    <cellStyle name="Normal 118 2 3" xfId="543" xr:uid="{00000000-0005-0000-0000-00001F030000}"/>
    <cellStyle name="Normal 118 3" xfId="544" xr:uid="{00000000-0005-0000-0000-000020030000}"/>
    <cellStyle name="Normal 118 3 2" xfId="545" xr:uid="{00000000-0005-0000-0000-000021030000}"/>
    <cellStyle name="Normal 118 4" xfId="546" xr:uid="{00000000-0005-0000-0000-000022030000}"/>
    <cellStyle name="Normal 118 4 2" xfId="547" xr:uid="{00000000-0005-0000-0000-000023030000}"/>
    <cellStyle name="Normal 118 5" xfId="548" xr:uid="{00000000-0005-0000-0000-000024030000}"/>
    <cellStyle name="Normal 118 5 2" xfId="549" xr:uid="{00000000-0005-0000-0000-000025030000}"/>
    <cellStyle name="Normal 118 6" xfId="550" xr:uid="{00000000-0005-0000-0000-000026030000}"/>
    <cellStyle name="Normal 118 6 2" xfId="551" xr:uid="{00000000-0005-0000-0000-000027030000}"/>
    <cellStyle name="Normal 118 7" xfId="552" xr:uid="{00000000-0005-0000-0000-000028030000}"/>
    <cellStyle name="Normal 118 7 2" xfId="553" xr:uid="{00000000-0005-0000-0000-000029030000}"/>
    <cellStyle name="Normal 118 8" xfId="554" xr:uid="{00000000-0005-0000-0000-00002A030000}"/>
    <cellStyle name="Normal 118 8 2" xfId="555" xr:uid="{00000000-0005-0000-0000-00002B030000}"/>
    <cellStyle name="Normal 118 9" xfId="556" xr:uid="{00000000-0005-0000-0000-00002C030000}"/>
    <cellStyle name="Normal 118 9 2" xfId="557" xr:uid="{00000000-0005-0000-0000-00002D030000}"/>
    <cellStyle name="Normal 119 2" xfId="558" xr:uid="{00000000-0005-0000-0000-00002E030000}"/>
    <cellStyle name="Normal 119 2 2" xfId="559" xr:uid="{00000000-0005-0000-0000-00002F030000}"/>
    <cellStyle name="Normal 119 2 2 2" xfId="560" xr:uid="{00000000-0005-0000-0000-000030030000}"/>
    <cellStyle name="Normal 119 2 3" xfId="561" xr:uid="{00000000-0005-0000-0000-000031030000}"/>
    <cellStyle name="Normal 119 3" xfId="562" xr:uid="{00000000-0005-0000-0000-000032030000}"/>
    <cellStyle name="Normal 119 3 2" xfId="563" xr:uid="{00000000-0005-0000-0000-000033030000}"/>
    <cellStyle name="Normal 119 4" xfId="564" xr:uid="{00000000-0005-0000-0000-000034030000}"/>
    <cellStyle name="Normal 119 4 2" xfId="565" xr:uid="{00000000-0005-0000-0000-000035030000}"/>
    <cellStyle name="Normal 119 5" xfId="566" xr:uid="{00000000-0005-0000-0000-000036030000}"/>
    <cellStyle name="Normal 119 5 2" xfId="567" xr:uid="{00000000-0005-0000-0000-000037030000}"/>
    <cellStyle name="Normal 119 6" xfId="568" xr:uid="{00000000-0005-0000-0000-000038030000}"/>
    <cellStyle name="Normal 119 6 2" xfId="569" xr:uid="{00000000-0005-0000-0000-000039030000}"/>
    <cellStyle name="Normal 119 7" xfId="570" xr:uid="{00000000-0005-0000-0000-00003A030000}"/>
    <cellStyle name="Normal 119 7 2" xfId="571" xr:uid="{00000000-0005-0000-0000-00003B030000}"/>
    <cellStyle name="Normal 119 8" xfId="572" xr:uid="{00000000-0005-0000-0000-00003C030000}"/>
    <cellStyle name="Normal 119 8 2" xfId="573" xr:uid="{00000000-0005-0000-0000-00003D030000}"/>
    <cellStyle name="Normal 119 9" xfId="574" xr:uid="{00000000-0005-0000-0000-00003E030000}"/>
    <cellStyle name="Normal 119 9 2" xfId="575" xr:uid="{00000000-0005-0000-0000-00003F030000}"/>
    <cellStyle name="Normal 12" xfId="576" xr:uid="{00000000-0005-0000-0000-000040030000}"/>
    <cellStyle name="Normal 12 2" xfId="577" xr:uid="{00000000-0005-0000-0000-000041030000}"/>
    <cellStyle name="Normal 12 2 2" xfId="578" xr:uid="{00000000-0005-0000-0000-000042030000}"/>
    <cellStyle name="Normal 12 2 2 2" xfId="4061" xr:uid="{00000000-0005-0000-0000-000043030000}"/>
    <cellStyle name="Normal 12 2 2 2 2" xfId="4854" xr:uid="{00000000-0005-0000-0000-000044030000}"/>
    <cellStyle name="Normal 12 2 2 3" xfId="4505" xr:uid="{00000000-0005-0000-0000-000045030000}"/>
    <cellStyle name="Normal 12 2 3" xfId="4060" xr:uid="{00000000-0005-0000-0000-000046030000}"/>
    <cellStyle name="Normal 12 2 3 2" xfId="4931" xr:uid="{00000000-0005-0000-0000-000047030000}"/>
    <cellStyle name="Normal 12 2 4" xfId="4504" xr:uid="{00000000-0005-0000-0000-000048030000}"/>
    <cellStyle name="Normal 12 3" xfId="579" xr:uid="{00000000-0005-0000-0000-000049030000}"/>
    <cellStyle name="Normal 12 3 2" xfId="4062" xr:uid="{00000000-0005-0000-0000-00004A030000}"/>
    <cellStyle name="Normal 12 3 2 2" xfId="4892" xr:uid="{00000000-0005-0000-0000-00004B030000}"/>
    <cellStyle name="Normal 12 3 3" xfId="4506" xr:uid="{00000000-0005-0000-0000-00004C030000}"/>
    <cellStyle name="Normal 12 4" xfId="4059" xr:uid="{00000000-0005-0000-0000-00004D030000}"/>
    <cellStyle name="Normal 12 4 2" xfId="4967" xr:uid="{00000000-0005-0000-0000-00004E030000}"/>
    <cellStyle name="Normal 12 5" xfId="4503" xr:uid="{00000000-0005-0000-0000-00004F030000}"/>
    <cellStyle name="Normal 120 2" xfId="580" xr:uid="{00000000-0005-0000-0000-000050030000}"/>
    <cellStyle name="Normal 120 2 2" xfId="581" xr:uid="{00000000-0005-0000-0000-000051030000}"/>
    <cellStyle name="Normal 120 2 2 2" xfId="582" xr:uid="{00000000-0005-0000-0000-000052030000}"/>
    <cellStyle name="Normal 120 2 3" xfId="583" xr:uid="{00000000-0005-0000-0000-000053030000}"/>
    <cellStyle name="Normal 120 3" xfId="584" xr:uid="{00000000-0005-0000-0000-000054030000}"/>
    <cellStyle name="Normal 120 3 2" xfId="585" xr:uid="{00000000-0005-0000-0000-000055030000}"/>
    <cellStyle name="Normal 120 4" xfId="586" xr:uid="{00000000-0005-0000-0000-000056030000}"/>
    <cellStyle name="Normal 120 4 2" xfId="587" xr:uid="{00000000-0005-0000-0000-000057030000}"/>
    <cellStyle name="Normal 120 5" xfId="588" xr:uid="{00000000-0005-0000-0000-000058030000}"/>
    <cellStyle name="Normal 120 5 2" xfId="589" xr:uid="{00000000-0005-0000-0000-000059030000}"/>
    <cellStyle name="Normal 120 6" xfId="590" xr:uid="{00000000-0005-0000-0000-00005A030000}"/>
    <cellStyle name="Normal 120 6 2" xfId="591" xr:uid="{00000000-0005-0000-0000-00005B030000}"/>
    <cellStyle name="Normal 120 7" xfId="592" xr:uid="{00000000-0005-0000-0000-00005C030000}"/>
    <cellStyle name="Normal 120 7 2" xfId="593" xr:uid="{00000000-0005-0000-0000-00005D030000}"/>
    <cellStyle name="Normal 120 8" xfId="594" xr:uid="{00000000-0005-0000-0000-00005E030000}"/>
    <cellStyle name="Normal 120 8 2" xfId="595" xr:uid="{00000000-0005-0000-0000-00005F030000}"/>
    <cellStyle name="Normal 120 9" xfId="596" xr:uid="{00000000-0005-0000-0000-000060030000}"/>
    <cellStyle name="Normal 120 9 2" xfId="597" xr:uid="{00000000-0005-0000-0000-000061030000}"/>
    <cellStyle name="Normal 121 2" xfId="598" xr:uid="{00000000-0005-0000-0000-000062030000}"/>
    <cellStyle name="Normal 121 2 2" xfId="599" xr:uid="{00000000-0005-0000-0000-000063030000}"/>
    <cellStyle name="Normal 121 2 2 2" xfId="600" xr:uid="{00000000-0005-0000-0000-000064030000}"/>
    <cellStyle name="Normal 121 2 3" xfId="601" xr:uid="{00000000-0005-0000-0000-000065030000}"/>
    <cellStyle name="Normal 122 2" xfId="602" xr:uid="{00000000-0005-0000-0000-000066030000}"/>
    <cellStyle name="Normal 122 2 2" xfId="603" xr:uid="{00000000-0005-0000-0000-000067030000}"/>
    <cellStyle name="Normal 122 2 2 2" xfId="604" xr:uid="{00000000-0005-0000-0000-000068030000}"/>
    <cellStyle name="Normal 122 2 3" xfId="605" xr:uid="{00000000-0005-0000-0000-000069030000}"/>
    <cellStyle name="Normal 122 3" xfId="606" xr:uid="{00000000-0005-0000-0000-00006A030000}"/>
    <cellStyle name="Normal 122 3 2" xfId="607" xr:uid="{00000000-0005-0000-0000-00006B030000}"/>
    <cellStyle name="Normal 122 4" xfId="608" xr:uid="{00000000-0005-0000-0000-00006C030000}"/>
    <cellStyle name="Normal 122 4 2" xfId="609" xr:uid="{00000000-0005-0000-0000-00006D030000}"/>
    <cellStyle name="Normal 122 5" xfId="610" xr:uid="{00000000-0005-0000-0000-00006E030000}"/>
    <cellStyle name="Normal 122 5 2" xfId="611" xr:uid="{00000000-0005-0000-0000-00006F030000}"/>
    <cellStyle name="Normal 122 6" xfId="612" xr:uid="{00000000-0005-0000-0000-000070030000}"/>
    <cellStyle name="Normal 122 6 2" xfId="613" xr:uid="{00000000-0005-0000-0000-000071030000}"/>
    <cellStyle name="Normal 122 7" xfId="614" xr:uid="{00000000-0005-0000-0000-000072030000}"/>
    <cellStyle name="Normal 122 7 2" xfId="615" xr:uid="{00000000-0005-0000-0000-000073030000}"/>
    <cellStyle name="Normal 122 8" xfId="616" xr:uid="{00000000-0005-0000-0000-000074030000}"/>
    <cellStyle name="Normal 122 8 2" xfId="617" xr:uid="{00000000-0005-0000-0000-000075030000}"/>
    <cellStyle name="Normal 122 9" xfId="618" xr:uid="{00000000-0005-0000-0000-000076030000}"/>
    <cellStyle name="Normal 122 9 2" xfId="619" xr:uid="{00000000-0005-0000-0000-000077030000}"/>
    <cellStyle name="Normal 123 2" xfId="620" xr:uid="{00000000-0005-0000-0000-000078030000}"/>
    <cellStyle name="Normal 123 2 2" xfId="621" xr:uid="{00000000-0005-0000-0000-000079030000}"/>
    <cellStyle name="Normal 123 2 2 2" xfId="622" xr:uid="{00000000-0005-0000-0000-00007A030000}"/>
    <cellStyle name="Normal 123 2 3" xfId="623" xr:uid="{00000000-0005-0000-0000-00007B030000}"/>
    <cellStyle name="Normal 123 3" xfId="624" xr:uid="{00000000-0005-0000-0000-00007C030000}"/>
    <cellStyle name="Normal 123 3 2" xfId="625" xr:uid="{00000000-0005-0000-0000-00007D030000}"/>
    <cellStyle name="Normal 123 4" xfId="626" xr:uid="{00000000-0005-0000-0000-00007E030000}"/>
    <cellStyle name="Normal 123 4 2" xfId="627" xr:uid="{00000000-0005-0000-0000-00007F030000}"/>
    <cellStyle name="Normal 123 5" xfId="628" xr:uid="{00000000-0005-0000-0000-000080030000}"/>
    <cellStyle name="Normal 123 5 2" xfId="629" xr:uid="{00000000-0005-0000-0000-000081030000}"/>
    <cellStyle name="Normal 123 6" xfId="630" xr:uid="{00000000-0005-0000-0000-000082030000}"/>
    <cellStyle name="Normal 123 6 2" xfId="631" xr:uid="{00000000-0005-0000-0000-000083030000}"/>
    <cellStyle name="Normal 123 7" xfId="632" xr:uid="{00000000-0005-0000-0000-000084030000}"/>
    <cellStyle name="Normal 123 7 2" xfId="633" xr:uid="{00000000-0005-0000-0000-000085030000}"/>
    <cellStyle name="Normal 123 8" xfId="634" xr:uid="{00000000-0005-0000-0000-000086030000}"/>
    <cellStyle name="Normal 123 8 2" xfId="635" xr:uid="{00000000-0005-0000-0000-000087030000}"/>
    <cellStyle name="Normal 123 9" xfId="636" xr:uid="{00000000-0005-0000-0000-000088030000}"/>
    <cellStyle name="Normal 123 9 2" xfId="637" xr:uid="{00000000-0005-0000-0000-000089030000}"/>
    <cellStyle name="Normal 125 2" xfId="638" xr:uid="{00000000-0005-0000-0000-00008A030000}"/>
    <cellStyle name="Normal 125 2 2" xfId="639" xr:uid="{00000000-0005-0000-0000-00008B030000}"/>
    <cellStyle name="Normal 125 3" xfId="640" xr:uid="{00000000-0005-0000-0000-00008C030000}"/>
    <cellStyle name="Normal 125 3 2" xfId="641" xr:uid="{00000000-0005-0000-0000-00008D030000}"/>
    <cellStyle name="Normal 125 4" xfId="642" xr:uid="{00000000-0005-0000-0000-00008E030000}"/>
    <cellStyle name="Normal 125 4 2" xfId="643" xr:uid="{00000000-0005-0000-0000-00008F030000}"/>
    <cellStyle name="Normal 125 5" xfId="644" xr:uid="{00000000-0005-0000-0000-000090030000}"/>
    <cellStyle name="Normal 125 5 2" xfId="645" xr:uid="{00000000-0005-0000-0000-000091030000}"/>
    <cellStyle name="Normal 125 6" xfId="646" xr:uid="{00000000-0005-0000-0000-000092030000}"/>
    <cellStyle name="Normal 125 6 2" xfId="647" xr:uid="{00000000-0005-0000-0000-000093030000}"/>
    <cellStyle name="Normal 125 7" xfId="648" xr:uid="{00000000-0005-0000-0000-000094030000}"/>
    <cellStyle name="Normal 125 7 2" xfId="649" xr:uid="{00000000-0005-0000-0000-000095030000}"/>
    <cellStyle name="Normal 125 8" xfId="650" xr:uid="{00000000-0005-0000-0000-000096030000}"/>
    <cellStyle name="Normal 125 8 2" xfId="651" xr:uid="{00000000-0005-0000-0000-000097030000}"/>
    <cellStyle name="Normal 126 2" xfId="652" xr:uid="{00000000-0005-0000-0000-000098030000}"/>
    <cellStyle name="Normal 126 2 2" xfId="653" xr:uid="{00000000-0005-0000-0000-000099030000}"/>
    <cellStyle name="Normal 126 3" xfId="654" xr:uid="{00000000-0005-0000-0000-00009A030000}"/>
    <cellStyle name="Normal 126 3 2" xfId="655" xr:uid="{00000000-0005-0000-0000-00009B030000}"/>
    <cellStyle name="Normal 126 4" xfId="656" xr:uid="{00000000-0005-0000-0000-00009C030000}"/>
    <cellStyle name="Normal 126 4 2" xfId="657" xr:uid="{00000000-0005-0000-0000-00009D030000}"/>
    <cellStyle name="Normal 126 5" xfId="658" xr:uid="{00000000-0005-0000-0000-00009E030000}"/>
    <cellStyle name="Normal 126 5 2" xfId="659" xr:uid="{00000000-0005-0000-0000-00009F030000}"/>
    <cellStyle name="Normal 126 6" xfId="660" xr:uid="{00000000-0005-0000-0000-0000A0030000}"/>
    <cellStyle name="Normal 126 6 2" xfId="661" xr:uid="{00000000-0005-0000-0000-0000A1030000}"/>
    <cellStyle name="Normal 126 7" xfId="662" xr:uid="{00000000-0005-0000-0000-0000A2030000}"/>
    <cellStyle name="Normal 126 7 2" xfId="663" xr:uid="{00000000-0005-0000-0000-0000A3030000}"/>
    <cellStyle name="Normal 126 8" xfId="664" xr:uid="{00000000-0005-0000-0000-0000A4030000}"/>
    <cellStyle name="Normal 126 8 2" xfId="665" xr:uid="{00000000-0005-0000-0000-0000A5030000}"/>
    <cellStyle name="Normal 127 2" xfId="666" xr:uid="{00000000-0005-0000-0000-0000A6030000}"/>
    <cellStyle name="Normal 127 2 2" xfId="667" xr:uid="{00000000-0005-0000-0000-0000A7030000}"/>
    <cellStyle name="Normal 127 3" xfId="668" xr:uid="{00000000-0005-0000-0000-0000A8030000}"/>
    <cellStyle name="Normal 127 3 2" xfId="669" xr:uid="{00000000-0005-0000-0000-0000A9030000}"/>
    <cellStyle name="Normal 127 4" xfId="670" xr:uid="{00000000-0005-0000-0000-0000AA030000}"/>
    <cellStyle name="Normal 127 4 2" xfId="671" xr:uid="{00000000-0005-0000-0000-0000AB030000}"/>
    <cellStyle name="Normal 127 5" xfId="672" xr:uid="{00000000-0005-0000-0000-0000AC030000}"/>
    <cellStyle name="Normal 127 5 2" xfId="673" xr:uid="{00000000-0005-0000-0000-0000AD030000}"/>
    <cellStyle name="Normal 127 6" xfId="674" xr:uid="{00000000-0005-0000-0000-0000AE030000}"/>
    <cellStyle name="Normal 127 6 2" xfId="675" xr:uid="{00000000-0005-0000-0000-0000AF030000}"/>
    <cellStyle name="Normal 127 7" xfId="676" xr:uid="{00000000-0005-0000-0000-0000B0030000}"/>
    <cellStyle name="Normal 127 7 2" xfId="677" xr:uid="{00000000-0005-0000-0000-0000B1030000}"/>
    <cellStyle name="Normal 127 8" xfId="678" xr:uid="{00000000-0005-0000-0000-0000B2030000}"/>
    <cellStyle name="Normal 127 8 2" xfId="679" xr:uid="{00000000-0005-0000-0000-0000B3030000}"/>
    <cellStyle name="Normal 128 2" xfId="680" xr:uid="{00000000-0005-0000-0000-0000B4030000}"/>
    <cellStyle name="Normal 128 2 2" xfId="681" xr:uid="{00000000-0005-0000-0000-0000B5030000}"/>
    <cellStyle name="Normal 128 3" xfId="682" xr:uid="{00000000-0005-0000-0000-0000B6030000}"/>
    <cellStyle name="Normal 128 3 2" xfId="683" xr:uid="{00000000-0005-0000-0000-0000B7030000}"/>
    <cellStyle name="Normal 128 4" xfId="684" xr:uid="{00000000-0005-0000-0000-0000B8030000}"/>
    <cellStyle name="Normal 128 4 2" xfId="685" xr:uid="{00000000-0005-0000-0000-0000B9030000}"/>
    <cellStyle name="Normal 128 5" xfId="686" xr:uid="{00000000-0005-0000-0000-0000BA030000}"/>
    <cellStyle name="Normal 128 5 2" xfId="687" xr:uid="{00000000-0005-0000-0000-0000BB030000}"/>
    <cellStyle name="Normal 128 6" xfId="688" xr:uid="{00000000-0005-0000-0000-0000BC030000}"/>
    <cellStyle name="Normal 128 6 2" xfId="689" xr:uid="{00000000-0005-0000-0000-0000BD030000}"/>
    <cellStyle name="Normal 128 7" xfId="690" xr:uid="{00000000-0005-0000-0000-0000BE030000}"/>
    <cellStyle name="Normal 128 7 2" xfId="691" xr:uid="{00000000-0005-0000-0000-0000BF030000}"/>
    <cellStyle name="Normal 128 8" xfId="692" xr:uid="{00000000-0005-0000-0000-0000C0030000}"/>
    <cellStyle name="Normal 128 8 2" xfId="693" xr:uid="{00000000-0005-0000-0000-0000C1030000}"/>
    <cellStyle name="Normal 129 2" xfId="694" xr:uid="{00000000-0005-0000-0000-0000C2030000}"/>
    <cellStyle name="Normal 129 2 2" xfId="695" xr:uid="{00000000-0005-0000-0000-0000C3030000}"/>
    <cellStyle name="Normal 129 3" xfId="696" xr:uid="{00000000-0005-0000-0000-0000C4030000}"/>
    <cellStyle name="Normal 129 3 2" xfId="697" xr:uid="{00000000-0005-0000-0000-0000C5030000}"/>
    <cellStyle name="Normal 129 4" xfId="698" xr:uid="{00000000-0005-0000-0000-0000C6030000}"/>
    <cellStyle name="Normal 129 4 2" xfId="699" xr:uid="{00000000-0005-0000-0000-0000C7030000}"/>
    <cellStyle name="Normal 129 5" xfId="700" xr:uid="{00000000-0005-0000-0000-0000C8030000}"/>
    <cellStyle name="Normal 129 5 2" xfId="701" xr:uid="{00000000-0005-0000-0000-0000C9030000}"/>
    <cellStyle name="Normal 129 6" xfId="702" xr:uid="{00000000-0005-0000-0000-0000CA030000}"/>
    <cellStyle name="Normal 129 6 2" xfId="703" xr:uid="{00000000-0005-0000-0000-0000CB030000}"/>
    <cellStyle name="Normal 129 7" xfId="704" xr:uid="{00000000-0005-0000-0000-0000CC030000}"/>
    <cellStyle name="Normal 129 7 2" xfId="705" xr:uid="{00000000-0005-0000-0000-0000CD030000}"/>
    <cellStyle name="Normal 129 8" xfId="706" xr:uid="{00000000-0005-0000-0000-0000CE030000}"/>
    <cellStyle name="Normal 129 8 2" xfId="707" xr:uid="{00000000-0005-0000-0000-0000CF030000}"/>
    <cellStyle name="Normal 13" xfId="708" xr:uid="{00000000-0005-0000-0000-0000D0030000}"/>
    <cellStyle name="Normal 13 2" xfId="709" xr:uid="{00000000-0005-0000-0000-0000D1030000}"/>
    <cellStyle name="Normal 13 2 2" xfId="710" xr:uid="{00000000-0005-0000-0000-0000D2030000}"/>
    <cellStyle name="Normal 13 2 2 2" xfId="4065" xr:uid="{00000000-0005-0000-0000-0000D3030000}"/>
    <cellStyle name="Normal 13 2 2 2 2" xfId="4853" xr:uid="{00000000-0005-0000-0000-0000D4030000}"/>
    <cellStyle name="Normal 13 2 2 3" xfId="4509" xr:uid="{00000000-0005-0000-0000-0000D5030000}"/>
    <cellStyle name="Normal 13 2 3" xfId="4064" xr:uid="{00000000-0005-0000-0000-0000D6030000}"/>
    <cellStyle name="Normal 13 2 3 2" xfId="4930" xr:uid="{00000000-0005-0000-0000-0000D7030000}"/>
    <cellStyle name="Normal 13 2 4" xfId="4508" xr:uid="{00000000-0005-0000-0000-0000D8030000}"/>
    <cellStyle name="Normal 13 3" xfId="711" xr:uid="{00000000-0005-0000-0000-0000D9030000}"/>
    <cellStyle name="Normal 13 3 2" xfId="4066" xr:uid="{00000000-0005-0000-0000-0000DA030000}"/>
    <cellStyle name="Normal 13 3 2 2" xfId="4891" xr:uid="{00000000-0005-0000-0000-0000DB030000}"/>
    <cellStyle name="Normal 13 3 3" xfId="4510" xr:uid="{00000000-0005-0000-0000-0000DC030000}"/>
    <cellStyle name="Normal 13 4" xfId="4063" xr:uid="{00000000-0005-0000-0000-0000DD030000}"/>
    <cellStyle name="Normal 13 4 2" xfId="4966" xr:uid="{00000000-0005-0000-0000-0000DE030000}"/>
    <cellStyle name="Normal 13 5" xfId="4507" xr:uid="{00000000-0005-0000-0000-0000DF030000}"/>
    <cellStyle name="Normal 130 2" xfId="712" xr:uid="{00000000-0005-0000-0000-0000E0030000}"/>
    <cellStyle name="Normal 130 2 2" xfId="713" xr:uid="{00000000-0005-0000-0000-0000E1030000}"/>
    <cellStyle name="Normal 130 3" xfId="714" xr:uid="{00000000-0005-0000-0000-0000E2030000}"/>
    <cellStyle name="Normal 130 3 2" xfId="715" xr:uid="{00000000-0005-0000-0000-0000E3030000}"/>
    <cellStyle name="Normal 130 4" xfId="716" xr:uid="{00000000-0005-0000-0000-0000E4030000}"/>
    <cellStyle name="Normal 130 4 2" xfId="717" xr:uid="{00000000-0005-0000-0000-0000E5030000}"/>
    <cellStyle name="Normal 130 5" xfId="718" xr:uid="{00000000-0005-0000-0000-0000E6030000}"/>
    <cellStyle name="Normal 130 5 2" xfId="719" xr:uid="{00000000-0005-0000-0000-0000E7030000}"/>
    <cellStyle name="Normal 130 6" xfId="720" xr:uid="{00000000-0005-0000-0000-0000E8030000}"/>
    <cellStyle name="Normal 130 6 2" xfId="721" xr:uid="{00000000-0005-0000-0000-0000E9030000}"/>
    <cellStyle name="Normal 130 7" xfId="722" xr:uid="{00000000-0005-0000-0000-0000EA030000}"/>
    <cellStyle name="Normal 130 7 2" xfId="723" xr:uid="{00000000-0005-0000-0000-0000EB030000}"/>
    <cellStyle name="Normal 130 8" xfId="724" xr:uid="{00000000-0005-0000-0000-0000EC030000}"/>
    <cellStyle name="Normal 130 8 2" xfId="725" xr:uid="{00000000-0005-0000-0000-0000ED030000}"/>
    <cellStyle name="Normal 131 2" xfId="726" xr:uid="{00000000-0005-0000-0000-0000EE030000}"/>
    <cellStyle name="Normal 131 2 2" xfId="727" xr:uid="{00000000-0005-0000-0000-0000EF030000}"/>
    <cellStyle name="Normal 131 3" xfId="728" xr:uid="{00000000-0005-0000-0000-0000F0030000}"/>
    <cellStyle name="Normal 131 3 2" xfId="729" xr:uid="{00000000-0005-0000-0000-0000F1030000}"/>
    <cellStyle name="Normal 131 4" xfId="730" xr:uid="{00000000-0005-0000-0000-0000F2030000}"/>
    <cellStyle name="Normal 131 4 2" xfId="731" xr:uid="{00000000-0005-0000-0000-0000F3030000}"/>
    <cellStyle name="Normal 131 5" xfId="732" xr:uid="{00000000-0005-0000-0000-0000F4030000}"/>
    <cellStyle name="Normal 131 5 2" xfId="733" xr:uid="{00000000-0005-0000-0000-0000F5030000}"/>
    <cellStyle name="Normal 131 6" xfId="734" xr:uid="{00000000-0005-0000-0000-0000F6030000}"/>
    <cellStyle name="Normal 131 6 2" xfId="735" xr:uid="{00000000-0005-0000-0000-0000F7030000}"/>
    <cellStyle name="Normal 131 7" xfId="736" xr:uid="{00000000-0005-0000-0000-0000F8030000}"/>
    <cellStyle name="Normal 131 7 2" xfId="737" xr:uid="{00000000-0005-0000-0000-0000F9030000}"/>
    <cellStyle name="Normal 131 8" xfId="738" xr:uid="{00000000-0005-0000-0000-0000FA030000}"/>
    <cellStyle name="Normal 131 8 2" xfId="739" xr:uid="{00000000-0005-0000-0000-0000FB030000}"/>
    <cellStyle name="Normal 132 2" xfId="740" xr:uid="{00000000-0005-0000-0000-0000FC030000}"/>
    <cellStyle name="Normal 132 2 2" xfId="741" xr:uid="{00000000-0005-0000-0000-0000FD030000}"/>
    <cellStyle name="Normal 132 3" xfId="742" xr:uid="{00000000-0005-0000-0000-0000FE030000}"/>
    <cellStyle name="Normal 132 3 2" xfId="743" xr:uid="{00000000-0005-0000-0000-0000FF030000}"/>
    <cellStyle name="Normal 132 4" xfId="744" xr:uid="{00000000-0005-0000-0000-000000040000}"/>
    <cellStyle name="Normal 132 4 2" xfId="745" xr:uid="{00000000-0005-0000-0000-000001040000}"/>
    <cellStyle name="Normal 132 5" xfId="746" xr:uid="{00000000-0005-0000-0000-000002040000}"/>
    <cellStyle name="Normal 132 5 2" xfId="747" xr:uid="{00000000-0005-0000-0000-000003040000}"/>
    <cellStyle name="Normal 132 6" xfId="748" xr:uid="{00000000-0005-0000-0000-000004040000}"/>
    <cellStyle name="Normal 132 6 2" xfId="749" xr:uid="{00000000-0005-0000-0000-000005040000}"/>
    <cellStyle name="Normal 132 7" xfId="750" xr:uid="{00000000-0005-0000-0000-000006040000}"/>
    <cellStyle name="Normal 132 7 2" xfId="751" xr:uid="{00000000-0005-0000-0000-000007040000}"/>
    <cellStyle name="Normal 132 8" xfId="752" xr:uid="{00000000-0005-0000-0000-000008040000}"/>
    <cellStyle name="Normal 132 8 2" xfId="753" xr:uid="{00000000-0005-0000-0000-000009040000}"/>
    <cellStyle name="Normal 133 2" xfId="754" xr:uid="{00000000-0005-0000-0000-00000A040000}"/>
    <cellStyle name="Normal 133 2 2" xfId="755" xr:uid="{00000000-0005-0000-0000-00000B040000}"/>
    <cellStyle name="Normal 133 3" xfId="756" xr:uid="{00000000-0005-0000-0000-00000C040000}"/>
    <cellStyle name="Normal 133 3 2" xfId="757" xr:uid="{00000000-0005-0000-0000-00000D040000}"/>
    <cellStyle name="Normal 133 4" xfId="758" xr:uid="{00000000-0005-0000-0000-00000E040000}"/>
    <cellStyle name="Normal 133 4 2" xfId="759" xr:uid="{00000000-0005-0000-0000-00000F040000}"/>
    <cellStyle name="Normal 133 5" xfId="760" xr:uid="{00000000-0005-0000-0000-000010040000}"/>
    <cellStyle name="Normal 133 5 2" xfId="761" xr:uid="{00000000-0005-0000-0000-000011040000}"/>
    <cellStyle name="Normal 133 6" xfId="762" xr:uid="{00000000-0005-0000-0000-000012040000}"/>
    <cellStyle name="Normal 133 6 2" xfId="763" xr:uid="{00000000-0005-0000-0000-000013040000}"/>
    <cellStyle name="Normal 133 7" xfId="764" xr:uid="{00000000-0005-0000-0000-000014040000}"/>
    <cellStyle name="Normal 133 7 2" xfId="765" xr:uid="{00000000-0005-0000-0000-000015040000}"/>
    <cellStyle name="Normal 133 8" xfId="766" xr:uid="{00000000-0005-0000-0000-000016040000}"/>
    <cellStyle name="Normal 133 8 2" xfId="767" xr:uid="{00000000-0005-0000-0000-000017040000}"/>
    <cellStyle name="Normal 134 2" xfId="768" xr:uid="{00000000-0005-0000-0000-000018040000}"/>
    <cellStyle name="Normal 134 2 2" xfId="769" xr:uid="{00000000-0005-0000-0000-000019040000}"/>
    <cellStyle name="Normal 134 3" xfId="770" xr:uid="{00000000-0005-0000-0000-00001A040000}"/>
    <cellStyle name="Normal 134 3 2" xfId="771" xr:uid="{00000000-0005-0000-0000-00001B040000}"/>
    <cellStyle name="Normal 134 4" xfId="772" xr:uid="{00000000-0005-0000-0000-00001C040000}"/>
    <cellStyle name="Normal 134 4 2" xfId="773" xr:uid="{00000000-0005-0000-0000-00001D040000}"/>
    <cellStyle name="Normal 134 5" xfId="774" xr:uid="{00000000-0005-0000-0000-00001E040000}"/>
    <cellStyle name="Normal 134 5 2" xfId="775" xr:uid="{00000000-0005-0000-0000-00001F040000}"/>
    <cellStyle name="Normal 134 6" xfId="776" xr:uid="{00000000-0005-0000-0000-000020040000}"/>
    <cellStyle name="Normal 134 6 2" xfId="777" xr:uid="{00000000-0005-0000-0000-000021040000}"/>
    <cellStyle name="Normal 134 7" xfId="778" xr:uid="{00000000-0005-0000-0000-000022040000}"/>
    <cellStyle name="Normal 134 7 2" xfId="779" xr:uid="{00000000-0005-0000-0000-000023040000}"/>
    <cellStyle name="Normal 134 8" xfId="780" xr:uid="{00000000-0005-0000-0000-000024040000}"/>
    <cellStyle name="Normal 134 8 2" xfId="781" xr:uid="{00000000-0005-0000-0000-000025040000}"/>
    <cellStyle name="Normal 135 2" xfId="782" xr:uid="{00000000-0005-0000-0000-000026040000}"/>
    <cellStyle name="Normal 135 2 2" xfId="783" xr:uid="{00000000-0005-0000-0000-000027040000}"/>
    <cellStyle name="Normal 135 3" xfId="784" xr:uid="{00000000-0005-0000-0000-000028040000}"/>
    <cellStyle name="Normal 135 3 2" xfId="785" xr:uid="{00000000-0005-0000-0000-000029040000}"/>
    <cellStyle name="Normal 135 4" xfId="786" xr:uid="{00000000-0005-0000-0000-00002A040000}"/>
    <cellStyle name="Normal 135 4 2" xfId="787" xr:uid="{00000000-0005-0000-0000-00002B040000}"/>
    <cellStyle name="Normal 135 5" xfId="788" xr:uid="{00000000-0005-0000-0000-00002C040000}"/>
    <cellStyle name="Normal 135 5 2" xfId="789" xr:uid="{00000000-0005-0000-0000-00002D040000}"/>
    <cellStyle name="Normal 135 6" xfId="790" xr:uid="{00000000-0005-0000-0000-00002E040000}"/>
    <cellStyle name="Normal 135 6 2" xfId="791" xr:uid="{00000000-0005-0000-0000-00002F040000}"/>
    <cellStyle name="Normal 135 7" xfId="792" xr:uid="{00000000-0005-0000-0000-000030040000}"/>
    <cellStyle name="Normal 135 7 2" xfId="793" xr:uid="{00000000-0005-0000-0000-000031040000}"/>
    <cellStyle name="Normal 135 8" xfId="794" xr:uid="{00000000-0005-0000-0000-000032040000}"/>
    <cellStyle name="Normal 135 8 2" xfId="795" xr:uid="{00000000-0005-0000-0000-000033040000}"/>
    <cellStyle name="Normal 136 2" xfId="796" xr:uid="{00000000-0005-0000-0000-000034040000}"/>
    <cellStyle name="Normal 136 2 2" xfId="797" xr:uid="{00000000-0005-0000-0000-000035040000}"/>
    <cellStyle name="Normal 136 3" xfId="798" xr:uid="{00000000-0005-0000-0000-000036040000}"/>
    <cellStyle name="Normal 136 3 2" xfId="799" xr:uid="{00000000-0005-0000-0000-000037040000}"/>
    <cellStyle name="Normal 136 4" xfId="800" xr:uid="{00000000-0005-0000-0000-000038040000}"/>
    <cellStyle name="Normal 136 4 2" xfId="801" xr:uid="{00000000-0005-0000-0000-000039040000}"/>
    <cellStyle name="Normal 136 5" xfId="802" xr:uid="{00000000-0005-0000-0000-00003A040000}"/>
    <cellStyle name="Normal 136 5 2" xfId="803" xr:uid="{00000000-0005-0000-0000-00003B040000}"/>
    <cellStyle name="Normal 136 6" xfId="804" xr:uid="{00000000-0005-0000-0000-00003C040000}"/>
    <cellStyle name="Normal 136 6 2" xfId="805" xr:uid="{00000000-0005-0000-0000-00003D040000}"/>
    <cellStyle name="Normal 136 7" xfId="806" xr:uid="{00000000-0005-0000-0000-00003E040000}"/>
    <cellStyle name="Normal 136 7 2" xfId="807" xr:uid="{00000000-0005-0000-0000-00003F040000}"/>
    <cellStyle name="Normal 136 8" xfId="808" xr:uid="{00000000-0005-0000-0000-000040040000}"/>
    <cellStyle name="Normal 136 8 2" xfId="809" xr:uid="{00000000-0005-0000-0000-000041040000}"/>
    <cellStyle name="Normal 137 2" xfId="810" xr:uid="{00000000-0005-0000-0000-000042040000}"/>
    <cellStyle name="Normal 137 2 2" xfId="811" xr:uid="{00000000-0005-0000-0000-000043040000}"/>
    <cellStyle name="Normal 137 3" xfId="812" xr:uid="{00000000-0005-0000-0000-000044040000}"/>
    <cellStyle name="Normal 137 3 2" xfId="813" xr:uid="{00000000-0005-0000-0000-000045040000}"/>
    <cellStyle name="Normal 137 4" xfId="814" xr:uid="{00000000-0005-0000-0000-000046040000}"/>
    <cellStyle name="Normal 137 4 2" xfId="815" xr:uid="{00000000-0005-0000-0000-000047040000}"/>
    <cellStyle name="Normal 137 5" xfId="816" xr:uid="{00000000-0005-0000-0000-000048040000}"/>
    <cellStyle name="Normal 137 5 2" xfId="817" xr:uid="{00000000-0005-0000-0000-000049040000}"/>
    <cellStyle name="Normal 137 6" xfId="818" xr:uid="{00000000-0005-0000-0000-00004A040000}"/>
    <cellStyle name="Normal 137 6 2" xfId="819" xr:uid="{00000000-0005-0000-0000-00004B040000}"/>
    <cellStyle name="Normal 137 7" xfId="820" xr:uid="{00000000-0005-0000-0000-00004C040000}"/>
    <cellStyle name="Normal 137 7 2" xfId="821" xr:uid="{00000000-0005-0000-0000-00004D040000}"/>
    <cellStyle name="Normal 137 8" xfId="822" xr:uid="{00000000-0005-0000-0000-00004E040000}"/>
    <cellStyle name="Normal 137 8 2" xfId="823" xr:uid="{00000000-0005-0000-0000-00004F040000}"/>
    <cellStyle name="Normal 139 2" xfId="824" xr:uid="{00000000-0005-0000-0000-000050040000}"/>
    <cellStyle name="Normal 139 2 2" xfId="825" xr:uid="{00000000-0005-0000-0000-000051040000}"/>
    <cellStyle name="Normal 139 3" xfId="826" xr:uid="{00000000-0005-0000-0000-000052040000}"/>
    <cellStyle name="Normal 139 3 2" xfId="827" xr:uid="{00000000-0005-0000-0000-000053040000}"/>
    <cellStyle name="Normal 139 4" xfId="828" xr:uid="{00000000-0005-0000-0000-000054040000}"/>
    <cellStyle name="Normal 139 4 2" xfId="829" xr:uid="{00000000-0005-0000-0000-000055040000}"/>
    <cellStyle name="Normal 139 5" xfId="830" xr:uid="{00000000-0005-0000-0000-000056040000}"/>
    <cellStyle name="Normal 139 5 2" xfId="831" xr:uid="{00000000-0005-0000-0000-000057040000}"/>
    <cellStyle name="Normal 139 6" xfId="832" xr:uid="{00000000-0005-0000-0000-000058040000}"/>
    <cellStyle name="Normal 139 6 2" xfId="833" xr:uid="{00000000-0005-0000-0000-000059040000}"/>
    <cellStyle name="Normal 139 7" xfId="834" xr:uid="{00000000-0005-0000-0000-00005A040000}"/>
    <cellStyle name="Normal 139 7 2" xfId="835" xr:uid="{00000000-0005-0000-0000-00005B040000}"/>
    <cellStyle name="Normal 139 8" xfId="836" xr:uid="{00000000-0005-0000-0000-00005C040000}"/>
    <cellStyle name="Normal 139 8 2" xfId="837" xr:uid="{00000000-0005-0000-0000-00005D040000}"/>
    <cellStyle name="Normal 14" xfId="838" xr:uid="{00000000-0005-0000-0000-00005E040000}"/>
    <cellStyle name="Normal 14 2" xfId="839" xr:uid="{00000000-0005-0000-0000-00005F040000}"/>
    <cellStyle name="Normal 14 2 2" xfId="840" xr:uid="{00000000-0005-0000-0000-000060040000}"/>
    <cellStyle name="Normal 14 2 2 2" xfId="4069" xr:uid="{00000000-0005-0000-0000-000061040000}"/>
    <cellStyle name="Normal 14 2 2 2 2" xfId="4852" xr:uid="{00000000-0005-0000-0000-000062040000}"/>
    <cellStyle name="Normal 14 2 2 3" xfId="4513" xr:uid="{00000000-0005-0000-0000-000063040000}"/>
    <cellStyle name="Normal 14 2 3" xfId="4068" xr:uid="{00000000-0005-0000-0000-000064040000}"/>
    <cellStyle name="Normal 14 2 3 2" xfId="4929" xr:uid="{00000000-0005-0000-0000-000065040000}"/>
    <cellStyle name="Normal 14 2 4" xfId="4512" xr:uid="{00000000-0005-0000-0000-000066040000}"/>
    <cellStyle name="Normal 14 3" xfId="841" xr:uid="{00000000-0005-0000-0000-000067040000}"/>
    <cellStyle name="Normal 14 3 2" xfId="4070" xr:uid="{00000000-0005-0000-0000-000068040000}"/>
    <cellStyle name="Normal 14 3 2 2" xfId="4890" xr:uid="{00000000-0005-0000-0000-000069040000}"/>
    <cellStyle name="Normal 14 3 3" xfId="4514" xr:uid="{00000000-0005-0000-0000-00006A040000}"/>
    <cellStyle name="Normal 14 4" xfId="4067" xr:uid="{00000000-0005-0000-0000-00006B040000}"/>
    <cellStyle name="Normal 14 4 2" xfId="4965" xr:uid="{00000000-0005-0000-0000-00006C040000}"/>
    <cellStyle name="Normal 14 5" xfId="4511" xr:uid="{00000000-0005-0000-0000-00006D040000}"/>
    <cellStyle name="Normal 140 2" xfId="842" xr:uid="{00000000-0005-0000-0000-00006E040000}"/>
    <cellStyle name="Normal 140 2 2" xfId="843" xr:uid="{00000000-0005-0000-0000-00006F040000}"/>
    <cellStyle name="Normal 140 3" xfId="844" xr:uid="{00000000-0005-0000-0000-000070040000}"/>
    <cellStyle name="Normal 140 3 2" xfId="845" xr:uid="{00000000-0005-0000-0000-000071040000}"/>
    <cellStyle name="Normal 140 4" xfId="846" xr:uid="{00000000-0005-0000-0000-000072040000}"/>
    <cellStyle name="Normal 140 4 2" xfId="847" xr:uid="{00000000-0005-0000-0000-000073040000}"/>
    <cellStyle name="Normal 140 5" xfId="848" xr:uid="{00000000-0005-0000-0000-000074040000}"/>
    <cellStyle name="Normal 140 5 2" xfId="849" xr:uid="{00000000-0005-0000-0000-000075040000}"/>
    <cellStyle name="Normal 140 6" xfId="850" xr:uid="{00000000-0005-0000-0000-000076040000}"/>
    <cellStyle name="Normal 140 6 2" xfId="851" xr:uid="{00000000-0005-0000-0000-000077040000}"/>
    <cellStyle name="Normal 140 7" xfId="852" xr:uid="{00000000-0005-0000-0000-000078040000}"/>
    <cellStyle name="Normal 140 7 2" xfId="853" xr:uid="{00000000-0005-0000-0000-000079040000}"/>
    <cellStyle name="Normal 140 8" xfId="854" xr:uid="{00000000-0005-0000-0000-00007A040000}"/>
    <cellStyle name="Normal 140 8 2" xfId="855" xr:uid="{00000000-0005-0000-0000-00007B040000}"/>
    <cellStyle name="Normal 142 2" xfId="856" xr:uid="{00000000-0005-0000-0000-00007C040000}"/>
    <cellStyle name="Normal 142 2 2" xfId="857" xr:uid="{00000000-0005-0000-0000-00007D040000}"/>
    <cellStyle name="Normal 142 3" xfId="858" xr:uid="{00000000-0005-0000-0000-00007E040000}"/>
    <cellStyle name="Normal 142 3 2" xfId="859" xr:uid="{00000000-0005-0000-0000-00007F040000}"/>
    <cellStyle name="Normal 142 4" xfId="860" xr:uid="{00000000-0005-0000-0000-000080040000}"/>
    <cellStyle name="Normal 142 4 2" xfId="861" xr:uid="{00000000-0005-0000-0000-000081040000}"/>
    <cellStyle name="Normal 142 5" xfId="862" xr:uid="{00000000-0005-0000-0000-000082040000}"/>
    <cellStyle name="Normal 142 5 2" xfId="863" xr:uid="{00000000-0005-0000-0000-000083040000}"/>
    <cellStyle name="Normal 142 6" xfId="864" xr:uid="{00000000-0005-0000-0000-000084040000}"/>
    <cellStyle name="Normal 142 6 2" xfId="865" xr:uid="{00000000-0005-0000-0000-000085040000}"/>
    <cellStyle name="Normal 142 7" xfId="866" xr:uid="{00000000-0005-0000-0000-000086040000}"/>
    <cellStyle name="Normal 142 7 2" xfId="867" xr:uid="{00000000-0005-0000-0000-000087040000}"/>
    <cellStyle name="Normal 142 8" xfId="868" xr:uid="{00000000-0005-0000-0000-000088040000}"/>
    <cellStyle name="Normal 142 8 2" xfId="869" xr:uid="{00000000-0005-0000-0000-000089040000}"/>
    <cellStyle name="Normal 143 2" xfId="870" xr:uid="{00000000-0005-0000-0000-00008A040000}"/>
    <cellStyle name="Normal 143 2 2" xfId="871" xr:uid="{00000000-0005-0000-0000-00008B040000}"/>
    <cellStyle name="Normal 143 3" xfId="872" xr:uid="{00000000-0005-0000-0000-00008C040000}"/>
    <cellStyle name="Normal 143 3 2" xfId="873" xr:uid="{00000000-0005-0000-0000-00008D040000}"/>
    <cellStyle name="Normal 143 4" xfId="874" xr:uid="{00000000-0005-0000-0000-00008E040000}"/>
    <cellStyle name="Normal 143 4 2" xfId="875" xr:uid="{00000000-0005-0000-0000-00008F040000}"/>
    <cellStyle name="Normal 143 5" xfId="876" xr:uid="{00000000-0005-0000-0000-000090040000}"/>
    <cellStyle name="Normal 143 5 2" xfId="877" xr:uid="{00000000-0005-0000-0000-000091040000}"/>
    <cellStyle name="Normal 143 6" xfId="878" xr:uid="{00000000-0005-0000-0000-000092040000}"/>
    <cellStyle name="Normal 143 6 2" xfId="879" xr:uid="{00000000-0005-0000-0000-000093040000}"/>
    <cellStyle name="Normal 143 7" xfId="880" xr:uid="{00000000-0005-0000-0000-000094040000}"/>
    <cellStyle name="Normal 143 7 2" xfId="881" xr:uid="{00000000-0005-0000-0000-000095040000}"/>
    <cellStyle name="Normal 143 8" xfId="882" xr:uid="{00000000-0005-0000-0000-000096040000}"/>
    <cellStyle name="Normal 143 8 2" xfId="883" xr:uid="{00000000-0005-0000-0000-000097040000}"/>
    <cellStyle name="Normal 146 2" xfId="884" xr:uid="{00000000-0005-0000-0000-000098040000}"/>
    <cellStyle name="Normal 146 2 2" xfId="885" xr:uid="{00000000-0005-0000-0000-000099040000}"/>
    <cellStyle name="Normal 146 3" xfId="886" xr:uid="{00000000-0005-0000-0000-00009A040000}"/>
    <cellStyle name="Normal 146 3 2" xfId="887" xr:uid="{00000000-0005-0000-0000-00009B040000}"/>
    <cellStyle name="Normal 146 4" xfId="888" xr:uid="{00000000-0005-0000-0000-00009C040000}"/>
    <cellStyle name="Normal 146 4 2" xfId="889" xr:uid="{00000000-0005-0000-0000-00009D040000}"/>
    <cellStyle name="Normal 146 5" xfId="890" xr:uid="{00000000-0005-0000-0000-00009E040000}"/>
    <cellStyle name="Normal 146 5 2" xfId="891" xr:uid="{00000000-0005-0000-0000-00009F040000}"/>
    <cellStyle name="Normal 146 6" xfId="892" xr:uid="{00000000-0005-0000-0000-0000A0040000}"/>
    <cellStyle name="Normal 146 6 2" xfId="893" xr:uid="{00000000-0005-0000-0000-0000A1040000}"/>
    <cellStyle name="Normal 146 7" xfId="894" xr:uid="{00000000-0005-0000-0000-0000A2040000}"/>
    <cellStyle name="Normal 146 7 2" xfId="895" xr:uid="{00000000-0005-0000-0000-0000A3040000}"/>
    <cellStyle name="Normal 146 8" xfId="896" xr:uid="{00000000-0005-0000-0000-0000A4040000}"/>
    <cellStyle name="Normal 146 8 2" xfId="897" xr:uid="{00000000-0005-0000-0000-0000A5040000}"/>
    <cellStyle name="Normal 147 2" xfId="898" xr:uid="{00000000-0005-0000-0000-0000A6040000}"/>
    <cellStyle name="Normal 147 2 2" xfId="899" xr:uid="{00000000-0005-0000-0000-0000A7040000}"/>
    <cellStyle name="Normal 147 3" xfId="900" xr:uid="{00000000-0005-0000-0000-0000A8040000}"/>
    <cellStyle name="Normal 147 3 2" xfId="901" xr:uid="{00000000-0005-0000-0000-0000A9040000}"/>
    <cellStyle name="Normal 147 4" xfId="902" xr:uid="{00000000-0005-0000-0000-0000AA040000}"/>
    <cellStyle name="Normal 147 4 2" xfId="903" xr:uid="{00000000-0005-0000-0000-0000AB040000}"/>
    <cellStyle name="Normal 147 5" xfId="904" xr:uid="{00000000-0005-0000-0000-0000AC040000}"/>
    <cellStyle name="Normal 147 5 2" xfId="905" xr:uid="{00000000-0005-0000-0000-0000AD040000}"/>
    <cellStyle name="Normal 147 6" xfId="906" xr:uid="{00000000-0005-0000-0000-0000AE040000}"/>
    <cellStyle name="Normal 147 6 2" xfId="907" xr:uid="{00000000-0005-0000-0000-0000AF040000}"/>
    <cellStyle name="Normal 148 2" xfId="908" xr:uid="{00000000-0005-0000-0000-0000B0040000}"/>
    <cellStyle name="Normal 148 2 2" xfId="909" xr:uid="{00000000-0005-0000-0000-0000B1040000}"/>
    <cellStyle name="Normal 148 3" xfId="910" xr:uid="{00000000-0005-0000-0000-0000B2040000}"/>
    <cellStyle name="Normal 148 3 2" xfId="911" xr:uid="{00000000-0005-0000-0000-0000B3040000}"/>
    <cellStyle name="Normal 148 4" xfId="912" xr:uid="{00000000-0005-0000-0000-0000B4040000}"/>
    <cellStyle name="Normal 148 4 2" xfId="913" xr:uid="{00000000-0005-0000-0000-0000B5040000}"/>
    <cellStyle name="Normal 148 5" xfId="914" xr:uid="{00000000-0005-0000-0000-0000B6040000}"/>
    <cellStyle name="Normal 148 5 2" xfId="915" xr:uid="{00000000-0005-0000-0000-0000B7040000}"/>
    <cellStyle name="Normal 148 6" xfId="916" xr:uid="{00000000-0005-0000-0000-0000B8040000}"/>
    <cellStyle name="Normal 148 6 2" xfId="917" xr:uid="{00000000-0005-0000-0000-0000B9040000}"/>
    <cellStyle name="Normal 149 2" xfId="918" xr:uid="{00000000-0005-0000-0000-0000BA040000}"/>
    <cellStyle name="Normal 149 2 2" xfId="919" xr:uid="{00000000-0005-0000-0000-0000BB040000}"/>
    <cellStyle name="Normal 149 3" xfId="920" xr:uid="{00000000-0005-0000-0000-0000BC040000}"/>
    <cellStyle name="Normal 149 3 2" xfId="921" xr:uid="{00000000-0005-0000-0000-0000BD040000}"/>
    <cellStyle name="Normal 149 4" xfId="922" xr:uid="{00000000-0005-0000-0000-0000BE040000}"/>
    <cellStyle name="Normal 149 4 2" xfId="923" xr:uid="{00000000-0005-0000-0000-0000BF040000}"/>
    <cellStyle name="Normal 149 5" xfId="924" xr:uid="{00000000-0005-0000-0000-0000C0040000}"/>
    <cellStyle name="Normal 149 5 2" xfId="925" xr:uid="{00000000-0005-0000-0000-0000C1040000}"/>
    <cellStyle name="Normal 149 6" xfId="926" xr:uid="{00000000-0005-0000-0000-0000C2040000}"/>
    <cellStyle name="Normal 149 6 2" xfId="927" xr:uid="{00000000-0005-0000-0000-0000C3040000}"/>
    <cellStyle name="Normal 15" xfId="928" xr:uid="{00000000-0005-0000-0000-0000C4040000}"/>
    <cellStyle name="Normal 15 2" xfId="929" xr:uid="{00000000-0005-0000-0000-0000C5040000}"/>
    <cellStyle name="Normal 15 2 2" xfId="930" xr:uid="{00000000-0005-0000-0000-0000C6040000}"/>
    <cellStyle name="Normal 15 2 2 2" xfId="4073" xr:uid="{00000000-0005-0000-0000-0000C7040000}"/>
    <cellStyle name="Normal 15 2 2 2 2" xfId="4851" xr:uid="{00000000-0005-0000-0000-0000C8040000}"/>
    <cellStyle name="Normal 15 2 2 3" xfId="4517" xr:uid="{00000000-0005-0000-0000-0000C9040000}"/>
    <cellStyle name="Normal 15 2 3" xfId="4072" xr:uid="{00000000-0005-0000-0000-0000CA040000}"/>
    <cellStyle name="Normal 15 2 3 2" xfId="4928" xr:uid="{00000000-0005-0000-0000-0000CB040000}"/>
    <cellStyle name="Normal 15 2 4" xfId="4516" xr:uid="{00000000-0005-0000-0000-0000CC040000}"/>
    <cellStyle name="Normal 15 3" xfId="931" xr:uid="{00000000-0005-0000-0000-0000CD040000}"/>
    <cellStyle name="Normal 15 3 2" xfId="4074" xr:uid="{00000000-0005-0000-0000-0000CE040000}"/>
    <cellStyle name="Normal 15 3 2 2" xfId="4889" xr:uid="{00000000-0005-0000-0000-0000CF040000}"/>
    <cellStyle name="Normal 15 3 3" xfId="4518" xr:uid="{00000000-0005-0000-0000-0000D0040000}"/>
    <cellStyle name="Normal 15 4" xfId="4071" xr:uid="{00000000-0005-0000-0000-0000D1040000}"/>
    <cellStyle name="Normal 15 4 2" xfId="4964" xr:uid="{00000000-0005-0000-0000-0000D2040000}"/>
    <cellStyle name="Normal 15 5" xfId="4515" xr:uid="{00000000-0005-0000-0000-0000D3040000}"/>
    <cellStyle name="Normal 150 2" xfId="932" xr:uid="{00000000-0005-0000-0000-0000D4040000}"/>
    <cellStyle name="Normal 150 2 2" xfId="933" xr:uid="{00000000-0005-0000-0000-0000D5040000}"/>
    <cellStyle name="Normal 150 3" xfId="934" xr:uid="{00000000-0005-0000-0000-0000D6040000}"/>
    <cellStyle name="Normal 150 3 2" xfId="935" xr:uid="{00000000-0005-0000-0000-0000D7040000}"/>
    <cellStyle name="Normal 150 4" xfId="936" xr:uid="{00000000-0005-0000-0000-0000D8040000}"/>
    <cellStyle name="Normal 150 4 2" xfId="937" xr:uid="{00000000-0005-0000-0000-0000D9040000}"/>
    <cellStyle name="Normal 150 5" xfId="938" xr:uid="{00000000-0005-0000-0000-0000DA040000}"/>
    <cellStyle name="Normal 150 5 2" xfId="939" xr:uid="{00000000-0005-0000-0000-0000DB040000}"/>
    <cellStyle name="Normal 150 6" xfId="940" xr:uid="{00000000-0005-0000-0000-0000DC040000}"/>
    <cellStyle name="Normal 150 6 2" xfId="941" xr:uid="{00000000-0005-0000-0000-0000DD040000}"/>
    <cellStyle name="Normal 151 2" xfId="942" xr:uid="{00000000-0005-0000-0000-0000DE040000}"/>
    <cellStyle name="Normal 151 2 2" xfId="943" xr:uid="{00000000-0005-0000-0000-0000DF040000}"/>
    <cellStyle name="Normal 151 3" xfId="944" xr:uid="{00000000-0005-0000-0000-0000E0040000}"/>
    <cellStyle name="Normal 151 3 2" xfId="945" xr:uid="{00000000-0005-0000-0000-0000E1040000}"/>
    <cellStyle name="Normal 151 4" xfId="946" xr:uid="{00000000-0005-0000-0000-0000E2040000}"/>
    <cellStyle name="Normal 151 4 2" xfId="947" xr:uid="{00000000-0005-0000-0000-0000E3040000}"/>
    <cellStyle name="Normal 151 5" xfId="948" xr:uid="{00000000-0005-0000-0000-0000E4040000}"/>
    <cellStyle name="Normal 151 5 2" xfId="949" xr:uid="{00000000-0005-0000-0000-0000E5040000}"/>
    <cellStyle name="Normal 151 6" xfId="950" xr:uid="{00000000-0005-0000-0000-0000E6040000}"/>
    <cellStyle name="Normal 151 6 2" xfId="951" xr:uid="{00000000-0005-0000-0000-0000E7040000}"/>
    <cellStyle name="Normal 152 2" xfId="952" xr:uid="{00000000-0005-0000-0000-0000E8040000}"/>
    <cellStyle name="Normal 152 2 2" xfId="953" xr:uid="{00000000-0005-0000-0000-0000E9040000}"/>
    <cellStyle name="Normal 152 3" xfId="954" xr:uid="{00000000-0005-0000-0000-0000EA040000}"/>
    <cellStyle name="Normal 152 3 2" xfId="955" xr:uid="{00000000-0005-0000-0000-0000EB040000}"/>
    <cellStyle name="Normal 152 4" xfId="956" xr:uid="{00000000-0005-0000-0000-0000EC040000}"/>
    <cellStyle name="Normal 152 4 2" xfId="957" xr:uid="{00000000-0005-0000-0000-0000ED040000}"/>
    <cellStyle name="Normal 152 5" xfId="958" xr:uid="{00000000-0005-0000-0000-0000EE040000}"/>
    <cellStyle name="Normal 152 5 2" xfId="959" xr:uid="{00000000-0005-0000-0000-0000EF040000}"/>
    <cellStyle name="Normal 152 6" xfId="960" xr:uid="{00000000-0005-0000-0000-0000F0040000}"/>
    <cellStyle name="Normal 152 6 2" xfId="961" xr:uid="{00000000-0005-0000-0000-0000F1040000}"/>
    <cellStyle name="Normal 153 2" xfId="962" xr:uid="{00000000-0005-0000-0000-0000F2040000}"/>
    <cellStyle name="Normal 153 2 2" xfId="963" xr:uid="{00000000-0005-0000-0000-0000F3040000}"/>
    <cellStyle name="Normal 153 3" xfId="964" xr:uid="{00000000-0005-0000-0000-0000F4040000}"/>
    <cellStyle name="Normal 153 3 2" xfId="965" xr:uid="{00000000-0005-0000-0000-0000F5040000}"/>
    <cellStyle name="Normal 153 4" xfId="966" xr:uid="{00000000-0005-0000-0000-0000F6040000}"/>
    <cellStyle name="Normal 153 4 2" xfId="967" xr:uid="{00000000-0005-0000-0000-0000F7040000}"/>
    <cellStyle name="Normal 153 5" xfId="968" xr:uid="{00000000-0005-0000-0000-0000F8040000}"/>
    <cellStyle name="Normal 153 5 2" xfId="969" xr:uid="{00000000-0005-0000-0000-0000F9040000}"/>
    <cellStyle name="Normal 153 6" xfId="970" xr:uid="{00000000-0005-0000-0000-0000FA040000}"/>
    <cellStyle name="Normal 153 6 2" xfId="971" xr:uid="{00000000-0005-0000-0000-0000FB040000}"/>
    <cellStyle name="Normal 154 2" xfId="972" xr:uid="{00000000-0005-0000-0000-0000FC040000}"/>
    <cellStyle name="Normal 154 2 2" xfId="973" xr:uid="{00000000-0005-0000-0000-0000FD040000}"/>
    <cellStyle name="Normal 154 3" xfId="974" xr:uid="{00000000-0005-0000-0000-0000FE040000}"/>
    <cellStyle name="Normal 154 3 2" xfId="975" xr:uid="{00000000-0005-0000-0000-0000FF040000}"/>
    <cellStyle name="Normal 154 4" xfId="976" xr:uid="{00000000-0005-0000-0000-000000050000}"/>
    <cellStyle name="Normal 154 4 2" xfId="977" xr:uid="{00000000-0005-0000-0000-000001050000}"/>
    <cellStyle name="Normal 154 5" xfId="978" xr:uid="{00000000-0005-0000-0000-000002050000}"/>
    <cellStyle name="Normal 154 5 2" xfId="979" xr:uid="{00000000-0005-0000-0000-000003050000}"/>
    <cellStyle name="Normal 154 6" xfId="980" xr:uid="{00000000-0005-0000-0000-000004050000}"/>
    <cellStyle name="Normal 154 6 2" xfId="981" xr:uid="{00000000-0005-0000-0000-000005050000}"/>
    <cellStyle name="Normal 155 2" xfId="982" xr:uid="{00000000-0005-0000-0000-000006050000}"/>
    <cellStyle name="Normal 155 2 2" xfId="983" xr:uid="{00000000-0005-0000-0000-000007050000}"/>
    <cellStyle name="Normal 155 3" xfId="984" xr:uid="{00000000-0005-0000-0000-000008050000}"/>
    <cellStyle name="Normal 155 3 2" xfId="985" xr:uid="{00000000-0005-0000-0000-000009050000}"/>
    <cellStyle name="Normal 155 4" xfId="986" xr:uid="{00000000-0005-0000-0000-00000A050000}"/>
    <cellStyle name="Normal 155 4 2" xfId="987" xr:uid="{00000000-0005-0000-0000-00000B050000}"/>
    <cellStyle name="Normal 155 5" xfId="988" xr:uid="{00000000-0005-0000-0000-00000C050000}"/>
    <cellStyle name="Normal 155 5 2" xfId="989" xr:uid="{00000000-0005-0000-0000-00000D050000}"/>
    <cellStyle name="Normal 155 6" xfId="990" xr:uid="{00000000-0005-0000-0000-00000E050000}"/>
    <cellStyle name="Normal 155 6 2" xfId="991" xr:uid="{00000000-0005-0000-0000-00000F050000}"/>
    <cellStyle name="Normal 156 2" xfId="992" xr:uid="{00000000-0005-0000-0000-000010050000}"/>
    <cellStyle name="Normal 156 2 2" xfId="993" xr:uid="{00000000-0005-0000-0000-000011050000}"/>
    <cellStyle name="Normal 156 3" xfId="994" xr:uid="{00000000-0005-0000-0000-000012050000}"/>
    <cellStyle name="Normal 156 3 2" xfId="995" xr:uid="{00000000-0005-0000-0000-000013050000}"/>
    <cellStyle name="Normal 156 4" xfId="996" xr:uid="{00000000-0005-0000-0000-000014050000}"/>
    <cellStyle name="Normal 156 4 2" xfId="997" xr:uid="{00000000-0005-0000-0000-000015050000}"/>
    <cellStyle name="Normal 156 5" xfId="998" xr:uid="{00000000-0005-0000-0000-000016050000}"/>
    <cellStyle name="Normal 156 5 2" xfId="999" xr:uid="{00000000-0005-0000-0000-000017050000}"/>
    <cellStyle name="Normal 156 6" xfId="1000" xr:uid="{00000000-0005-0000-0000-000018050000}"/>
    <cellStyle name="Normal 156 6 2" xfId="1001" xr:uid="{00000000-0005-0000-0000-000019050000}"/>
    <cellStyle name="Normal 157 2" xfId="1002" xr:uid="{00000000-0005-0000-0000-00001A050000}"/>
    <cellStyle name="Normal 157 2 2" xfId="1003" xr:uid="{00000000-0005-0000-0000-00001B050000}"/>
    <cellStyle name="Normal 157 3" xfId="1004" xr:uid="{00000000-0005-0000-0000-00001C050000}"/>
    <cellStyle name="Normal 157 3 2" xfId="1005" xr:uid="{00000000-0005-0000-0000-00001D050000}"/>
    <cellStyle name="Normal 157 4" xfId="1006" xr:uid="{00000000-0005-0000-0000-00001E050000}"/>
    <cellStyle name="Normal 157 4 2" xfId="1007" xr:uid="{00000000-0005-0000-0000-00001F050000}"/>
    <cellStyle name="Normal 157 5" xfId="1008" xr:uid="{00000000-0005-0000-0000-000020050000}"/>
    <cellStyle name="Normal 157 5 2" xfId="1009" xr:uid="{00000000-0005-0000-0000-000021050000}"/>
    <cellStyle name="Normal 157 6" xfId="1010" xr:uid="{00000000-0005-0000-0000-000022050000}"/>
    <cellStyle name="Normal 157 6 2" xfId="1011" xr:uid="{00000000-0005-0000-0000-000023050000}"/>
    <cellStyle name="Normal 158 2" xfId="1012" xr:uid="{00000000-0005-0000-0000-000024050000}"/>
    <cellStyle name="Normal 158 2 2" xfId="1013" xr:uid="{00000000-0005-0000-0000-000025050000}"/>
    <cellStyle name="Normal 158 3" xfId="1014" xr:uid="{00000000-0005-0000-0000-000026050000}"/>
    <cellStyle name="Normal 158 3 2" xfId="1015" xr:uid="{00000000-0005-0000-0000-000027050000}"/>
    <cellStyle name="Normal 158 4" xfId="1016" xr:uid="{00000000-0005-0000-0000-000028050000}"/>
    <cellStyle name="Normal 158 4 2" xfId="1017" xr:uid="{00000000-0005-0000-0000-000029050000}"/>
    <cellStyle name="Normal 158 5" xfId="1018" xr:uid="{00000000-0005-0000-0000-00002A050000}"/>
    <cellStyle name="Normal 158 5 2" xfId="1019" xr:uid="{00000000-0005-0000-0000-00002B050000}"/>
    <cellStyle name="Normal 158 6" xfId="1020" xr:uid="{00000000-0005-0000-0000-00002C050000}"/>
    <cellStyle name="Normal 158 6 2" xfId="1021" xr:uid="{00000000-0005-0000-0000-00002D050000}"/>
    <cellStyle name="Normal 159 2" xfId="1022" xr:uid="{00000000-0005-0000-0000-00002E050000}"/>
    <cellStyle name="Normal 159 2 2" xfId="1023" xr:uid="{00000000-0005-0000-0000-00002F050000}"/>
    <cellStyle name="Normal 159 3" xfId="1024" xr:uid="{00000000-0005-0000-0000-000030050000}"/>
    <cellStyle name="Normal 159 3 2" xfId="1025" xr:uid="{00000000-0005-0000-0000-000031050000}"/>
    <cellStyle name="Normal 159 4" xfId="1026" xr:uid="{00000000-0005-0000-0000-000032050000}"/>
    <cellStyle name="Normal 159 4 2" xfId="1027" xr:uid="{00000000-0005-0000-0000-000033050000}"/>
    <cellStyle name="Normal 159 5" xfId="1028" xr:uid="{00000000-0005-0000-0000-000034050000}"/>
    <cellStyle name="Normal 159 5 2" xfId="1029" xr:uid="{00000000-0005-0000-0000-000035050000}"/>
    <cellStyle name="Normal 159 6" xfId="1030" xr:uid="{00000000-0005-0000-0000-000036050000}"/>
    <cellStyle name="Normal 159 6 2" xfId="1031" xr:uid="{00000000-0005-0000-0000-000037050000}"/>
    <cellStyle name="Normal 16" xfId="1032" xr:uid="{00000000-0005-0000-0000-000038050000}"/>
    <cellStyle name="Normal 16 2" xfId="1033" xr:uid="{00000000-0005-0000-0000-000039050000}"/>
    <cellStyle name="Normal 16 2 2" xfId="1034" xr:uid="{00000000-0005-0000-0000-00003A050000}"/>
    <cellStyle name="Normal 16 2 2 2" xfId="4077" xr:uid="{00000000-0005-0000-0000-00003B050000}"/>
    <cellStyle name="Normal 16 2 2 2 2" xfId="4850" xr:uid="{00000000-0005-0000-0000-00003C050000}"/>
    <cellStyle name="Normal 16 2 2 3" xfId="4521" xr:uid="{00000000-0005-0000-0000-00003D050000}"/>
    <cellStyle name="Normal 16 2 3" xfId="4076" xr:uid="{00000000-0005-0000-0000-00003E050000}"/>
    <cellStyle name="Normal 16 2 3 2" xfId="4927" xr:uid="{00000000-0005-0000-0000-00003F050000}"/>
    <cellStyle name="Normal 16 2 4" xfId="4520" xr:uid="{00000000-0005-0000-0000-000040050000}"/>
    <cellStyle name="Normal 16 3" xfId="1035" xr:uid="{00000000-0005-0000-0000-000041050000}"/>
    <cellStyle name="Normal 16 3 2" xfId="4078" xr:uid="{00000000-0005-0000-0000-000042050000}"/>
    <cellStyle name="Normal 16 3 2 2" xfId="4888" xr:uid="{00000000-0005-0000-0000-000043050000}"/>
    <cellStyle name="Normal 16 3 3" xfId="4522" xr:uid="{00000000-0005-0000-0000-000044050000}"/>
    <cellStyle name="Normal 16 4" xfId="4075" xr:uid="{00000000-0005-0000-0000-000045050000}"/>
    <cellStyle name="Normal 16 4 2" xfId="4963" xr:uid="{00000000-0005-0000-0000-000046050000}"/>
    <cellStyle name="Normal 16 5" xfId="4519" xr:uid="{00000000-0005-0000-0000-000047050000}"/>
    <cellStyle name="Normal 160 2" xfId="1036" xr:uid="{00000000-0005-0000-0000-000048050000}"/>
    <cellStyle name="Normal 160 2 2" xfId="1037" xr:uid="{00000000-0005-0000-0000-000049050000}"/>
    <cellStyle name="Normal 160 3" xfId="1038" xr:uid="{00000000-0005-0000-0000-00004A050000}"/>
    <cellStyle name="Normal 160 3 2" xfId="1039" xr:uid="{00000000-0005-0000-0000-00004B050000}"/>
    <cellStyle name="Normal 160 4" xfId="1040" xr:uid="{00000000-0005-0000-0000-00004C050000}"/>
    <cellStyle name="Normal 160 4 2" xfId="1041" xr:uid="{00000000-0005-0000-0000-00004D050000}"/>
    <cellStyle name="Normal 160 5" xfId="1042" xr:uid="{00000000-0005-0000-0000-00004E050000}"/>
    <cellStyle name="Normal 160 5 2" xfId="1043" xr:uid="{00000000-0005-0000-0000-00004F050000}"/>
    <cellStyle name="Normal 160 6" xfId="1044" xr:uid="{00000000-0005-0000-0000-000050050000}"/>
    <cellStyle name="Normal 160 6 2" xfId="1045" xr:uid="{00000000-0005-0000-0000-000051050000}"/>
    <cellStyle name="Normal 161 2" xfId="1046" xr:uid="{00000000-0005-0000-0000-000052050000}"/>
    <cellStyle name="Normal 161 2 2" xfId="1047" xr:uid="{00000000-0005-0000-0000-000053050000}"/>
    <cellStyle name="Normal 161 3" xfId="1048" xr:uid="{00000000-0005-0000-0000-000054050000}"/>
    <cellStyle name="Normal 161 3 2" xfId="1049" xr:uid="{00000000-0005-0000-0000-000055050000}"/>
    <cellStyle name="Normal 161 4" xfId="1050" xr:uid="{00000000-0005-0000-0000-000056050000}"/>
    <cellStyle name="Normal 161 4 2" xfId="1051" xr:uid="{00000000-0005-0000-0000-000057050000}"/>
    <cellStyle name="Normal 161 5" xfId="1052" xr:uid="{00000000-0005-0000-0000-000058050000}"/>
    <cellStyle name="Normal 161 5 2" xfId="1053" xr:uid="{00000000-0005-0000-0000-000059050000}"/>
    <cellStyle name="Normal 161 6" xfId="1054" xr:uid="{00000000-0005-0000-0000-00005A050000}"/>
    <cellStyle name="Normal 161 6 2" xfId="1055" xr:uid="{00000000-0005-0000-0000-00005B050000}"/>
    <cellStyle name="Normal 162 2" xfId="1056" xr:uid="{00000000-0005-0000-0000-00005C050000}"/>
    <cellStyle name="Normal 162 2 2" xfId="1057" xr:uid="{00000000-0005-0000-0000-00005D050000}"/>
    <cellStyle name="Normal 162 3" xfId="1058" xr:uid="{00000000-0005-0000-0000-00005E050000}"/>
    <cellStyle name="Normal 162 3 2" xfId="1059" xr:uid="{00000000-0005-0000-0000-00005F050000}"/>
    <cellStyle name="Normal 162 4" xfId="1060" xr:uid="{00000000-0005-0000-0000-000060050000}"/>
    <cellStyle name="Normal 162 4 2" xfId="1061" xr:uid="{00000000-0005-0000-0000-000061050000}"/>
    <cellStyle name="Normal 162 5" xfId="1062" xr:uid="{00000000-0005-0000-0000-000062050000}"/>
    <cellStyle name="Normal 162 5 2" xfId="1063" xr:uid="{00000000-0005-0000-0000-000063050000}"/>
    <cellStyle name="Normal 162 6" xfId="1064" xr:uid="{00000000-0005-0000-0000-000064050000}"/>
    <cellStyle name="Normal 162 6 2" xfId="1065" xr:uid="{00000000-0005-0000-0000-000065050000}"/>
    <cellStyle name="Normal 163 2" xfId="1066" xr:uid="{00000000-0005-0000-0000-000066050000}"/>
    <cellStyle name="Normal 163 2 2" xfId="1067" xr:uid="{00000000-0005-0000-0000-000067050000}"/>
    <cellStyle name="Normal 163 3" xfId="1068" xr:uid="{00000000-0005-0000-0000-000068050000}"/>
    <cellStyle name="Normal 163 3 2" xfId="1069" xr:uid="{00000000-0005-0000-0000-000069050000}"/>
    <cellStyle name="Normal 163 4" xfId="1070" xr:uid="{00000000-0005-0000-0000-00006A050000}"/>
    <cellStyle name="Normal 163 4 2" xfId="1071" xr:uid="{00000000-0005-0000-0000-00006B050000}"/>
    <cellStyle name="Normal 163 5" xfId="1072" xr:uid="{00000000-0005-0000-0000-00006C050000}"/>
    <cellStyle name="Normal 163 5 2" xfId="1073" xr:uid="{00000000-0005-0000-0000-00006D050000}"/>
    <cellStyle name="Normal 163 6" xfId="1074" xr:uid="{00000000-0005-0000-0000-00006E050000}"/>
    <cellStyle name="Normal 163 6 2" xfId="1075" xr:uid="{00000000-0005-0000-0000-00006F050000}"/>
    <cellStyle name="Normal 164 2" xfId="1076" xr:uid="{00000000-0005-0000-0000-000070050000}"/>
    <cellStyle name="Normal 164 2 2" xfId="1077" xr:uid="{00000000-0005-0000-0000-000071050000}"/>
    <cellStyle name="Normal 164 3" xfId="1078" xr:uid="{00000000-0005-0000-0000-000072050000}"/>
    <cellStyle name="Normal 164 3 2" xfId="1079" xr:uid="{00000000-0005-0000-0000-000073050000}"/>
    <cellStyle name="Normal 164 4" xfId="1080" xr:uid="{00000000-0005-0000-0000-000074050000}"/>
    <cellStyle name="Normal 164 4 2" xfId="1081" xr:uid="{00000000-0005-0000-0000-000075050000}"/>
    <cellStyle name="Normal 164 5" xfId="1082" xr:uid="{00000000-0005-0000-0000-000076050000}"/>
    <cellStyle name="Normal 164 5 2" xfId="1083" xr:uid="{00000000-0005-0000-0000-000077050000}"/>
    <cellStyle name="Normal 164 6" xfId="1084" xr:uid="{00000000-0005-0000-0000-000078050000}"/>
    <cellStyle name="Normal 164 6 2" xfId="1085" xr:uid="{00000000-0005-0000-0000-000079050000}"/>
    <cellStyle name="Normal 165 2" xfId="1086" xr:uid="{00000000-0005-0000-0000-00007A050000}"/>
    <cellStyle name="Normal 165 2 2" xfId="1087" xr:uid="{00000000-0005-0000-0000-00007B050000}"/>
    <cellStyle name="Normal 165 3" xfId="1088" xr:uid="{00000000-0005-0000-0000-00007C050000}"/>
    <cellStyle name="Normal 165 3 2" xfId="1089" xr:uid="{00000000-0005-0000-0000-00007D050000}"/>
    <cellStyle name="Normal 165 4" xfId="1090" xr:uid="{00000000-0005-0000-0000-00007E050000}"/>
    <cellStyle name="Normal 165 4 2" xfId="1091" xr:uid="{00000000-0005-0000-0000-00007F050000}"/>
    <cellStyle name="Normal 165 5" xfId="1092" xr:uid="{00000000-0005-0000-0000-000080050000}"/>
    <cellStyle name="Normal 165 5 2" xfId="1093" xr:uid="{00000000-0005-0000-0000-000081050000}"/>
    <cellStyle name="Normal 165 6" xfId="1094" xr:uid="{00000000-0005-0000-0000-000082050000}"/>
    <cellStyle name="Normal 165 6 2" xfId="1095" xr:uid="{00000000-0005-0000-0000-000083050000}"/>
    <cellStyle name="Normal 166 2" xfId="1096" xr:uid="{00000000-0005-0000-0000-000084050000}"/>
    <cellStyle name="Normal 166 2 2" xfId="1097" xr:uid="{00000000-0005-0000-0000-000085050000}"/>
    <cellStyle name="Normal 166 3" xfId="1098" xr:uid="{00000000-0005-0000-0000-000086050000}"/>
    <cellStyle name="Normal 166 3 2" xfId="1099" xr:uid="{00000000-0005-0000-0000-000087050000}"/>
    <cellStyle name="Normal 166 4" xfId="1100" xr:uid="{00000000-0005-0000-0000-000088050000}"/>
    <cellStyle name="Normal 166 4 2" xfId="1101" xr:uid="{00000000-0005-0000-0000-000089050000}"/>
    <cellStyle name="Normal 166 5" xfId="1102" xr:uid="{00000000-0005-0000-0000-00008A050000}"/>
    <cellStyle name="Normal 166 5 2" xfId="1103" xr:uid="{00000000-0005-0000-0000-00008B050000}"/>
    <cellStyle name="Normal 166 6" xfId="1104" xr:uid="{00000000-0005-0000-0000-00008C050000}"/>
    <cellStyle name="Normal 166 6 2" xfId="1105" xr:uid="{00000000-0005-0000-0000-00008D050000}"/>
    <cellStyle name="Normal 167 2" xfId="1106" xr:uid="{00000000-0005-0000-0000-00008E050000}"/>
    <cellStyle name="Normal 167 2 2" xfId="1107" xr:uid="{00000000-0005-0000-0000-00008F050000}"/>
    <cellStyle name="Normal 167 3" xfId="1108" xr:uid="{00000000-0005-0000-0000-000090050000}"/>
    <cellStyle name="Normal 167 3 2" xfId="1109" xr:uid="{00000000-0005-0000-0000-000091050000}"/>
    <cellStyle name="Normal 167 4" xfId="1110" xr:uid="{00000000-0005-0000-0000-000092050000}"/>
    <cellStyle name="Normal 167 4 2" xfId="1111" xr:uid="{00000000-0005-0000-0000-000093050000}"/>
    <cellStyle name="Normal 167 5" xfId="1112" xr:uid="{00000000-0005-0000-0000-000094050000}"/>
    <cellStyle name="Normal 167 5 2" xfId="1113" xr:uid="{00000000-0005-0000-0000-000095050000}"/>
    <cellStyle name="Normal 167 6" xfId="1114" xr:uid="{00000000-0005-0000-0000-000096050000}"/>
    <cellStyle name="Normal 167 6 2" xfId="1115" xr:uid="{00000000-0005-0000-0000-000097050000}"/>
    <cellStyle name="Normal 168 2" xfId="1116" xr:uid="{00000000-0005-0000-0000-000098050000}"/>
    <cellStyle name="Normal 168 2 2" xfId="1117" xr:uid="{00000000-0005-0000-0000-000099050000}"/>
    <cellStyle name="Normal 168 3" xfId="1118" xr:uid="{00000000-0005-0000-0000-00009A050000}"/>
    <cellStyle name="Normal 168 3 2" xfId="1119" xr:uid="{00000000-0005-0000-0000-00009B050000}"/>
    <cellStyle name="Normal 168 4" xfId="1120" xr:uid="{00000000-0005-0000-0000-00009C050000}"/>
    <cellStyle name="Normal 168 4 2" xfId="1121" xr:uid="{00000000-0005-0000-0000-00009D050000}"/>
    <cellStyle name="Normal 168 5" xfId="1122" xr:uid="{00000000-0005-0000-0000-00009E050000}"/>
    <cellStyle name="Normal 168 5 2" xfId="1123" xr:uid="{00000000-0005-0000-0000-00009F050000}"/>
    <cellStyle name="Normal 168 6" xfId="1124" xr:uid="{00000000-0005-0000-0000-0000A0050000}"/>
    <cellStyle name="Normal 168 6 2" xfId="1125" xr:uid="{00000000-0005-0000-0000-0000A1050000}"/>
    <cellStyle name="Normal 169 2" xfId="1126" xr:uid="{00000000-0005-0000-0000-0000A2050000}"/>
    <cellStyle name="Normal 169 2 2" xfId="1127" xr:uid="{00000000-0005-0000-0000-0000A3050000}"/>
    <cellStyle name="Normal 169 3" xfId="1128" xr:uid="{00000000-0005-0000-0000-0000A4050000}"/>
    <cellStyle name="Normal 169 3 2" xfId="1129" xr:uid="{00000000-0005-0000-0000-0000A5050000}"/>
    <cellStyle name="Normal 169 4" xfId="1130" xr:uid="{00000000-0005-0000-0000-0000A6050000}"/>
    <cellStyle name="Normal 169 4 2" xfId="1131" xr:uid="{00000000-0005-0000-0000-0000A7050000}"/>
    <cellStyle name="Normal 169 5" xfId="1132" xr:uid="{00000000-0005-0000-0000-0000A8050000}"/>
    <cellStyle name="Normal 169 5 2" xfId="1133" xr:uid="{00000000-0005-0000-0000-0000A9050000}"/>
    <cellStyle name="Normal 169 6" xfId="1134" xr:uid="{00000000-0005-0000-0000-0000AA050000}"/>
    <cellStyle name="Normal 169 6 2" xfId="1135" xr:uid="{00000000-0005-0000-0000-0000AB050000}"/>
    <cellStyle name="Normal 17" xfId="1136" xr:uid="{00000000-0005-0000-0000-0000AC050000}"/>
    <cellStyle name="Normal 17 2" xfId="1137" xr:uid="{00000000-0005-0000-0000-0000AD050000}"/>
    <cellStyle name="Normal 17 2 2" xfId="1138" xr:uid="{00000000-0005-0000-0000-0000AE050000}"/>
    <cellStyle name="Normal 17 2 2 2" xfId="4081" xr:uid="{00000000-0005-0000-0000-0000AF050000}"/>
    <cellStyle name="Normal 17 2 2 2 2" xfId="4848" xr:uid="{00000000-0005-0000-0000-0000B0050000}"/>
    <cellStyle name="Normal 17 2 2 3" xfId="4525" xr:uid="{00000000-0005-0000-0000-0000B1050000}"/>
    <cellStyle name="Normal 17 2 3" xfId="4080" xr:uid="{00000000-0005-0000-0000-0000B2050000}"/>
    <cellStyle name="Normal 17 2 3 2" xfId="4925" xr:uid="{00000000-0005-0000-0000-0000B3050000}"/>
    <cellStyle name="Normal 17 2 4" xfId="4524" xr:uid="{00000000-0005-0000-0000-0000B4050000}"/>
    <cellStyle name="Normal 17 3" xfId="1139" xr:uid="{00000000-0005-0000-0000-0000B5050000}"/>
    <cellStyle name="Normal 17 3 2" xfId="4082" xr:uid="{00000000-0005-0000-0000-0000B6050000}"/>
    <cellStyle name="Normal 17 3 2 2" xfId="4886" xr:uid="{00000000-0005-0000-0000-0000B7050000}"/>
    <cellStyle name="Normal 17 3 3" xfId="4526" xr:uid="{00000000-0005-0000-0000-0000B8050000}"/>
    <cellStyle name="Normal 17 4" xfId="4079" xr:uid="{00000000-0005-0000-0000-0000B9050000}"/>
    <cellStyle name="Normal 17 4 2" xfId="4961" xr:uid="{00000000-0005-0000-0000-0000BA050000}"/>
    <cellStyle name="Normal 17 5" xfId="4523" xr:uid="{00000000-0005-0000-0000-0000BB050000}"/>
    <cellStyle name="Normal 171 2" xfId="1140" xr:uid="{00000000-0005-0000-0000-0000BC050000}"/>
    <cellStyle name="Normal 171 2 2" xfId="1141" xr:uid="{00000000-0005-0000-0000-0000BD050000}"/>
    <cellStyle name="Normal 171 3" xfId="1142" xr:uid="{00000000-0005-0000-0000-0000BE050000}"/>
    <cellStyle name="Normal 171 3 2" xfId="1143" xr:uid="{00000000-0005-0000-0000-0000BF050000}"/>
    <cellStyle name="Normal 171 4" xfId="1144" xr:uid="{00000000-0005-0000-0000-0000C0050000}"/>
    <cellStyle name="Normal 171 4 2" xfId="1145" xr:uid="{00000000-0005-0000-0000-0000C1050000}"/>
    <cellStyle name="Normal 171 5" xfId="1146" xr:uid="{00000000-0005-0000-0000-0000C2050000}"/>
    <cellStyle name="Normal 171 5 2" xfId="1147" xr:uid="{00000000-0005-0000-0000-0000C3050000}"/>
    <cellStyle name="Normal 171 6" xfId="1148" xr:uid="{00000000-0005-0000-0000-0000C4050000}"/>
    <cellStyle name="Normal 171 6 2" xfId="1149" xr:uid="{00000000-0005-0000-0000-0000C5050000}"/>
    <cellStyle name="Normal 172 2" xfId="1150" xr:uid="{00000000-0005-0000-0000-0000C6050000}"/>
    <cellStyle name="Normal 172 2 2" xfId="1151" xr:uid="{00000000-0005-0000-0000-0000C7050000}"/>
    <cellStyle name="Normal 172 3" xfId="1152" xr:uid="{00000000-0005-0000-0000-0000C8050000}"/>
    <cellStyle name="Normal 172 3 2" xfId="1153" xr:uid="{00000000-0005-0000-0000-0000C9050000}"/>
    <cellStyle name="Normal 172 4" xfId="1154" xr:uid="{00000000-0005-0000-0000-0000CA050000}"/>
    <cellStyle name="Normal 172 4 2" xfId="1155" xr:uid="{00000000-0005-0000-0000-0000CB050000}"/>
    <cellStyle name="Normal 172 5" xfId="1156" xr:uid="{00000000-0005-0000-0000-0000CC050000}"/>
    <cellStyle name="Normal 172 5 2" xfId="1157" xr:uid="{00000000-0005-0000-0000-0000CD050000}"/>
    <cellStyle name="Normal 172 6" xfId="1158" xr:uid="{00000000-0005-0000-0000-0000CE050000}"/>
    <cellStyle name="Normal 172 6 2" xfId="1159" xr:uid="{00000000-0005-0000-0000-0000CF050000}"/>
    <cellStyle name="Normal 173 2" xfId="1160" xr:uid="{00000000-0005-0000-0000-0000D0050000}"/>
    <cellStyle name="Normal 173 2 2" xfId="1161" xr:uid="{00000000-0005-0000-0000-0000D1050000}"/>
    <cellStyle name="Normal 173 3" xfId="1162" xr:uid="{00000000-0005-0000-0000-0000D2050000}"/>
    <cellStyle name="Normal 173 3 2" xfId="1163" xr:uid="{00000000-0005-0000-0000-0000D3050000}"/>
    <cellStyle name="Normal 173 4" xfId="1164" xr:uid="{00000000-0005-0000-0000-0000D4050000}"/>
    <cellStyle name="Normal 173 4 2" xfId="1165" xr:uid="{00000000-0005-0000-0000-0000D5050000}"/>
    <cellStyle name="Normal 173 5" xfId="1166" xr:uid="{00000000-0005-0000-0000-0000D6050000}"/>
    <cellStyle name="Normal 173 5 2" xfId="1167" xr:uid="{00000000-0005-0000-0000-0000D7050000}"/>
    <cellStyle name="Normal 173 6" xfId="1168" xr:uid="{00000000-0005-0000-0000-0000D8050000}"/>
    <cellStyle name="Normal 173 6 2" xfId="1169" xr:uid="{00000000-0005-0000-0000-0000D9050000}"/>
    <cellStyle name="Normal 174 2" xfId="1170" xr:uid="{00000000-0005-0000-0000-0000DA050000}"/>
    <cellStyle name="Normal 174 2 2" xfId="1171" xr:uid="{00000000-0005-0000-0000-0000DB050000}"/>
    <cellStyle name="Normal 174 3" xfId="1172" xr:uid="{00000000-0005-0000-0000-0000DC050000}"/>
    <cellStyle name="Normal 174 3 2" xfId="1173" xr:uid="{00000000-0005-0000-0000-0000DD050000}"/>
    <cellStyle name="Normal 174 4" xfId="1174" xr:uid="{00000000-0005-0000-0000-0000DE050000}"/>
    <cellStyle name="Normal 174 4 2" xfId="1175" xr:uid="{00000000-0005-0000-0000-0000DF050000}"/>
    <cellStyle name="Normal 174 5" xfId="1176" xr:uid="{00000000-0005-0000-0000-0000E0050000}"/>
    <cellStyle name="Normal 174 5 2" xfId="1177" xr:uid="{00000000-0005-0000-0000-0000E1050000}"/>
    <cellStyle name="Normal 174 6" xfId="1178" xr:uid="{00000000-0005-0000-0000-0000E2050000}"/>
    <cellStyle name="Normal 174 6 2" xfId="1179" xr:uid="{00000000-0005-0000-0000-0000E3050000}"/>
    <cellStyle name="Normal 175 2" xfId="1180" xr:uid="{00000000-0005-0000-0000-0000E4050000}"/>
    <cellStyle name="Normal 175 2 2" xfId="1181" xr:uid="{00000000-0005-0000-0000-0000E5050000}"/>
    <cellStyle name="Normal 175 3" xfId="1182" xr:uid="{00000000-0005-0000-0000-0000E6050000}"/>
    <cellStyle name="Normal 175 3 2" xfId="1183" xr:uid="{00000000-0005-0000-0000-0000E7050000}"/>
    <cellStyle name="Normal 175 4" xfId="1184" xr:uid="{00000000-0005-0000-0000-0000E8050000}"/>
    <cellStyle name="Normal 175 4 2" xfId="1185" xr:uid="{00000000-0005-0000-0000-0000E9050000}"/>
    <cellStyle name="Normal 175 5" xfId="1186" xr:uid="{00000000-0005-0000-0000-0000EA050000}"/>
    <cellStyle name="Normal 175 5 2" xfId="1187" xr:uid="{00000000-0005-0000-0000-0000EB050000}"/>
    <cellStyle name="Normal 175 6" xfId="1188" xr:uid="{00000000-0005-0000-0000-0000EC050000}"/>
    <cellStyle name="Normal 175 6 2" xfId="1189" xr:uid="{00000000-0005-0000-0000-0000ED050000}"/>
    <cellStyle name="Normal 176 2" xfId="1190" xr:uid="{00000000-0005-0000-0000-0000EE050000}"/>
    <cellStyle name="Normal 176 2 2" xfId="1191" xr:uid="{00000000-0005-0000-0000-0000EF050000}"/>
    <cellStyle name="Normal 176 3" xfId="1192" xr:uid="{00000000-0005-0000-0000-0000F0050000}"/>
    <cellStyle name="Normal 176 3 2" xfId="1193" xr:uid="{00000000-0005-0000-0000-0000F1050000}"/>
    <cellStyle name="Normal 176 4" xfId="1194" xr:uid="{00000000-0005-0000-0000-0000F2050000}"/>
    <cellStyle name="Normal 176 4 2" xfId="1195" xr:uid="{00000000-0005-0000-0000-0000F3050000}"/>
    <cellStyle name="Normal 176 5" xfId="1196" xr:uid="{00000000-0005-0000-0000-0000F4050000}"/>
    <cellStyle name="Normal 176 5 2" xfId="1197" xr:uid="{00000000-0005-0000-0000-0000F5050000}"/>
    <cellStyle name="Normal 176 6" xfId="1198" xr:uid="{00000000-0005-0000-0000-0000F6050000}"/>
    <cellStyle name="Normal 176 6 2" xfId="1199" xr:uid="{00000000-0005-0000-0000-0000F7050000}"/>
    <cellStyle name="Normal 178 2" xfId="1200" xr:uid="{00000000-0005-0000-0000-0000F8050000}"/>
    <cellStyle name="Normal 178 2 2" xfId="1201" xr:uid="{00000000-0005-0000-0000-0000F9050000}"/>
    <cellStyle name="Normal 178 3" xfId="1202" xr:uid="{00000000-0005-0000-0000-0000FA050000}"/>
    <cellStyle name="Normal 178 3 2" xfId="1203" xr:uid="{00000000-0005-0000-0000-0000FB050000}"/>
    <cellStyle name="Normal 178 4" xfId="1204" xr:uid="{00000000-0005-0000-0000-0000FC050000}"/>
    <cellStyle name="Normal 178 4 2" xfId="1205" xr:uid="{00000000-0005-0000-0000-0000FD050000}"/>
    <cellStyle name="Normal 178 5" xfId="1206" xr:uid="{00000000-0005-0000-0000-0000FE050000}"/>
    <cellStyle name="Normal 178 5 2" xfId="1207" xr:uid="{00000000-0005-0000-0000-0000FF050000}"/>
    <cellStyle name="Normal 178 6" xfId="1208" xr:uid="{00000000-0005-0000-0000-000000060000}"/>
    <cellStyle name="Normal 178 6 2" xfId="1209" xr:uid="{00000000-0005-0000-0000-000001060000}"/>
    <cellStyle name="Normal 18" xfId="1210" xr:uid="{00000000-0005-0000-0000-000002060000}"/>
    <cellStyle name="Normal 18 2" xfId="1211" xr:uid="{00000000-0005-0000-0000-000003060000}"/>
    <cellStyle name="Normal 18 2 2" xfId="1212" xr:uid="{00000000-0005-0000-0000-000004060000}"/>
    <cellStyle name="Normal 18 2 2 2" xfId="4085" xr:uid="{00000000-0005-0000-0000-000005060000}"/>
    <cellStyle name="Normal 18 2 2 2 2" xfId="4847" xr:uid="{00000000-0005-0000-0000-000006060000}"/>
    <cellStyle name="Normal 18 2 2 3" xfId="4529" xr:uid="{00000000-0005-0000-0000-000007060000}"/>
    <cellStyle name="Normal 18 2 3" xfId="4084" xr:uid="{00000000-0005-0000-0000-000008060000}"/>
    <cellStyle name="Normal 18 2 3 2" xfId="4924" xr:uid="{00000000-0005-0000-0000-000009060000}"/>
    <cellStyle name="Normal 18 2 4" xfId="4528" xr:uid="{00000000-0005-0000-0000-00000A060000}"/>
    <cellStyle name="Normal 18 3" xfId="1213" xr:uid="{00000000-0005-0000-0000-00000B060000}"/>
    <cellStyle name="Normal 18 3 2" xfId="4086" xr:uid="{00000000-0005-0000-0000-00000C060000}"/>
    <cellStyle name="Normal 18 3 2 2" xfId="4885" xr:uid="{00000000-0005-0000-0000-00000D060000}"/>
    <cellStyle name="Normal 18 3 3" xfId="4530" xr:uid="{00000000-0005-0000-0000-00000E060000}"/>
    <cellStyle name="Normal 18 4" xfId="4083" xr:uid="{00000000-0005-0000-0000-00000F060000}"/>
    <cellStyle name="Normal 18 4 2" xfId="4960" xr:uid="{00000000-0005-0000-0000-000010060000}"/>
    <cellStyle name="Normal 18 5" xfId="4527" xr:uid="{00000000-0005-0000-0000-000011060000}"/>
    <cellStyle name="Normal 181 2" xfId="1214" xr:uid="{00000000-0005-0000-0000-000012060000}"/>
    <cellStyle name="Normal 181 2 2" xfId="1215" xr:uid="{00000000-0005-0000-0000-000013060000}"/>
    <cellStyle name="Normal 181 3" xfId="1216" xr:uid="{00000000-0005-0000-0000-000014060000}"/>
    <cellStyle name="Normal 181 3 2" xfId="1217" xr:uid="{00000000-0005-0000-0000-000015060000}"/>
    <cellStyle name="Normal 181 4" xfId="1218" xr:uid="{00000000-0005-0000-0000-000016060000}"/>
    <cellStyle name="Normal 181 4 2" xfId="1219" xr:uid="{00000000-0005-0000-0000-000017060000}"/>
    <cellStyle name="Normal 181 5" xfId="1220" xr:uid="{00000000-0005-0000-0000-000018060000}"/>
    <cellStyle name="Normal 181 5 2" xfId="1221" xr:uid="{00000000-0005-0000-0000-000019060000}"/>
    <cellStyle name="Normal 181 6" xfId="1222" xr:uid="{00000000-0005-0000-0000-00001A060000}"/>
    <cellStyle name="Normal 181 6 2" xfId="1223" xr:uid="{00000000-0005-0000-0000-00001B060000}"/>
    <cellStyle name="Normal 182 2" xfId="1224" xr:uid="{00000000-0005-0000-0000-00001C060000}"/>
    <cellStyle name="Normal 182 2 2" xfId="1225" xr:uid="{00000000-0005-0000-0000-00001D060000}"/>
    <cellStyle name="Normal 182 3" xfId="1226" xr:uid="{00000000-0005-0000-0000-00001E060000}"/>
    <cellStyle name="Normal 182 3 2" xfId="1227" xr:uid="{00000000-0005-0000-0000-00001F060000}"/>
    <cellStyle name="Normal 182 4" xfId="1228" xr:uid="{00000000-0005-0000-0000-000020060000}"/>
    <cellStyle name="Normal 182 4 2" xfId="1229" xr:uid="{00000000-0005-0000-0000-000021060000}"/>
    <cellStyle name="Normal 182 5" xfId="1230" xr:uid="{00000000-0005-0000-0000-000022060000}"/>
    <cellStyle name="Normal 182 5 2" xfId="1231" xr:uid="{00000000-0005-0000-0000-000023060000}"/>
    <cellStyle name="Normal 182 6" xfId="1232" xr:uid="{00000000-0005-0000-0000-000024060000}"/>
    <cellStyle name="Normal 182 6 2" xfId="1233" xr:uid="{00000000-0005-0000-0000-000025060000}"/>
    <cellStyle name="Normal 183 2" xfId="1234" xr:uid="{00000000-0005-0000-0000-000026060000}"/>
    <cellStyle name="Normal 183 2 2" xfId="1235" xr:uid="{00000000-0005-0000-0000-000027060000}"/>
    <cellStyle name="Normal 183 3" xfId="1236" xr:uid="{00000000-0005-0000-0000-000028060000}"/>
    <cellStyle name="Normal 183 3 2" xfId="1237" xr:uid="{00000000-0005-0000-0000-000029060000}"/>
    <cellStyle name="Normal 183 4" xfId="1238" xr:uid="{00000000-0005-0000-0000-00002A060000}"/>
    <cellStyle name="Normal 183 4 2" xfId="1239" xr:uid="{00000000-0005-0000-0000-00002B060000}"/>
    <cellStyle name="Normal 183 5" xfId="1240" xr:uid="{00000000-0005-0000-0000-00002C060000}"/>
    <cellStyle name="Normal 183 5 2" xfId="1241" xr:uid="{00000000-0005-0000-0000-00002D060000}"/>
    <cellStyle name="Normal 183 6" xfId="1242" xr:uid="{00000000-0005-0000-0000-00002E060000}"/>
    <cellStyle name="Normal 183 6 2" xfId="1243" xr:uid="{00000000-0005-0000-0000-00002F060000}"/>
    <cellStyle name="Normal 184 2" xfId="1244" xr:uid="{00000000-0005-0000-0000-000030060000}"/>
    <cellStyle name="Normal 184 2 2" xfId="1245" xr:uid="{00000000-0005-0000-0000-000031060000}"/>
    <cellStyle name="Normal 184 3" xfId="1246" xr:uid="{00000000-0005-0000-0000-000032060000}"/>
    <cellStyle name="Normal 184 3 2" xfId="1247" xr:uid="{00000000-0005-0000-0000-000033060000}"/>
    <cellStyle name="Normal 184 4" xfId="1248" xr:uid="{00000000-0005-0000-0000-000034060000}"/>
    <cellStyle name="Normal 184 4 2" xfId="1249" xr:uid="{00000000-0005-0000-0000-000035060000}"/>
    <cellStyle name="Normal 184 5" xfId="1250" xr:uid="{00000000-0005-0000-0000-000036060000}"/>
    <cellStyle name="Normal 184 5 2" xfId="1251" xr:uid="{00000000-0005-0000-0000-000037060000}"/>
    <cellStyle name="Normal 184 6" xfId="1252" xr:uid="{00000000-0005-0000-0000-000038060000}"/>
    <cellStyle name="Normal 184 6 2" xfId="1253" xr:uid="{00000000-0005-0000-0000-000039060000}"/>
    <cellStyle name="Normal 186 2" xfId="1254" xr:uid="{00000000-0005-0000-0000-00003A060000}"/>
    <cellStyle name="Normal 186 2 2" xfId="1255" xr:uid="{00000000-0005-0000-0000-00003B060000}"/>
    <cellStyle name="Normal 186 3" xfId="1256" xr:uid="{00000000-0005-0000-0000-00003C060000}"/>
    <cellStyle name="Normal 186 3 2" xfId="1257" xr:uid="{00000000-0005-0000-0000-00003D060000}"/>
    <cellStyle name="Normal 186 4" xfId="1258" xr:uid="{00000000-0005-0000-0000-00003E060000}"/>
    <cellStyle name="Normal 186 4 2" xfId="1259" xr:uid="{00000000-0005-0000-0000-00003F060000}"/>
    <cellStyle name="Normal 186 5" xfId="1260" xr:uid="{00000000-0005-0000-0000-000040060000}"/>
    <cellStyle name="Normal 186 5 2" xfId="1261" xr:uid="{00000000-0005-0000-0000-000041060000}"/>
    <cellStyle name="Normal 186 6" xfId="1262" xr:uid="{00000000-0005-0000-0000-000042060000}"/>
    <cellStyle name="Normal 186 6 2" xfId="1263" xr:uid="{00000000-0005-0000-0000-000043060000}"/>
    <cellStyle name="Normal 187 2" xfId="1264" xr:uid="{00000000-0005-0000-0000-000044060000}"/>
    <cellStyle name="Normal 187 2 2" xfId="1265" xr:uid="{00000000-0005-0000-0000-000045060000}"/>
    <cellStyle name="Normal 187 3" xfId="1266" xr:uid="{00000000-0005-0000-0000-000046060000}"/>
    <cellStyle name="Normal 187 3 2" xfId="1267" xr:uid="{00000000-0005-0000-0000-000047060000}"/>
    <cellStyle name="Normal 187 4" xfId="1268" xr:uid="{00000000-0005-0000-0000-000048060000}"/>
    <cellStyle name="Normal 187 4 2" xfId="1269" xr:uid="{00000000-0005-0000-0000-000049060000}"/>
    <cellStyle name="Normal 187 5" xfId="1270" xr:uid="{00000000-0005-0000-0000-00004A060000}"/>
    <cellStyle name="Normal 187 5 2" xfId="1271" xr:uid="{00000000-0005-0000-0000-00004B060000}"/>
    <cellStyle name="Normal 187 6" xfId="1272" xr:uid="{00000000-0005-0000-0000-00004C060000}"/>
    <cellStyle name="Normal 187 6 2" xfId="1273" xr:uid="{00000000-0005-0000-0000-00004D060000}"/>
    <cellStyle name="Normal 188 2" xfId="1274" xr:uid="{00000000-0005-0000-0000-00004E060000}"/>
    <cellStyle name="Normal 188 2 2" xfId="1275" xr:uid="{00000000-0005-0000-0000-00004F060000}"/>
    <cellStyle name="Normal 188 3" xfId="1276" xr:uid="{00000000-0005-0000-0000-000050060000}"/>
    <cellStyle name="Normal 188 3 2" xfId="1277" xr:uid="{00000000-0005-0000-0000-000051060000}"/>
    <cellStyle name="Normal 188 4" xfId="1278" xr:uid="{00000000-0005-0000-0000-000052060000}"/>
    <cellStyle name="Normal 188 4 2" xfId="1279" xr:uid="{00000000-0005-0000-0000-000053060000}"/>
    <cellStyle name="Normal 189 2" xfId="1280" xr:uid="{00000000-0005-0000-0000-000054060000}"/>
    <cellStyle name="Normal 189 2 2" xfId="1281" xr:uid="{00000000-0005-0000-0000-000055060000}"/>
    <cellStyle name="Normal 189 3" xfId="1282" xr:uid="{00000000-0005-0000-0000-000056060000}"/>
    <cellStyle name="Normal 189 3 2" xfId="1283" xr:uid="{00000000-0005-0000-0000-000057060000}"/>
    <cellStyle name="Normal 189 4" xfId="1284" xr:uid="{00000000-0005-0000-0000-000058060000}"/>
    <cellStyle name="Normal 189 4 2" xfId="1285" xr:uid="{00000000-0005-0000-0000-000059060000}"/>
    <cellStyle name="Normal 19" xfId="1286" xr:uid="{00000000-0005-0000-0000-00005A060000}"/>
    <cellStyle name="Normal 19 2" xfId="1287" xr:uid="{00000000-0005-0000-0000-00005B060000}"/>
    <cellStyle name="Normal 19 2 2" xfId="1288" xr:uid="{00000000-0005-0000-0000-00005C060000}"/>
    <cellStyle name="Normal 19 2 2 2" xfId="4089" xr:uid="{00000000-0005-0000-0000-00005D060000}"/>
    <cellStyle name="Normal 19 2 2 2 2" xfId="4846" xr:uid="{00000000-0005-0000-0000-00005E060000}"/>
    <cellStyle name="Normal 19 2 2 3" xfId="4533" xr:uid="{00000000-0005-0000-0000-00005F060000}"/>
    <cellStyle name="Normal 19 2 3" xfId="4088" xr:uid="{00000000-0005-0000-0000-000060060000}"/>
    <cellStyle name="Normal 19 2 3 2" xfId="4923" xr:uid="{00000000-0005-0000-0000-000061060000}"/>
    <cellStyle name="Normal 19 2 4" xfId="4532" xr:uid="{00000000-0005-0000-0000-000062060000}"/>
    <cellStyle name="Normal 19 3" xfId="1289" xr:uid="{00000000-0005-0000-0000-000063060000}"/>
    <cellStyle name="Normal 19 3 2" xfId="4090" xr:uid="{00000000-0005-0000-0000-000064060000}"/>
    <cellStyle name="Normal 19 3 2 2" xfId="4884" xr:uid="{00000000-0005-0000-0000-000065060000}"/>
    <cellStyle name="Normal 19 3 3" xfId="4534" xr:uid="{00000000-0005-0000-0000-000066060000}"/>
    <cellStyle name="Normal 19 4" xfId="1290" xr:uid="{00000000-0005-0000-0000-000067060000}"/>
    <cellStyle name="Normal 19 4 2" xfId="4091" xr:uid="{00000000-0005-0000-0000-000068060000}"/>
    <cellStyle name="Normal 19 4 2 2" xfId="5014" xr:uid="{00000000-0005-0000-0000-000069060000}"/>
    <cellStyle name="Normal 19 4 3" xfId="4535" xr:uid="{00000000-0005-0000-0000-00006A060000}"/>
    <cellStyle name="Normal 19 5" xfId="4087" xr:uid="{00000000-0005-0000-0000-00006B060000}"/>
    <cellStyle name="Normal 19 5 2" xfId="5013" xr:uid="{00000000-0005-0000-0000-00006C060000}"/>
    <cellStyle name="Normal 19 6" xfId="4531" xr:uid="{00000000-0005-0000-0000-00006D060000}"/>
    <cellStyle name="Normal 190 2" xfId="1291" xr:uid="{00000000-0005-0000-0000-00006E060000}"/>
    <cellStyle name="Normal 190 2 2" xfId="1292" xr:uid="{00000000-0005-0000-0000-00006F060000}"/>
    <cellStyle name="Normal 191 2" xfId="1293" xr:uid="{00000000-0005-0000-0000-000070060000}"/>
    <cellStyle name="Normal 191 2 2" xfId="1294" xr:uid="{00000000-0005-0000-0000-000071060000}"/>
    <cellStyle name="Normal 192 2" xfId="1295" xr:uid="{00000000-0005-0000-0000-000072060000}"/>
    <cellStyle name="Normal 192 2 2" xfId="1296" xr:uid="{00000000-0005-0000-0000-000073060000}"/>
    <cellStyle name="Normal 193 2" xfId="1297" xr:uid="{00000000-0005-0000-0000-000074060000}"/>
    <cellStyle name="Normal 193 2 2" xfId="1298" xr:uid="{00000000-0005-0000-0000-000075060000}"/>
    <cellStyle name="Normal 194 2" xfId="1299" xr:uid="{00000000-0005-0000-0000-000076060000}"/>
    <cellStyle name="Normal 194 2 2" xfId="1300" xr:uid="{00000000-0005-0000-0000-000077060000}"/>
    <cellStyle name="Normal 195 2" xfId="1301" xr:uid="{00000000-0005-0000-0000-000078060000}"/>
    <cellStyle name="Normal 195 2 2" xfId="1302" xr:uid="{00000000-0005-0000-0000-000079060000}"/>
    <cellStyle name="Normal 196 2" xfId="1303" xr:uid="{00000000-0005-0000-0000-00007A060000}"/>
    <cellStyle name="Normal 196 2 2" xfId="1304" xr:uid="{00000000-0005-0000-0000-00007B060000}"/>
    <cellStyle name="Normal 197 2" xfId="1305" xr:uid="{00000000-0005-0000-0000-00007C060000}"/>
    <cellStyle name="Normal 197 2 2" xfId="1306" xr:uid="{00000000-0005-0000-0000-00007D060000}"/>
    <cellStyle name="Normal 198 2" xfId="1307" xr:uid="{00000000-0005-0000-0000-00007E060000}"/>
    <cellStyle name="Normal 198 2 2" xfId="1308" xr:uid="{00000000-0005-0000-0000-00007F060000}"/>
    <cellStyle name="Normal 199 2" xfId="1309" xr:uid="{00000000-0005-0000-0000-000080060000}"/>
    <cellStyle name="Normal 199 2 2" xfId="1310" xr:uid="{00000000-0005-0000-0000-000081060000}"/>
    <cellStyle name="Normal 2" xfId="10" xr:uid="{00000000-0005-0000-0000-000082060000}"/>
    <cellStyle name="Normal 2 10" xfId="1311" xr:uid="{00000000-0005-0000-0000-000083060000}"/>
    <cellStyle name="Normal 2 10 2" xfId="1312" xr:uid="{00000000-0005-0000-0000-000084060000}"/>
    <cellStyle name="Normal 2 11" xfId="1313" xr:uid="{00000000-0005-0000-0000-000085060000}"/>
    <cellStyle name="Normal 2 11 2" xfId="1314" xr:uid="{00000000-0005-0000-0000-000086060000}"/>
    <cellStyle name="Normal 2 12" xfId="1315" xr:uid="{00000000-0005-0000-0000-000087060000}"/>
    <cellStyle name="Normal 2 13" xfId="1316" xr:uid="{00000000-0005-0000-0000-000088060000}"/>
    <cellStyle name="Normal 2 14" xfId="1317" xr:uid="{00000000-0005-0000-0000-000089060000}"/>
    <cellStyle name="Normal 2 14 2" xfId="4092" xr:uid="{00000000-0005-0000-0000-00008A060000}"/>
    <cellStyle name="Normal 2 14 2 2" xfId="5015" xr:uid="{00000000-0005-0000-0000-00008B060000}"/>
    <cellStyle name="Normal 2 14 3" xfId="4536" xr:uid="{00000000-0005-0000-0000-00008C060000}"/>
    <cellStyle name="Normal 2 15" xfId="1318" xr:uid="{00000000-0005-0000-0000-00008D060000}"/>
    <cellStyle name="Normal 2 15 2" xfId="4093" xr:uid="{00000000-0005-0000-0000-00008E060000}"/>
    <cellStyle name="Normal 2 15 2 2" xfId="5016" xr:uid="{00000000-0005-0000-0000-00008F060000}"/>
    <cellStyle name="Normal 2 15 3" xfId="4537" xr:uid="{00000000-0005-0000-0000-000090060000}"/>
    <cellStyle name="Normal 2 16" xfId="1319" xr:uid="{00000000-0005-0000-0000-000091060000}"/>
    <cellStyle name="Normal 2 16 2" xfId="4094" xr:uid="{00000000-0005-0000-0000-000092060000}"/>
    <cellStyle name="Normal 2 16 2 2" xfId="5017" xr:uid="{00000000-0005-0000-0000-000093060000}"/>
    <cellStyle name="Normal 2 16 3" xfId="4538" xr:uid="{00000000-0005-0000-0000-000094060000}"/>
    <cellStyle name="Normal 2 17" xfId="1320" xr:uid="{00000000-0005-0000-0000-000095060000}"/>
    <cellStyle name="Normal 2 18" xfId="1321" xr:uid="{00000000-0005-0000-0000-000096060000}"/>
    <cellStyle name="Normal 2 18 2" xfId="4095" xr:uid="{00000000-0005-0000-0000-000097060000}"/>
    <cellStyle name="Normal 2 18 2 2" xfId="5018" xr:uid="{00000000-0005-0000-0000-000098060000}"/>
    <cellStyle name="Normal 2 18 3" xfId="4539" xr:uid="{00000000-0005-0000-0000-000099060000}"/>
    <cellStyle name="Normal 2 19" xfId="3998" xr:uid="{00000000-0005-0000-0000-00009A060000}"/>
    <cellStyle name="Normal 2 19 2" xfId="4999" xr:uid="{00000000-0005-0000-0000-00009B060000}"/>
    <cellStyle name="Normal 2 2" xfId="14" xr:uid="{00000000-0005-0000-0000-00009C060000}"/>
    <cellStyle name="Normal 2 2 10" xfId="1322" xr:uid="{00000000-0005-0000-0000-00009D060000}"/>
    <cellStyle name="Normal 2 2 10 2" xfId="1323" xr:uid="{00000000-0005-0000-0000-00009E060000}"/>
    <cellStyle name="Normal 2 2 10 2 2" xfId="4097" xr:uid="{00000000-0005-0000-0000-00009F060000}"/>
    <cellStyle name="Normal 2 2 10 2 2 2" xfId="5020" xr:uid="{00000000-0005-0000-0000-0000A0060000}"/>
    <cellStyle name="Normal 2 2 10 2 3" xfId="4541" xr:uid="{00000000-0005-0000-0000-0000A1060000}"/>
    <cellStyle name="Normal 2 2 10 3" xfId="1324" xr:uid="{00000000-0005-0000-0000-0000A2060000}"/>
    <cellStyle name="Normal 2 2 10 3 2" xfId="4098" xr:uid="{00000000-0005-0000-0000-0000A3060000}"/>
    <cellStyle name="Normal 2 2 10 3 2 2" xfId="5021" xr:uid="{00000000-0005-0000-0000-0000A4060000}"/>
    <cellStyle name="Normal 2 2 10 3 3" xfId="4542" xr:uid="{00000000-0005-0000-0000-0000A5060000}"/>
    <cellStyle name="Normal 2 2 10 4" xfId="1325" xr:uid="{00000000-0005-0000-0000-0000A6060000}"/>
    <cellStyle name="Normal 2 2 10 4 2" xfId="4099" xr:uid="{00000000-0005-0000-0000-0000A7060000}"/>
    <cellStyle name="Normal 2 2 10 4 2 2" xfId="5022" xr:uid="{00000000-0005-0000-0000-0000A8060000}"/>
    <cellStyle name="Normal 2 2 10 4 3" xfId="4543" xr:uid="{00000000-0005-0000-0000-0000A9060000}"/>
    <cellStyle name="Normal 2 2 10 5" xfId="1326" xr:uid="{00000000-0005-0000-0000-0000AA060000}"/>
    <cellStyle name="Normal 2 2 10 5 2" xfId="4100" xr:uid="{00000000-0005-0000-0000-0000AB060000}"/>
    <cellStyle name="Normal 2 2 10 5 2 2" xfId="5023" xr:uid="{00000000-0005-0000-0000-0000AC060000}"/>
    <cellStyle name="Normal 2 2 10 5 3" xfId="4544" xr:uid="{00000000-0005-0000-0000-0000AD060000}"/>
    <cellStyle name="Normal 2 2 10 6" xfId="1327" xr:uid="{00000000-0005-0000-0000-0000AE060000}"/>
    <cellStyle name="Normal 2 2 10 6 2" xfId="4101" xr:uid="{00000000-0005-0000-0000-0000AF060000}"/>
    <cellStyle name="Normal 2 2 10 6 2 2" xfId="5024" xr:uid="{00000000-0005-0000-0000-0000B0060000}"/>
    <cellStyle name="Normal 2 2 10 6 3" xfId="4545" xr:uid="{00000000-0005-0000-0000-0000B1060000}"/>
    <cellStyle name="Normal 2 2 10 7" xfId="4096" xr:uid="{00000000-0005-0000-0000-0000B2060000}"/>
    <cellStyle name="Normal 2 2 10 7 2" xfId="5019" xr:uid="{00000000-0005-0000-0000-0000B3060000}"/>
    <cellStyle name="Normal 2 2 10 8" xfId="4540" xr:uid="{00000000-0005-0000-0000-0000B4060000}"/>
    <cellStyle name="Normal 2 2 11" xfId="1328" xr:uid="{00000000-0005-0000-0000-0000B5060000}"/>
    <cellStyle name="Normal 2 2 11 2" xfId="4102" xr:uid="{00000000-0005-0000-0000-0000B6060000}"/>
    <cellStyle name="Normal 2 2 11 2 2" xfId="5025" xr:uid="{00000000-0005-0000-0000-0000B7060000}"/>
    <cellStyle name="Normal 2 2 11 3" xfId="4546" xr:uid="{00000000-0005-0000-0000-0000B8060000}"/>
    <cellStyle name="Normal 2 2 12" xfId="1329" xr:uid="{00000000-0005-0000-0000-0000B9060000}"/>
    <cellStyle name="Normal 2 2 12 2" xfId="4103" xr:uid="{00000000-0005-0000-0000-0000BA060000}"/>
    <cellStyle name="Normal 2 2 12 2 2" xfId="5026" xr:uid="{00000000-0005-0000-0000-0000BB060000}"/>
    <cellStyle name="Normal 2 2 12 3" xfId="4547" xr:uid="{00000000-0005-0000-0000-0000BC060000}"/>
    <cellStyle name="Normal 2 2 13" xfId="1330" xr:uid="{00000000-0005-0000-0000-0000BD060000}"/>
    <cellStyle name="Normal 2 2 13 2" xfId="4104" xr:uid="{00000000-0005-0000-0000-0000BE060000}"/>
    <cellStyle name="Normal 2 2 13 2 2" xfId="5027" xr:uid="{00000000-0005-0000-0000-0000BF060000}"/>
    <cellStyle name="Normal 2 2 13 3" xfId="4548" xr:uid="{00000000-0005-0000-0000-0000C0060000}"/>
    <cellStyle name="Normal 2 2 14" xfId="1331" xr:uid="{00000000-0005-0000-0000-0000C1060000}"/>
    <cellStyle name="Normal 2 2 14 2" xfId="4105" xr:uid="{00000000-0005-0000-0000-0000C2060000}"/>
    <cellStyle name="Normal 2 2 14 2 2" xfId="5028" xr:uid="{00000000-0005-0000-0000-0000C3060000}"/>
    <cellStyle name="Normal 2 2 14 3" xfId="4549" xr:uid="{00000000-0005-0000-0000-0000C4060000}"/>
    <cellStyle name="Normal 2 2 15" xfId="1332" xr:uid="{00000000-0005-0000-0000-0000C5060000}"/>
    <cellStyle name="Normal 2 2 15 2" xfId="4106" xr:uid="{00000000-0005-0000-0000-0000C6060000}"/>
    <cellStyle name="Normal 2 2 15 2 2" xfId="5029" xr:uid="{00000000-0005-0000-0000-0000C7060000}"/>
    <cellStyle name="Normal 2 2 15 3" xfId="4550" xr:uid="{00000000-0005-0000-0000-0000C8060000}"/>
    <cellStyle name="Normal 2 2 16" xfId="1333" xr:uid="{00000000-0005-0000-0000-0000C9060000}"/>
    <cellStyle name="Normal 2 2 17" xfId="4000" xr:uid="{00000000-0005-0000-0000-0000CA060000}"/>
    <cellStyle name="Normal 2 2 17 2" xfId="5001" xr:uid="{00000000-0005-0000-0000-0000CB060000}"/>
    <cellStyle name="Normal 2 2 18" xfId="4444" xr:uid="{00000000-0005-0000-0000-0000CC060000}"/>
    <cellStyle name="Normal 2 2 2" xfId="1334" xr:uid="{00000000-0005-0000-0000-0000CD060000}"/>
    <cellStyle name="Normal 2 2 2 10" xfId="1335" xr:uid="{00000000-0005-0000-0000-0000CE060000}"/>
    <cellStyle name="Normal 2 2 2 11" xfId="1336" xr:uid="{00000000-0005-0000-0000-0000CF060000}"/>
    <cellStyle name="Normal 2 2 2 12" xfId="1337" xr:uid="{00000000-0005-0000-0000-0000D0060000}"/>
    <cellStyle name="Normal 2 2 2 13" xfId="1338" xr:uid="{00000000-0005-0000-0000-0000D1060000}"/>
    <cellStyle name="Normal 2 2 2 14" xfId="1339" xr:uid="{00000000-0005-0000-0000-0000D2060000}"/>
    <cellStyle name="Normal 2 2 2 15" xfId="1340" xr:uid="{00000000-0005-0000-0000-0000D3060000}"/>
    <cellStyle name="Normal 2 2 2 16" xfId="4107" xr:uid="{00000000-0005-0000-0000-0000D4060000}"/>
    <cellStyle name="Normal 2 2 2 16 2" xfId="5030" xr:uid="{00000000-0005-0000-0000-0000D5060000}"/>
    <cellStyle name="Normal 2 2 2 17" xfId="4551" xr:uid="{00000000-0005-0000-0000-0000D6060000}"/>
    <cellStyle name="Normal 2 2 2 2" xfId="1341" xr:uid="{00000000-0005-0000-0000-0000D7060000}"/>
    <cellStyle name="Normal 2 2 2 2 2" xfId="1342" xr:uid="{00000000-0005-0000-0000-0000D8060000}"/>
    <cellStyle name="Normal 2 2 2 2 2 2" xfId="1343" xr:uid="{00000000-0005-0000-0000-0000D9060000}"/>
    <cellStyle name="Normal 2 2 2 2 2 3" xfId="1344" xr:uid="{00000000-0005-0000-0000-0000DA060000}"/>
    <cellStyle name="Normal 2 2 2 2 2 4" xfId="1345" xr:uid="{00000000-0005-0000-0000-0000DB060000}"/>
    <cellStyle name="Normal 2 2 2 2 2 5" xfId="1346" xr:uid="{00000000-0005-0000-0000-0000DC060000}"/>
    <cellStyle name="Normal 2 2 2 2 2 6" xfId="1347" xr:uid="{00000000-0005-0000-0000-0000DD060000}"/>
    <cellStyle name="Normal 2 2 2 2 2 7" xfId="4109" xr:uid="{00000000-0005-0000-0000-0000DE060000}"/>
    <cellStyle name="Normal 2 2 2 2 2 7 2" xfId="5032" xr:uid="{00000000-0005-0000-0000-0000DF060000}"/>
    <cellStyle name="Normal 2 2 2 2 2 8" xfId="4553" xr:uid="{00000000-0005-0000-0000-0000E0060000}"/>
    <cellStyle name="Normal 2 2 2 2 3" xfId="1348" xr:uid="{00000000-0005-0000-0000-0000E1060000}"/>
    <cellStyle name="Normal 2 2 2 2 3 2" xfId="4110" xr:uid="{00000000-0005-0000-0000-0000E2060000}"/>
    <cellStyle name="Normal 2 2 2 2 3 2 2" xfId="5033" xr:uid="{00000000-0005-0000-0000-0000E3060000}"/>
    <cellStyle name="Normal 2 2 2 2 3 3" xfId="4554" xr:uid="{00000000-0005-0000-0000-0000E4060000}"/>
    <cellStyle name="Normal 2 2 2 2 4" xfId="1349" xr:uid="{00000000-0005-0000-0000-0000E5060000}"/>
    <cellStyle name="Normal 2 2 2 2 4 2" xfId="4111" xr:uid="{00000000-0005-0000-0000-0000E6060000}"/>
    <cellStyle name="Normal 2 2 2 2 4 2 2" xfId="5034" xr:uid="{00000000-0005-0000-0000-0000E7060000}"/>
    <cellStyle name="Normal 2 2 2 2 4 3" xfId="4555" xr:uid="{00000000-0005-0000-0000-0000E8060000}"/>
    <cellStyle name="Normal 2 2 2 2 5" xfId="1350" xr:uid="{00000000-0005-0000-0000-0000E9060000}"/>
    <cellStyle name="Normal 2 2 2 2 5 2" xfId="4112" xr:uid="{00000000-0005-0000-0000-0000EA060000}"/>
    <cellStyle name="Normal 2 2 2 2 5 2 2" xfId="5035" xr:uid="{00000000-0005-0000-0000-0000EB060000}"/>
    <cellStyle name="Normal 2 2 2 2 5 3" xfId="4556" xr:uid="{00000000-0005-0000-0000-0000EC060000}"/>
    <cellStyle name="Normal 2 2 2 2 6" xfId="1351" xr:uid="{00000000-0005-0000-0000-0000ED060000}"/>
    <cellStyle name="Normal 2 2 2 2 6 2" xfId="4113" xr:uid="{00000000-0005-0000-0000-0000EE060000}"/>
    <cellStyle name="Normal 2 2 2 2 6 2 2" xfId="5036" xr:uid="{00000000-0005-0000-0000-0000EF060000}"/>
    <cellStyle name="Normal 2 2 2 2 6 3" xfId="4557" xr:uid="{00000000-0005-0000-0000-0000F0060000}"/>
    <cellStyle name="Normal 2 2 2 2 7" xfId="4108" xr:uid="{00000000-0005-0000-0000-0000F1060000}"/>
    <cellStyle name="Normal 2 2 2 2 7 2" xfId="5031" xr:uid="{00000000-0005-0000-0000-0000F2060000}"/>
    <cellStyle name="Normal 2 2 2 2 8" xfId="4552" xr:uid="{00000000-0005-0000-0000-0000F3060000}"/>
    <cellStyle name="Normal 2 2 2 3" xfId="1352" xr:uid="{00000000-0005-0000-0000-0000F4060000}"/>
    <cellStyle name="Normal 2 2 2 3 2" xfId="4418" xr:uid="{00000000-0005-0000-0000-0000F5060000}"/>
    <cellStyle name="Normal 2 2 2 3 2 2" xfId="4954" xr:uid="{00000000-0005-0000-0000-0000F6060000}"/>
    <cellStyle name="Normal 2 2 2 4" xfId="1353" xr:uid="{00000000-0005-0000-0000-0000F7060000}"/>
    <cellStyle name="Normal 2 2 2 5" xfId="1354" xr:uid="{00000000-0005-0000-0000-0000F8060000}"/>
    <cellStyle name="Normal 2 2 2 6" xfId="1355" xr:uid="{00000000-0005-0000-0000-0000F9060000}"/>
    <cellStyle name="Normal 2 2 2 7" xfId="1356" xr:uid="{00000000-0005-0000-0000-0000FA060000}"/>
    <cellStyle name="Normal 2 2 2 8" xfId="1357" xr:uid="{00000000-0005-0000-0000-0000FB060000}"/>
    <cellStyle name="Normal 2 2 2 9" xfId="1358" xr:uid="{00000000-0005-0000-0000-0000FC060000}"/>
    <cellStyle name="Normal 2 2 3" xfId="1359" xr:uid="{00000000-0005-0000-0000-0000FD060000}"/>
    <cellStyle name="Normal 2 2 3 10" xfId="1360" xr:uid="{00000000-0005-0000-0000-0000FE060000}"/>
    <cellStyle name="Normal 2 2 3 10 2" xfId="4115" xr:uid="{00000000-0005-0000-0000-0000FF060000}"/>
    <cellStyle name="Normal 2 2 3 10 2 2" xfId="5038" xr:uid="{00000000-0005-0000-0000-000000070000}"/>
    <cellStyle name="Normal 2 2 3 10 3" xfId="4559" xr:uid="{00000000-0005-0000-0000-000001070000}"/>
    <cellStyle name="Normal 2 2 3 11" xfId="1361" xr:uid="{00000000-0005-0000-0000-000002070000}"/>
    <cellStyle name="Normal 2 2 3 11 2" xfId="4116" xr:uid="{00000000-0005-0000-0000-000003070000}"/>
    <cellStyle name="Normal 2 2 3 11 2 2" xfId="5039" xr:uid="{00000000-0005-0000-0000-000004070000}"/>
    <cellStyle name="Normal 2 2 3 11 3" xfId="4560" xr:uid="{00000000-0005-0000-0000-000005070000}"/>
    <cellStyle name="Normal 2 2 3 12" xfId="1362" xr:uid="{00000000-0005-0000-0000-000006070000}"/>
    <cellStyle name="Normal 2 2 3 12 2" xfId="4117" xr:uid="{00000000-0005-0000-0000-000007070000}"/>
    <cellStyle name="Normal 2 2 3 12 2 2" xfId="5040" xr:uid="{00000000-0005-0000-0000-000008070000}"/>
    <cellStyle name="Normal 2 2 3 12 3" xfId="4561" xr:uid="{00000000-0005-0000-0000-000009070000}"/>
    <cellStyle name="Normal 2 2 3 13" xfId="4114" xr:uid="{00000000-0005-0000-0000-00000A070000}"/>
    <cellStyle name="Normal 2 2 3 13 2" xfId="5037" xr:uid="{00000000-0005-0000-0000-00000B070000}"/>
    <cellStyle name="Normal 2 2 3 14" xfId="4558" xr:uid="{00000000-0005-0000-0000-00000C070000}"/>
    <cellStyle name="Normal 2 2 3 2" xfId="1363" xr:uid="{00000000-0005-0000-0000-00000D070000}"/>
    <cellStyle name="Normal 2 2 3 2 2" xfId="4413" xr:uid="{00000000-0005-0000-0000-00000E070000}"/>
    <cellStyle name="Normal 2 2 3 2 2 2" xfId="4915" xr:uid="{00000000-0005-0000-0000-00000F070000}"/>
    <cellStyle name="Normal 2 2 3 3" xfId="1364" xr:uid="{00000000-0005-0000-0000-000010070000}"/>
    <cellStyle name="Normal 2 2 3 4" xfId="1365" xr:uid="{00000000-0005-0000-0000-000011070000}"/>
    <cellStyle name="Normal 2 2 3 5" xfId="1366" xr:uid="{00000000-0005-0000-0000-000012070000}"/>
    <cellStyle name="Normal 2 2 3 6" xfId="1367" xr:uid="{00000000-0005-0000-0000-000013070000}"/>
    <cellStyle name="Normal 2 2 3 7" xfId="1368" xr:uid="{00000000-0005-0000-0000-000014070000}"/>
    <cellStyle name="Normal 2 2 3 8" xfId="1369" xr:uid="{00000000-0005-0000-0000-000015070000}"/>
    <cellStyle name="Normal 2 2 3 8 2" xfId="4118" xr:uid="{00000000-0005-0000-0000-000016070000}"/>
    <cellStyle name="Normal 2 2 3 8 2 2" xfId="5041" xr:uid="{00000000-0005-0000-0000-000017070000}"/>
    <cellStyle name="Normal 2 2 3 8 3" xfId="4562" xr:uid="{00000000-0005-0000-0000-000018070000}"/>
    <cellStyle name="Normal 2 2 3 9" xfId="1370" xr:uid="{00000000-0005-0000-0000-000019070000}"/>
    <cellStyle name="Normal 2 2 3 9 2" xfId="4119" xr:uid="{00000000-0005-0000-0000-00001A070000}"/>
    <cellStyle name="Normal 2 2 3 9 2 2" xfId="5042" xr:uid="{00000000-0005-0000-0000-00001B070000}"/>
    <cellStyle name="Normal 2 2 3 9 3" xfId="4563" xr:uid="{00000000-0005-0000-0000-00001C070000}"/>
    <cellStyle name="Normal 2 2 4" xfId="1371" xr:uid="{00000000-0005-0000-0000-00001D070000}"/>
    <cellStyle name="Normal 2 2 4 2" xfId="1372" xr:uid="{00000000-0005-0000-0000-00001E070000}"/>
    <cellStyle name="Normal 2 2 4 2 2" xfId="4121" xr:uid="{00000000-0005-0000-0000-00001F070000}"/>
    <cellStyle name="Normal 2 2 4 2 2 2" xfId="5044" xr:uid="{00000000-0005-0000-0000-000020070000}"/>
    <cellStyle name="Normal 2 2 4 2 3" xfId="4565" xr:uid="{00000000-0005-0000-0000-000021070000}"/>
    <cellStyle name="Normal 2 2 4 3" xfId="1373" xr:uid="{00000000-0005-0000-0000-000022070000}"/>
    <cellStyle name="Normal 2 2 4 3 2" xfId="4122" xr:uid="{00000000-0005-0000-0000-000023070000}"/>
    <cellStyle name="Normal 2 2 4 3 2 2" xfId="5045" xr:uid="{00000000-0005-0000-0000-000024070000}"/>
    <cellStyle name="Normal 2 2 4 3 3" xfId="4566" xr:uid="{00000000-0005-0000-0000-000025070000}"/>
    <cellStyle name="Normal 2 2 4 4" xfId="1374" xr:uid="{00000000-0005-0000-0000-000026070000}"/>
    <cellStyle name="Normal 2 2 4 4 2" xfId="4123" xr:uid="{00000000-0005-0000-0000-000027070000}"/>
    <cellStyle name="Normal 2 2 4 4 2 2" xfId="5046" xr:uid="{00000000-0005-0000-0000-000028070000}"/>
    <cellStyle name="Normal 2 2 4 4 3" xfId="4567" xr:uid="{00000000-0005-0000-0000-000029070000}"/>
    <cellStyle name="Normal 2 2 4 5" xfId="1375" xr:uid="{00000000-0005-0000-0000-00002A070000}"/>
    <cellStyle name="Normal 2 2 4 5 2" xfId="4124" xr:uid="{00000000-0005-0000-0000-00002B070000}"/>
    <cellStyle name="Normal 2 2 4 5 2 2" xfId="5047" xr:uid="{00000000-0005-0000-0000-00002C070000}"/>
    <cellStyle name="Normal 2 2 4 5 3" xfId="4568" xr:uid="{00000000-0005-0000-0000-00002D070000}"/>
    <cellStyle name="Normal 2 2 4 6" xfId="1376" xr:uid="{00000000-0005-0000-0000-00002E070000}"/>
    <cellStyle name="Normal 2 2 4 6 2" xfId="4125" xr:uid="{00000000-0005-0000-0000-00002F070000}"/>
    <cellStyle name="Normal 2 2 4 6 2 2" xfId="5048" xr:uid="{00000000-0005-0000-0000-000030070000}"/>
    <cellStyle name="Normal 2 2 4 6 3" xfId="4569" xr:uid="{00000000-0005-0000-0000-000031070000}"/>
    <cellStyle name="Normal 2 2 4 7" xfId="4120" xr:uid="{00000000-0005-0000-0000-000032070000}"/>
    <cellStyle name="Normal 2 2 4 7 2" xfId="5043" xr:uid="{00000000-0005-0000-0000-000033070000}"/>
    <cellStyle name="Normal 2 2 4 8" xfId="4564" xr:uid="{00000000-0005-0000-0000-000034070000}"/>
    <cellStyle name="Normal 2 2 5" xfId="1377" xr:uid="{00000000-0005-0000-0000-000035070000}"/>
    <cellStyle name="Normal 2 2 5 2" xfId="1378" xr:uid="{00000000-0005-0000-0000-000036070000}"/>
    <cellStyle name="Normal 2 2 5 2 2" xfId="4127" xr:uid="{00000000-0005-0000-0000-000037070000}"/>
    <cellStyle name="Normal 2 2 5 2 2 2" xfId="5050" xr:uid="{00000000-0005-0000-0000-000038070000}"/>
    <cellStyle name="Normal 2 2 5 2 3" xfId="4571" xr:uid="{00000000-0005-0000-0000-000039070000}"/>
    <cellStyle name="Normal 2 2 5 3" xfId="1379" xr:uid="{00000000-0005-0000-0000-00003A070000}"/>
    <cellStyle name="Normal 2 2 5 3 2" xfId="4128" xr:uid="{00000000-0005-0000-0000-00003B070000}"/>
    <cellStyle name="Normal 2 2 5 3 2 2" xfId="5051" xr:uid="{00000000-0005-0000-0000-00003C070000}"/>
    <cellStyle name="Normal 2 2 5 3 3" xfId="4572" xr:uid="{00000000-0005-0000-0000-00003D070000}"/>
    <cellStyle name="Normal 2 2 5 4" xfId="1380" xr:uid="{00000000-0005-0000-0000-00003E070000}"/>
    <cellStyle name="Normal 2 2 5 4 2" xfId="4129" xr:uid="{00000000-0005-0000-0000-00003F070000}"/>
    <cellStyle name="Normal 2 2 5 4 2 2" xfId="5052" xr:uid="{00000000-0005-0000-0000-000040070000}"/>
    <cellStyle name="Normal 2 2 5 4 3" xfId="4573" xr:uid="{00000000-0005-0000-0000-000041070000}"/>
    <cellStyle name="Normal 2 2 5 5" xfId="1381" xr:uid="{00000000-0005-0000-0000-000042070000}"/>
    <cellStyle name="Normal 2 2 5 5 2" xfId="4130" xr:uid="{00000000-0005-0000-0000-000043070000}"/>
    <cellStyle name="Normal 2 2 5 5 2 2" xfId="5053" xr:uid="{00000000-0005-0000-0000-000044070000}"/>
    <cellStyle name="Normal 2 2 5 5 3" xfId="4574" xr:uid="{00000000-0005-0000-0000-000045070000}"/>
    <cellStyle name="Normal 2 2 5 6" xfId="1382" xr:uid="{00000000-0005-0000-0000-000046070000}"/>
    <cellStyle name="Normal 2 2 5 6 2" xfId="4131" xr:uid="{00000000-0005-0000-0000-000047070000}"/>
    <cellStyle name="Normal 2 2 5 6 2 2" xfId="5054" xr:uid="{00000000-0005-0000-0000-000048070000}"/>
    <cellStyle name="Normal 2 2 5 6 3" xfId="4575" xr:uid="{00000000-0005-0000-0000-000049070000}"/>
    <cellStyle name="Normal 2 2 5 7" xfId="4126" xr:uid="{00000000-0005-0000-0000-00004A070000}"/>
    <cellStyle name="Normal 2 2 5 7 2" xfId="5049" xr:uid="{00000000-0005-0000-0000-00004B070000}"/>
    <cellStyle name="Normal 2 2 5 8" xfId="4570" xr:uid="{00000000-0005-0000-0000-00004C070000}"/>
    <cellStyle name="Normal 2 2 6" xfId="1383" xr:uid="{00000000-0005-0000-0000-00004D070000}"/>
    <cellStyle name="Normal 2 2 6 2" xfId="1384" xr:uid="{00000000-0005-0000-0000-00004E070000}"/>
    <cellStyle name="Normal 2 2 6 2 2" xfId="4133" xr:uid="{00000000-0005-0000-0000-00004F070000}"/>
    <cellStyle name="Normal 2 2 6 2 2 2" xfId="5056" xr:uid="{00000000-0005-0000-0000-000050070000}"/>
    <cellStyle name="Normal 2 2 6 2 3" xfId="4577" xr:uid="{00000000-0005-0000-0000-000051070000}"/>
    <cellStyle name="Normal 2 2 6 3" xfId="1385" xr:uid="{00000000-0005-0000-0000-000052070000}"/>
    <cellStyle name="Normal 2 2 6 3 2" xfId="4134" xr:uid="{00000000-0005-0000-0000-000053070000}"/>
    <cellStyle name="Normal 2 2 6 3 2 2" xfId="5057" xr:uid="{00000000-0005-0000-0000-000054070000}"/>
    <cellStyle name="Normal 2 2 6 3 3" xfId="4578" xr:uid="{00000000-0005-0000-0000-000055070000}"/>
    <cellStyle name="Normal 2 2 6 4" xfId="1386" xr:uid="{00000000-0005-0000-0000-000056070000}"/>
    <cellStyle name="Normal 2 2 6 4 2" xfId="4135" xr:uid="{00000000-0005-0000-0000-000057070000}"/>
    <cellStyle name="Normal 2 2 6 4 2 2" xfId="5058" xr:uid="{00000000-0005-0000-0000-000058070000}"/>
    <cellStyle name="Normal 2 2 6 4 3" xfId="4579" xr:uid="{00000000-0005-0000-0000-000059070000}"/>
    <cellStyle name="Normal 2 2 6 5" xfId="1387" xr:uid="{00000000-0005-0000-0000-00005A070000}"/>
    <cellStyle name="Normal 2 2 6 5 2" xfId="4136" xr:uid="{00000000-0005-0000-0000-00005B070000}"/>
    <cellStyle name="Normal 2 2 6 5 2 2" xfId="5059" xr:uid="{00000000-0005-0000-0000-00005C070000}"/>
    <cellStyle name="Normal 2 2 6 5 3" xfId="4580" xr:uid="{00000000-0005-0000-0000-00005D070000}"/>
    <cellStyle name="Normal 2 2 6 6" xfId="1388" xr:uid="{00000000-0005-0000-0000-00005E070000}"/>
    <cellStyle name="Normal 2 2 6 6 2" xfId="4137" xr:uid="{00000000-0005-0000-0000-00005F070000}"/>
    <cellStyle name="Normal 2 2 6 6 2 2" xfId="5060" xr:uid="{00000000-0005-0000-0000-000060070000}"/>
    <cellStyle name="Normal 2 2 6 6 3" xfId="4581" xr:uid="{00000000-0005-0000-0000-000061070000}"/>
    <cellStyle name="Normal 2 2 6 7" xfId="4132" xr:uid="{00000000-0005-0000-0000-000062070000}"/>
    <cellStyle name="Normal 2 2 6 7 2" xfId="5055" xr:uid="{00000000-0005-0000-0000-000063070000}"/>
    <cellStyle name="Normal 2 2 6 8" xfId="4576" xr:uid="{00000000-0005-0000-0000-000064070000}"/>
    <cellStyle name="Normal 2 2 7" xfId="1389" xr:uid="{00000000-0005-0000-0000-000065070000}"/>
    <cellStyle name="Normal 2 2 7 2" xfId="1390" xr:uid="{00000000-0005-0000-0000-000066070000}"/>
    <cellStyle name="Normal 2 2 7 2 2" xfId="4139" xr:uid="{00000000-0005-0000-0000-000067070000}"/>
    <cellStyle name="Normal 2 2 7 2 2 2" xfId="5062" xr:uid="{00000000-0005-0000-0000-000068070000}"/>
    <cellStyle name="Normal 2 2 7 2 3" xfId="4583" xr:uid="{00000000-0005-0000-0000-000069070000}"/>
    <cellStyle name="Normal 2 2 7 3" xfId="1391" xr:uid="{00000000-0005-0000-0000-00006A070000}"/>
    <cellStyle name="Normal 2 2 7 3 2" xfId="4140" xr:uid="{00000000-0005-0000-0000-00006B070000}"/>
    <cellStyle name="Normal 2 2 7 3 2 2" xfId="5063" xr:uid="{00000000-0005-0000-0000-00006C070000}"/>
    <cellStyle name="Normal 2 2 7 3 3" xfId="4584" xr:uid="{00000000-0005-0000-0000-00006D070000}"/>
    <cellStyle name="Normal 2 2 7 4" xfId="1392" xr:uid="{00000000-0005-0000-0000-00006E070000}"/>
    <cellStyle name="Normal 2 2 7 4 2" xfId="4141" xr:uid="{00000000-0005-0000-0000-00006F070000}"/>
    <cellStyle name="Normal 2 2 7 4 2 2" xfId="5064" xr:uid="{00000000-0005-0000-0000-000070070000}"/>
    <cellStyle name="Normal 2 2 7 4 3" xfId="4585" xr:uid="{00000000-0005-0000-0000-000071070000}"/>
    <cellStyle name="Normal 2 2 7 5" xfId="1393" xr:uid="{00000000-0005-0000-0000-000072070000}"/>
    <cellStyle name="Normal 2 2 7 5 2" xfId="4142" xr:uid="{00000000-0005-0000-0000-000073070000}"/>
    <cellStyle name="Normal 2 2 7 5 2 2" xfId="5065" xr:uid="{00000000-0005-0000-0000-000074070000}"/>
    <cellStyle name="Normal 2 2 7 5 3" xfId="4586" xr:uid="{00000000-0005-0000-0000-000075070000}"/>
    <cellStyle name="Normal 2 2 7 6" xfId="1394" xr:uid="{00000000-0005-0000-0000-000076070000}"/>
    <cellStyle name="Normal 2 2 7 6 2" xfId="4143" xr:uid="{00000000-0005-0000-0000-000077070000}"/>
    <cellStyle name="Normal 2 2 7 6 2 2" xfId="5066" xr:uid="{00000000-0005-0000-0000-000078070000}"/>
    <cellStyle name="Normal 2 2 7 6 3" xfId="4587" xr:uid="{00000000-0005-0000-0000-000079070000}"/>
    <cellStyle name="Normal 2 2 7 7" xfId="4138" xr:uid="{00000000-0005-0000-0000-00007A070000}"/>
    <cellStyle name="Normal 2 2 7 7 2" xfId="5061" xr:uid="{00000000-0005-0000-0000-00007B070000}"/>
    <cellStyle name="Normal 2 2 7 8" xfId="4582" xr:uid="{00000000-0005-0000-0000-00007C070000}"/>
    <cellStyle name="Normal 2 2 8" xfId="1395" xr:uid="{00000000-0005-0000-0000-00007D070000}"/>
    <cellStyle name="Normal 2 2 8 2" xfId="1396" xr:uid="{00000000-0005-0000-0000-00007E070000}"/>
    <cellStyle name="Normal 2 2 8 2 2" xfId="4145" xr:uid="{00000000-0005-0000-0000-00007F070000}"/>
    <cellStyle name="Normal 2 2 8 2 2 2" xfId="5068" xr:uid="{00000000-0005-0000-0000-000080070000}"/>
    <cellStyle name="Normal 2 2 8 2 3" xfId="4589" xr:uid="{00000000-0005-0000-0000-000081070000}"/>
    <cellStyle name="Normal 2 2 8 3" xfId="1397" xr:uid="{00000000-0005-0000-0000-000082070000}"/>
    <cellStyle name="Normal 2 2 8 3 2" xfId="4146" xr:uid="{00000000-0005-0000-0000-000083070000}"/>
    <cellStyle name="Normal 2 2 8 3 2 2" xfId="5069" xr:uid="{00000000-0005-0000-0000-000084070000}"/>
    <cellStyle name="Normal 2 2 8 3 3" xfId="4590" xr:uid="{00000000-0005-0000-0000-000085070000}"/>
    <cellStyle name="Normal 2 2 8 4" xfId="1398" xr:uid="{00000000-0005-0000-0000-000086070000}"/>
    <cellStyle name="Normal 2 2 8 4 2" xfId="4147" xr:uid="{00000000-0005-0000-0000-000087070000}"/>
    <cellStyle name="Normal 2 2 8 4 2 2" xfId="5070" xr:uid="{00000000-0005-0000-0000-000088070000}"/>
    <cellStyle name="Normal 2 2 8 4 3" xfId="4591" xr:uid="{00000000-0005-0000-0000-000089070000}"/>
    <cellStyle name="Normal 2 2 8 5" xfId="1399" xr:uid="{00000000-0005-0000-0000-00008A070000}"/>
    <cellStyle name="Normal 2 2 8 5 2" xfId="4148" xr:uid="{00000000-0005-0000-0000-00008B070000}"/>
    <cellStyle name="Normal 2 2 8 5 2 2" xfId="5071" xr:uid="{00000000-0005-0000-0000-00008C070000}"/>
    <cellStyle name="Normal 2 2 8 5 3" xfId="4592" xr:uid="{00000000-0005-0000-0000-00008D070000}"/>
    <cellStyle name="Normal 2 2 8 6" xfId="1400" xr:uid="{00000000-0005-0000-0000-00008E070000}"/>
    <cellStyle name="Normal 2 2 8 6 2" xfId="4149" xr:uid="{00000000-0005-0000-0000-00008F070000}"/>
    <cellStyle name="Normal 2 2 8 6 2 2" xfId="5072" xr:uid="{00000000-0005-0000-0000-000090070000}"/>
    <cellStyle name="Normal 2 2 8 6 3" xfId="4593" xr:uid="{00000000-0005-0000-0000-000091070000}"/>
    <cellStyle name="Normal 2 2 8 7" xfId="4144" xr:uid="{00000000-0005-0000-0000-000092070000}"/>
    <cellStyle name="Normal 2 2 8 7 2" xfId="5067" xr:uid="{00000000-0005-0000-0000-000093070000}"/>
    <cellStyle name="Normal 2 2 8 8" xfId="4588" xr:uid="{00000000-0005-0000-0000-000094070000}"/>
    <cellStyle name="Normal 2 2 9" xfId="1401" xr:uid="{00000000-0005-0000-0000-000095070000}"/>
    <cellStyle name="Normal 2 2 9 2" xfId="1402" xr:uid="{00000000-0005-0000-0000-000096070000}"/>
    <cellStyle name="Normal 2 2 9 2 2" xfId="4151" xr:uid="{00000000-0005-0000-0000-000097070000}"/>
    <cellStyle name="Normal 2 2 9 2 2 2" xfId="5074" xr:uid="{00000000-0005-0000-0000-000098070000}"/>
    <cellStyle name="Normal 2 2 9 2 3" xfId="4595" xr:uid="{00000000-0005-0000-0000-000099070000}"/>
    <cellStyle name="Normal 2 2 9 3" xfId="1403" xr:uid="{00000000-0005-0000-0000-00009A070000}"/>
    <cellStyle name="Normal 2 2 9 3 2" xfId="4152" xr:uid="{00000000-0005-0000-0000-00009B070000}"/>
    <cellStyle name="Normal 2 2 9 3 2 2" xfId="5075" xr:uid="{00000000-0005-0000-0000-00009C070000}"/>
    <cellStyle name="Normal 2 2 9 3 3" xfId="4596" xr:uid="{00000000-0005-0000-0000-00009D070000}"/>
    <cellStyle name="Normal 2 2 9 4" xfId="1404" xr:uid="{00000000-0005-0000-0000-00009E070000}"/>
    <cellStyle name="Normal 2 2 9 4 2" xfId="4153" xr:uid="{00000000-0005-0000-0000-00009F070000}"/>
    <cellStyle name="Normal 2 2 9 4 2 2" xfId="5076" xr:uid="{00000000-0005-0000-0000-0000A0070000}"/>
    <cellStyle name="Normal 2 2 9 4 3" xfId="4597" xr:uid="{00000000-0005-0000-0000-0000A1070000}"/>
    <cellStyle name="Normal 2 2 9 5" xfId="1405" xr:uid="{00000000-0005-0000-0000-0000A2070000}"/>
    <cellStyle name="Normal 2 2 9 5 2" xfId="4154" xr:uid="{00000000-0005-0000-0000-0000A3070000}"/>
    <cellStyle name="Normal 2 2 9 5 2 2" xfId="5077" xr:uid="{00000000-0005-0000-0000-0000A4070000}"/>
    <cellStyle name="Normal 2 2 9 5 3" xfId="4598" xr:uid="{00000000-0005-0000-0000-0000A5070000}"/>
    <cellStyle name="Normal 2 2 9 6" xfId="1406" xr:uid="{00000000-0005-0000-0000-0000A6070000}"/>
    <cellStyle name="Normal 2 2 9 6 2" xfId="4155" xr:uid="{00000000-0005-0000-0000-0000A7070000}"/>
    <cellStyle name="Normal 2 2 9 6 2 2" xfId="5078" xr:uid="{00000000-0005-0000-0000-0000A8070000}"/>
    <cellStyle name="Normal 2 2 9 6 3" xfId="4599" xr:uid="{00000000-0005-0000-0000-0000A9070000}"/>
    <cellStyle name="Normal 2 2 9 7" xfId="4150" xr:uid="{00000000-0005-0000-0000-0000AA070000}"/>
    <cellStyle name="Normal 2 2 9 7 2" xfId="5073" xr:uid="{00000000-0005-0000-0000-0000AB070000}"/>
    <cellStyle name="Normal 2 2 9 8" xfId="4594" xr:uid="{00000000-0005-0000-0000-0000AC070000}"/>
    <cellStyle name="Normal 2 20" xfId="4442" xr:uid="{00000000-0005-0000-0000-0000AD070000}"/>
    <cellStyle name="Normal 2 3" xfId="1407" xr:uid="{00000000-0005-0000-0000-0000AE070000}"/>
    <cellStyle name="Normal 2 3 10" xfId="1408" xr:uid="{00000000-0005-0000-0000-0000AF070000}"/>
    <cellStyle name="Normal 2 3 11" xfId="1409" xr:uid="{00000000-0005-0000-0000-0000B0070000}"/>
    <cellStyle name="Normal 2 3 11 2" xfId="4156" xr:uid="{00000000-0005-0000-0000-0000B1070000}"/>
    <cellStyle name="Normal 2 3 11 2 2" xfId="5079" xr:uid="{00000000-0005-0000-0000-0000B2070000}"/>
    <cellStyle name="Normal 2 3 11 3" xfId="4600" xr:uid="{00000000-0005-0000-0000-0000B3070000}"/>
    <cellStyle name="Normal 2 3 12" xfId="1410" xr:uid="{00000000-0005-0000-0000-0000B4070000}"/>
    <cellStyle name="Normal 2 3 12 2" xfId="4157" xr:uid="{00000000-0005-0000-0000-0000B5070000}"/>
    <cellStyle name="Normal 2 3 12 2 2" xfId="5080" xr:uid="{00000000-0005-0000-0000-0000B6070000}"/>
    <cellStyle name="Normal 2 3 12 3" xfId="4601" xr:uid="{00000000-0005-0000-0000-0000B7070000}"/>
    <cellStyle name="Normal 2 3 13" xfId="1411" xr:uid="{00000000-0005-0000-0000-0000B8070000}"/>
    <cellStyle name="Normal 2 3 13 2" xfId="4158" xr:uid="{00000000-0005-0000-0000-0000B9070000}"/>
    <cellStyle name="Normal 2 3 13 2 2" xfId="5081" xr:uid="{00000000-0005-0000-0000-0000BA070000}"/>
    <cellStyle name="Normal 2 3 13 3" xfId="4602" xr:uid="{00000000-0005-0000-0000-0000BB070000}"/>
    <cellStyle name="Normal 2 3 14" xfId="1412" xr:uid="{00000000-0005-0000-0000-0000BC070000}"/>
    <cellStyle name="Normal 2 3 14 2" xfId="4159" xr:uid="{00000000-0005-0000-0000-0000BD070000}"/>
    <cellStyle name="Normal 2 3 14 2 2" xfId="5082" xr:uid="{00000000-0005-0000-0000-0000BE070000}"/>
    <cellStyle name="Normal 2 3 14 3" xfId="4603" xr:uid="{00000000-0005-0000-0000-0000BF070000}"/>
    <cellStyle name="Normal 2 3 15" xfId="1413" xr:uid="{00000000-0005-0000-0000-0000C0070000}"/>
    <cellStyle name="Normal 2 3 15 2" xfId="4160" xr:uid="{00000000-0005-0000-0000-0000C1070000}"/>
    <cellStyle name="Normal 2 3 15 2 2" xfId="5083" xr:uid="{00000000-0005-0000-0000-0000C2070000}"/>
    <cellStyle name="Normal 2 3 15 3" xfId="4604" xr:uid="{00000000-0005-0000-0000-0000C3070000}"/>
    <cellStyle name="Normal 2 3 2" xfId="1414" xr:uid="{00000000-0005-0000-0000-0000C4070000}"/>
    <cellStyle name="Normal 2 3 2 2" xfId="1415" xr:uid="{00000000-0005-0000-0000-0000C5070000}"/>
    <cellStyle name="Normal 2 3 2 3" xfId="1416" xr:uid="{00000000-0005-0000-0000-0000C6070000}"/>
    <cellStyle name="Normal 2 3 2 4" xfId="1417" xr:uid="{00000000-0005-0000-0000-0000C7070000}"/>
    <cellStyle name="Normal 2 3 2 4 2" xfId="4161" xr:uid="{00000000-0005-0000-0000-0000C8070000}"/>
    <cellStyle name="Normal 2 3 2 4 2 2" xfId="5084" xr:uid="{00000000-0005-0000-0000-0000C9070000}"/>
    <cellStyle name="Normal 2 3 2 4 3" xfId="4605" xr:uid="{00000000-0005-0000-0000-0000CA070000}"/>
    <cellStyle name="Normal 2 3 2 5" xfId="1418" xr:uid="{00000000-0005-0000-0000-0000CB070000}"/>
    <cellStyle name="Normal 2 3 2 5 2" xfId="4162" xr:uid="{00000000-0005-0000-0000-0000CC070000}"/>
    <cellStyle name="Normal 2 3 2 5 2 2" xfId="5085" xr:uid="{00000000-0005-0000-0000-0000CD070000}"/>
    <cellStyle name="Normal 2 3 2 5 3" xfId="4606" xr:uid="{00000000-0005-0000-0000-0000CE070000}"/>
    <cellStyle name="Normal 2 3 2 6" xfId="1419" xr:uid="{00000000-0005-0000-0000-0000CF070000}"/>
    <cellStyle name="Normal 2 3 2 6 2" xfId="4163" xr:uid="{00000000-0005-0000-0000-0000D0070000}"/>
    <cellStyle name="Normal 2 3 2 6 2 2" xfId="5086" xr:uid="{00000000-0005-0000-0000-0000D1070000}"/>
    <cellStyle name="Normal 2 3 2 6 3" xfId="4607" xr:uid="{00000000-0005-0000-0000-0000D2070000}"/>
    <cellStyle name="Normal 2 3 2 7" xfId="4382" xr:uid="{00000000-0005-0000-0000-0000D3070000}"/>
    <cellStyle name="Normal 2 3 3" xfId="1420" xr:uid="{00000000-0005-0000-0000-0000D4070000}"/>
    <cellStyle name="Normal 2 3 3 2" xfId="1421" xr:uid="{00000000-0005-0000-0000-0000D5070000}"/>
    <cellStyle name="Normal 2 3 3 2 2" xfId="4164" xr:uid="{00000000-0005-0000-0000-0000D6070000}"/>
    <cellStyle name="Normal 2 3 3 2 2 2" xfId="5087" xr:uid="{00000000-0005-0000-0000-0000D7070000}"/>
    <cellStyle name="Normal 2 3 3 2 3" xfId="4608" xr:uid="{00000000-0005-0000-0000-0000D8070000}"/>
    <cellStyle name="Normal 2 3 3 3" xfId="1422" xr:uid="{00000000-0005-0000-0000-0000D9070000}"/>
    <cellStyle name="Normal 2 3 3 3 2" xfId="4165" xr:uid="{00000000-0005-0000-0000-0000DA070000}"/>
    <cellStyle name="Normal 2 3 3 3 2 2" xfId="5088" xr:uid="{00000000-0005-0000-0000-0000DB070000}"/>
    <cellStyle name="Normal 2 3 3 3 3" xfId="4609" xr:uid="{00000000-0005-0000-0000-0000DC070000}"/>
    <cellStyle name="Normal 2 3 3 4" xfId="1423" xr:uid="{00000000-0005-0000-0000-0000DD070000}"/>
    <cellStyle name="Normal 2 3 3 4 2" xfId="4166" xr:uid="{00000000-0005-0000-0000-0000DE070000}"/>
    <cellStyle name="Normal 2 3 3 4 2 2" xfId="5089" xr:uid="{00000000-0005-0000-0000-0000DF070000}"/>
    <cellStyle name="Normal 2 3 3 4 3" xfId="4610" xr:uid="{00000000-0005-0000-0000-0000E0070000}"/>
    <cellStyle name="Normal 2 3 3 5" xfId="1424" xr:uid="{00000000-0005-0000-0000-0000E1070000}"/>
    <cellStyle name="Normal 2 3 3 5 2" xfId="4167" xr:uid="{00000000-0005-0000-0000-0000E2070000}"/>
    <cellStyle name="Normal 2 3 3 5 2 2" xfId="5090" xr:uid="{00000000-0005-0000-0000-0000E3070000}"/>
    <cellStyle name="Normal 2 3 3 5 3" xfId="4611" xr:uid="{00000000-0005-0000-0000-0000E4070000}"/>
    <cellStyle name="Normal 2 3 3 6" xfId="1425" xr:uid="{00000000-0005-0000-0000-0000E5070000}"/>
    <cellStyle name="Normal 2 3 3 6 2" xfId="4168" xr:uid="{00000000-0005-0000-0000-0000E6070000}"/>
    <cellStyle name="Normal 2 3 3 6 2 2" xfId="5091" xr:uid="{00000000-0005-0000-0000-0000E7070000}"/>
    <cellStyle name="Normal 2 3 3 6 3" xfId="4612" xr:uid="{00000000-0005-0000-0000-0000E8070000}"/>
    <cellStyle name="Normal 2 3 4" xfId="1426" xr:uid="{00000000-0005-0000-0000-0000E9070000}"/>
    <cellStyle name="Normal 2 3 4 2" xfId="1427" xr:uid="{00000000-0005-0000-0000-0000EA070000}"/>
    <cellStyle name="Normal 2 3 4 2 2" xfId="4170" xr:uid="{00000000-0005-0000-0000-0000EB070000}"/>
    <cellStyle name="Normal 2 3 4 2 2 2" xfId="5093" xr:uid="{00000000-0005-0000-0000-0000EC070000}"/>
    <cellStyle name="Normal 2 3 4 2 3" xfId="4614" xr:uid="{00000000-0005-0000-0000-0000ED070000}"/>
    <cellStyle name="Normal 2 3 4 3" xfId="1428" xr:uid="{00000000-0005-0000-0000-0000EE070000}"/>
    <cellStyle name="Normal 2 3 4 3 2" xfId="4171" xr:uid="{00000000-0005-0000-0000-0000EF070000}"/>
    <cellStyle name="Normal 2 3 4 3 2 2" xfId="5094" xr:uid="{00000000-0005-0000-0000-0000F0070000}"/>
    <cellStyle name="Normal 2 3 4 3 3" xfId="4615" xr:uid="{00000000-0005-0000-0000-0000F1070000}"/>
    <cellStyle name="Normal 2 3 4 4" xfId="1429" xr:uid="{00000000-0005-0000-0000-0000F2070000}"/>
    <cellStyle name="Normal 2 3 4 4 2" xfId="4172" xr:uid="{00000000-0005-0000-0000-0000F3070000}"/>
    <cellStyle name="Normal 2 3 4 4 2 2" xfId="5095" xr:uid="{00000000-0005-0000-0000-0000F4070000}"/>
    <cellStyle name="Normal 2 3 4 4 3" xfId="4616" xr:uid="{00000000-0005-0000-0000-0000F5070000}"/>
    <cellStyle name="Normal 2 3 4 5" xfId="1430" xr:uid="{00000000-0005-0000-0000-0000F6070000}"/>
    <cellStyle name="Normal 2 3 4 5 2" xfId="4173" xr:uid="{00000000-0005-0000-0000-0000F7070000}"/>
    <cellStyle name="Normal 2 3 4 5 2 2" xfId="5096" xr:uid="{00000000-0005-0000-0000-0000F8070000}"/>
    <cellStyle name="Normal 2 3 4 5 3" xfId="4617" xr:uid="{00000000-0005-0000-0000-0000F9070000}"/>
    <cellStyle name="Normal 2 3 4 6" xfId="1431" xr:uid="{00000000-0005-0000-0000-0000FA070000}"/>
    <cellStyle name="Normal 2 3 4 6 2" xfId="4174" xr:uid="{00000000-0005-0000-0000-0000FB070000}"/>
    <cellStyle name="Normal 2 3 4 6 2 2" xfId="5097" xr:uid="{00000000-0005-0000-0000-0000FC070000}"/>
    <cellStyle name="Normal 2 3 4 6 3" xfId="4618" xr:uid="{00000000-0005-0000-0000-0000FD070000}"/>
    <cellStyle name="Normal 2 3 4 7" xfId="4169" xr:uid="{00000000-0005-0000-0000-0000FE070000}"/>
    <cellStyle name="Normal 2 3 4 7 2" xfId="5092" xr:uid="{00000000-0005-0000-0000-0000FF070000}"/>
    <cellStyle name="Normal 2 3 4 8" xfId="4613" xr:uid="{00000000-0005-0000-0000-000000080000}"/>
    <cellStyle name="Normal 2 3 5" xfId="1432" xr:uid="{00000000-0005-0000-0000-000001080000}"/>
    <cellStyle name="Normal 2 3 6" xfId="1433" xr:uid="{00000000-0005-0000-0000-000002080000}"/>
    <cellStyle name="Normal 2 3 7" xfId="1434" xr:uid="{00000000-0005-0000-0000-000003080000}"/>
    <cellStyle name="Normal 2 3 8" xfId="1435" xr:uid="{00000000-0005-0000-0000-000004080000}"/>
    <cellStyle name="Normal 2 3 9" xfId="1436" xr:uid="{00000000-0005-0000-0000-000005080000}"/>
    <cellStyle name="Normal 2 4" xfId="1437" xr:uid="{00000000-0005-0000-0000-000006080000}"/>
    <cellStyle name="Normal 2 4 2" xfId="1438" xr:uid="{00000000-0005-0000-0000-000007080000}"/>
    <cellStyle name="Normal 2 4 2 2" xfId="1439" xr:uid="{00000000-0005-0000-0000-000008080000}"/>
    <cellStyle name="Normal 2 4 2 2 2" xfId="4378" xr:uid="{00000000-0005-0000-0000-000009080000}"/>
    <cellStyle name="Normal 2 4 2 3" xfId="1440" xr:uid="{00000000-0005-0000-0000-00000A080000}"/>
    <cellStyle name="Normal 2 4 2 3 2" xfId="4175" xr:uid="{00000000-0005-0000-0000-00000B080000}"/>
    <cellStyle name="Normal 2 4 2 3 2 2" xfId="5098" xr:uid="{00000000-0005-0000-0000-00000C080000}"/>
    <cellStyle name="Normal 2 4 2 3 3" xfId="4619" xr:uid="{00000000-0005-0000-0000-00000D080000}"/>
    <cellStyle name="Normal 2 4 2 4" xfId="1441" xr:uid="{00000000-0005-0000-0000-00000E080000}"/>
    <cellStyle name="Normal 2 4 2 4 2" xfId="4176" xr:uid="{00000000-0005-0000-0000-00000F080000}"/>
    <cellStyle name="Normal 2 4 2 4 2 2" xfId="5099" xr:uid="{00000000-0005-0000-0000-000010080000}"/>
    <cellStyle name="Normal 2 4 2 4 3" xfId="4620" xr:uid="{00000000-0005-0000-0000-000011080000}"/>
    <cellStyle name="Normal 2 4 2 5" xfId="1442" xr:uid="{00000000-0005-0000-0000-000012080000}"/>
    <cellStyle name="Normal 2 4 2 5 2" xfId="4177" xr:uid="{00000000-0005-0000-0000-000013080000}"/>
    <cellStyle name="Normal 2 4 2 5 2 2" xfId="5100" xr:uid="{00000000-0005-0000-0000-000014080000}"/>
    <cellStyle name="Normal 2 4 2 5 3" xfId="4621" xr:uid="{00000000-0005-0000-0000-000015080000}"/>
    <cellStyle name="Normal 2 4 2 6" xfId="1443" xr:uid="{00000000-0005-0000-0000-000016080000}"/>
    <cellStyle name="Normal 2 4 2 6 2" xfId="4178" xr:uid="{00000000-0005-0000-0000-000017080000}"/>
    <cellStyle name="Normal 2 4 2 6 2 2" xfId="5101" xr:uid="{00000000-0005-0000-0000-000018080000}"/>
    <cellStyle name="Normal 2 4 2 6 3" xfId="4622" xr:uid="{00000000-0005-0000-0000-000019080000}"/>
    <cellStyle name="Normal 2 4 2 7" xfId="4414" xr:uid="{00000000-0005-0000-0000-00001A080000}"/>
    <cellStyle name="Normal 2 4 3" xfId="1444" xr:uid="{00000000-0005-0000-0000-00001B080000}"/>
    <cellStyle name="Normal 2 4 3 2" xfId="1445" xr:uid="{00000000-0005-0000-0000-00001C080000}"/>
    <cellStyle name="Normal 2 4 3 2 2" xfId="4179" xr:uid="{00000000-0005-0000-0000-00001D080000}"/>
    <cellStyle name="Normal 2 4 3 2 2 2" xfId="5102" xr:uid="{00000000-0005-0000-0000-00001E080000}"/>
    <cellStyle name="Normal 2 4 3 2 3" xfId="4623" xr:uid="{00000000-0005-0000-0000-00001F080000}"/>
    <cellStyle name="Normal 2 4 3 3" xfId="1446" xr:uid="{00000000-0005-0000-0000-000020080000}"/>
    <cellStyle name="Normal 2 4 3 3 2" xfId="4180" xr:uid="{00000000-0005-0000-0000-000021080000}"/>
    <cellStyle name="Normal 2 4 3 3 2 2" xfId="5103" xr:uid="{00000000-0005-0000-0000-000022080000}"/>
    <cellStyle name="Normal 2 4 3 3 3" xfId="4624" xr:uid="{00000000-0005-0000-0000-000023080000}"/>
    <cellStyle name="Normal 2 4 3 4" xfId="1447" xr:uid="{00000000-0005-0000-0000-000024080000}"/>
    <cellStyle name="Normal 2 4 3 4 2" xfId="4181" xr:uid="{00000000-0005-0000-0000-000025080000}"/>
    <cellStyle name="Normal 2 4 3 4 2 2" xfId="5104" xr:uid="{00000000-0005-0000-0000-000026080000}"/>
    <cellStyle name="Normal 2 4 3 4 3" xfId="4625" xr:uid="{00000000-0005-0000-0000-000027080000}"/>
    <cellStyle name="Normal 2 4 3 5" xfId="1448" xr:uid="{00000000-0005-0000-0000-000028080000}"/>
    <cellStyle name="Normal 2 4 3 5 2" xfId="4182" xr:uid="{00000000-0005-0000-0000-000029080000}"/>
    <cellStyle name="Normal 2 4 3 5 2 2" xfId="5105" xr:uid="{00000000-0005-0000-0000-00002A080000}"/>
    <cellStyle name="Normal 2 4 3 5 3" xfId="4626" xr:uid="{00000000-0005-0000-0000-00002B080000}"/>
    <cellStyle name="Normal 2 4 3 6" xfId="1449" xr:uid="{00000000-0005-0000-0000-00002C080000}"/>
    <cellStyle name="Normal 2 4 3 6 2" xfId="4183" xr:uid="{00000000-0005-0000-0000-00002D080000}"/>
    <cellStyle name="Normal 2 4 3 6 2 2" xfId="5106" xr:uid="{00000000-0005-0000-0000-00002E080000}"/>
    <cellStyle name="Normal 2 4 3 6 3" xfId="4627" xr:uid="{00000000-0005-0000-0000-00002F080000}"/>
    <cellStyle name="Normal 2 4 3 7" xfId="4381" xr:uid="{00000000-0005-0000-0000-000030080000}"/>
    <cellStyle name="Normal 2 4 4" xfId="1450" xr:uid="{00000000-0005-0000-0000-000031080000}"/>
    <cellStyle name="Normal 2 4 4 2" xfId="1451" xr:uid="{00000000-0005-0000-0000-000032080000}"/>
    <cellStyle name="Normal 2 4 4 2 2" xfId="4185" xr:uid="{00000000-0005-0000-0000-000033080000}"/>
    <cellStyle name="Normal 2 4 4 2 2 2" xfId="5108" xr:uid="{00000000-0005-0000-0000-000034080000}"/>
    <cellStyle name="Normal 2 4 4 2 3" xfId="4629" xr:uid="{00000000-0005-0000-0000-000035080000}"/>
    <cellStyle name="Normal 2 4 4 3" xfId="1452" xr:uid="{00000000-0005-0000-0000-000036080000}"/>
    <cellStyle name="Normal 2 4 4 3 2" xfId="4186" xr:uid="{00000000-0005-0000-0000-000037080000}"/>
    <cellStyle name="Normal 2 4 4 3 2 2" xfId="5109" xr:uid="{00000000-0005-0000-0000-000038080000}"/>
    <cellStyle name="Normal 2 4 4 3 3" xfId="4630" xr:uid="{00000000-0005-0000-0000-000039080000}"/>
    <cellStyle name="Normal 2 4 4 4" xfId="1453" xr:uid="{00000000-0005-0000-0000-00003A080000}"/>
    <cellStyle name="Normal 2 4 4 4 2" xfId="4187" xr:uid="{00000000-0005-0000-0000-00003B080000}"/>
    <cellStyle name="Normal 2 4 4 4 2 2" xfId="5110" xr:uid="{00000000-0005-0000-0000-00003C080000}"/>
    <cellStyle name="Normal 2 4 4 4 3" xfId="4631" xr:uid="{00000000-0005-0000-0000-00003D080000}"/>
    <cellStyle name="Normal 2 4 4 5" xfId="1454" xr:uid="{00000000-0005-0000-0000-00003E080000}"/>
    <cellStyle name="Normal 2 4 4 5 2" xfId="4188" xr:uid="{00000000-0005-0000-0000-00003F080000}"/>
    <cellStyle name="Normal 2 4 4 5 2 2" xfId="5111" xr:uid="{00000000-0005-0000-0000-000040080000}"/>
    <cellStyle name="Normal 2 4 4 5 3" xfId="4632" xr:uid="{00000000-0005-0000-0000-000041080000}"/>
    <cellStyle name="Normal 2 4 4 6" xfId="1455" xr:uid="{00000000-0005-0000-0000-000042080000}"/>
    <cellStyle name="Normal 2 4 4 6 2" xfId="4189" xr:uid="{00000000-0005-0000-0000-000043080000}"/>
    <cellStyle name="Normal 2 4 4 6 2 2" xfId="5112" xr:uid="{00000000-0005-0000-0000-000044080000}"/>
    <cellStyle name="Normal 2 4 4 6 3" xfId="4633" xr:uid="{00000000-0005-0000-0000-000045080000}"/>
    <cellStyle name="Normal 2 4 4 7" xfId="4184" xr:uid="{00000000-0005-0000-0000-000046080000}"/>
    <cellStyle name="Normal 2 4 4 7 2" xfId="5107" xr:uid="{00000000-0005-0000-0000-000047080000}"/>
    <cellStyle name="Normal 2 4 4 8" xfId="4628" xr:uid="{00000000-0005-0000-0000-000048080000}"/>
    <cellStyle name="Normal 2 4 5" xfId="1456" xr:uid="{00000000-0005-0000-0000-000049080000}"/>
    <cellStyle name="Normal 2 4 5 2" xfId="1457" xr:uid="{00000000-0005-0000-0000-00004A080000}"/>
    <cellStyle name="Normal 2 4 5 2 2" xfId="4191" xr:uid="{00000000-0005-0000-0000-00004B080000}"/>
    <cellStyle name="Normal 2 4 5 2 2 2" xfId="5114" xr:uid="{00000000-0005-0000-0000-00004C080000}"/>
    <cellStyle name="Normal 2 4 5 2 3" xfId="4635" xr:uid="{00000000-0005-0000-0000-00004D080000}"/>
    <cellStyle name="Normal 2 4 5 3" xfId="1458" xr:uid="{00000000-0005-0000-0000-00004E080000}"/>
    <cellStyle name="Normal 2 4 5 3 2" xfId="4192" xr:uid="{00000000-0005-0000-0000-00004F080000}"/>
    <cellStyle name="Normal 2 4 5 3 2 2" xfId="5115" xr:uid="{00000000-0005-0000-0000-000050080000}"/>
    <cellStyle name="Normal 2 4 5 3 3" xfId="4636" xr:uid="{00000000-0005-0000-0000-000051080000}"/>
    <cellStyle name="Normal 2 4 5 4" xfId="1459" xr:uid="{00000000-0005-0000-0000-000052080000}"/>
    <cellStyle name="Normal 2 4 5 4 2" xfId="4193" xr:uid="{00000000-0005-0000-0000-000053080000}"/>
    <cellStyle name="Normal 2 4 5 4 2 2" xfId="5116" xr:uid="{00000000-0005-0000-0000-000054080000}"/>
    <cellStyle name="Normal 2 4 5 4 3" xfId="4637" xr:uid="{00000000-0005-0000-0000-000055080000}"/>
    <cellStyle name="Normal 2 4 5 5" xfId="1460" xr:uid="{00000000-0005-0000-0000-000056080000}"/>
    <cellStyle name="Normal 2 4 5 5 2" xfId="4194" xr:uid="{00000000-0005-0000-0000-000057080000}"/>
    <cellStyle name="Normal 2 4 5 5 2 2" xfId="5117" xr:uid="{00000000-0005-0000-0000-000058080000}"/>
    <cellStyle name="Normal 2 4 5 5 3" xfId="4638" xr:uid="{00000000-0005-0000-0000-000059080000}"/>
    <cellStyle name="Normal 2 4 5 6" xfId="1461" xr:uid="{00000000-0005-0000-0000-00005A080000}"/>
    <cellStyle name="Normal 2 4 5 6 2" xfId="4195" xr:uid="{00000000-0005-0000-0000-00005B080000}"/>
    <cellStyle name="Normal 2 4 5 6 2 2" xfId="5118" xr:uid="{00000000-0005-0000-0000-00005C080000}"/>
    <cellStyle name="Normal 2 4 5 6 3" xfId="4639" xr:uid="{00000000-0005-0000-0000-00005D080000}"/>
    <cellStyle name="Normal 2 4 5 7" xfId="4190" xr:uid="{00000000-0005-0000-0000-00005E080000}"/>
    <cellStyle name="Normal 2 4 5 7 2" xfId="5113" xr:uid="{00000000-0005-0000-0000-00005F080000}"/>
    <cellStyle name="Normal 2 4 5 8" xfId="4634" xr:uid="{00000000-0005-0000-0000-000060080000}"/>
    <cellStyle name="Normal 2 4 6" xfId="1462" xr:uid="{00000000-0005-0000-0000-000061080000}"/>
    <cellStyle name="Normal 2 4 6 2" xfId="1463" xr:uid="{00000000-0005-0000-0000-000062080000}"/>
    <cellStyle name="Normal 2 4 6 2 2" xfId="4197" xr:uid="{00000000-0005-0000-0000-000063080000}"/>
    <cellStyle name="Normal 2 4 6 2 2 2" xfId="5120" xr:uid="{00000000-0005-0000-0000-000064080000}"/>
    <cellStyle name="Normal 2 4 6 2 3" xfId="4641" xr:uid="{00000000-0005-0000-0000-000065080000}"/>
    <cellStyle name="Normal 2 4 6 3" xfId="1464" xr:uid="{00000000-0005-0000-0000-000066080000}"/>
    <cellStyle name="Normal 2 4 6 3 2" xfId="4198" xr:uid="{00000000-0005-0000-0000-000067080000}"/>
    <cellStyle name="Normal 2 4 6 3 2 2" xfId="5121" xr:uid="{00000000-0005-0000-0000-000068080000}"/>
    <cellStyle name="Normal 2 4 6 3 3" xfId="4642" xr:uid="{00000000-0005-0000-0000-000069080000}"/>
    <cellStyle name="Normal 2 4 6 4" xfId="1465" xr:uid="{00000000-0005-0000-0000-00006A080000}"/>
    <cellStyle name="Normal 2 4 6 4 2" xfId="4199" xr:uid="{00000000-0005-0000-0000-00006B080000}"/>
    <cellStyle name="Normal 2 4 6 4 2 2" xfId="5122" xr:uid="{00000000-0005-0000-0000-00006C080000}"/>
    <cellStyle name="Normal 2 4 6 4 3" xfId="4643" xr:uid="{00000000-0005-0000-0000-00006D080000}"/>
    <cellStyle name="Normal 2 4 6 5" xfId="1466" xr:uid="{00000000-0005-0000-0000-00006E080000}"/>
    <cellStyle name="Normal 2 4 6 5 2" xfId="4200" xr:uid="{00000000-0005-0000-0000-00006F080000}"/>
    <cellStyle name="Normal 2 4 6 5 2 2" xfId="5123" xr:uid="{00000000-0005-0000-0000-000070080000}"/>
    <cellStyle name="Normal 2 4 6 5 3" xfId="4644" xr:uid="{00000000-0005-0000-0000-000071080000}"/>
    <cellStyle name="Normal 2 4 6 6" xfId="1467" xr:uid="{00000000-0005-0000-0000-000072080000}"/>
    <cellStyle name="Normal 2 4 6 6 2" xfId="4201" xr:uid="{00000000-0005-0000-0000-000073080000}"/>
    <cellStyle name="Normal 2 4 6 6 2 2" xfId="5124" xr:uid="{00000000-0005-0000-0000-000074080000}"/>
    <cellStyle name="Normal 2 4 6 6 3" xfId="4645" xr:uid="{00000000-0005-0000-0000-000075080000}"/>
    <cellStyle name="Normal 2 4 6 7" xfId="4196" xr:uid="{00000000-0005-0000-0000-000076080000}"/>
    <cellStyle name="Normal 2 4 6 7 2" xfId="5119" xr:uid="{00000000-0005-0000-0000-000077080000}"/>
    <cellStyle name="Normal 2 4 6 8" xfId="4640" xr:uid="{00000000-0005-0000-0000-000078080000}"/>
    <cellStyle name="Normal 2 4 7" xfId="1468" xr:uid="{00000000-0005-0000-0000-000079080000}"/>
    <cellStyle name="Normal 2 4 7 2" xfId="1469" xr:uid="{00000000-0005-0000-0000-00007A080000}"/>
    <cellStyle name="Normal 2 4 7 2 2" xfId="4203" xr:uid="{00000000-0005-0000-0000-00007B080000}"/>
    <cellStyle name="Normal 2 4 7 2 2 2" xfId="5126" xr:uid="{00000000-0005-0000-0000-00007C080000}"/>
    <cellStyle name="Normal 2 4 7 2 3" xfId="4647" xr:uid="{00000000-0005-0000-0000-00007D080000}"/>
    <cellStyle name="Normal 2 4 7 3" xfId="1470" xr:uid="{00000000-0005-0000-0000-00007E080000}"/>
    <cellStyle name="Normal 2 4 7 3 2" xfId="4204" xr:uid="{00000000-0005-0000-0000-00007F080000}"/>
    <cellStyle name="Normal 2 4 7 3 2 2" xfId="5127" xr:uid="{00000000-0005-0000-0000-000080080000}"/>
    <cellStyle name="Normal 2 4 7 3 3" xfId="4648" xr:uid="{00000000-0005-0000-0000-000081080000}"/>
    <cellStyle name="Normal 2 4 7 4" xfId="1471" xr:uid="{00000000-0005-0000-0000-000082080000}"/>
    <cellStyle name="Normal 2 4 7 4 2" xfId="4205" xr:uid="{00000000-0005-0000-0000-000083080000}"/>
    <cellStyle name="Normal 2 4 7 4 2 2" xfId="5128" xr:uid="{00000000-0005-0000-0000-000084080000}"/>
    <cellStyle name="Normal 2 4 7 4 3" xfId="4649" xr:uid="{00000000-0005-0000-0000-000085080000}"/>
    <cellStyle name="Normal 2 4 7 5" xfId="1472" xr:uid="{00000000-0005-0000-0000-000086080000}"/>
    <cellStyle name="Normal 2 4 7 5 2" xfId="4206" xr:uid="{00000000-0005-0000-0000-000087080000}"/>
    <cellStyle name="Normal 2 4 7 5 2 2" xfId="5129" xr:uid="{00000000-0005-0000-0000-000088080000}"/>
    <cellStyle name="Normal 2 4 7 5 3" xfId="4650" xr:uid="{00000000-0005-0000-0000-000089080000}"/>
    <cellStyle name="Normal 2 4 7 6" xfId="1473" xr:uid="{00000000-0005-0000-0000-00008A080000}"/>
    <cellStyle name="Normal 2 4 7 6 2" xfId="4207" xr:uid="{00000000-0005-0000-0000-00008B080000}"/>
    <cellStyle name="Normal 2 4 7 6 2 2" xfId="5130" xr:uid="{00000000-0005-0000-0000-00008C080000}"/>
    <cellStyle name="Normal 2 4 7 6 3" xfId="4651" xr:uid="{00000000-0005-0000-0000-00008D080000}"/>
    <cellStyle name="Normal 2 4 7 7" xfId="4202" xr:uid="{00000000-0005-0000-0000-00008E080000}"/>
    <cellStyle name="Normal 2 4 7 7 2" xfId="5125" xr:uid="{00000000-0005-0000-0000-00008F080000}"/>
    <cellStyle name="Normal 2 4 7 8" xfId="4646" xr:uid="{00000000-0005-0000-0000-000090080000}"/>
    <cellStyle name="Normal 2 5" xfId="1474" xr:uid="{00000000-0005-0000-0000-000091080000}"/>
    <cellStyle name="Normal 2 5 2" xfId="1475" xr:uid="{00000000-0005-0000-0000-000092080000}"/>
    <cellStyle name="Normal 2 5 2 2" xfId="1476" xr:uid="{00000000-0005-0000-0000-000093080000}"/>
    <cellStyle name="Normal 2 5 3" xfId="1477" xr:uid="{00000000-0005-0000-0000-000094080000}"/>
    <cellStyle name="Normal 2 5 4" xfId="4208" xr:uid="{00000000-0005-0000-0000-000095080000}"/>
    <cellStyle name="Normal 2 5 4 2" xfId="5131" xr:uid="{00000000-0005-0000-0000-000096080000}"/>
    <cellStyle name="Normal 2 5 5" xfId="4652" xr:uid="{00000000-0005-0000-0000-000097080000}"/>
    <cellStyle name="Normal 2 6" xfId="1478" xr:uid="{00000000-0005-0000-0000-000098080000}"/>
    <cellStyle name="Normal 2 6 2" xfId="1479" xr:uid="{00000000-0005-0000-0000-000099080000}"/>
    <cellStyle name="Normal 2 7" xfId="1480" xr:uid="{00000000-0005-0000-0000-00009A080000}"/>
    <cellStyle name="Normal 2 7 2" xfId="1481" xr:uid="{00000000-0005-0000-0000-00009B080000}"/>
    <cellStyle name="Normal 2 7 2 2" xfId="1482" xr:uid="{00000000-0005-0000-0000-00009C080000}"/>
    <cellStyle name="Normal 2 7 2 2 2" xfId="1483" xr:uid="{00000000-0005-0000-0000-00009D080000}"/>
    <cellStyle name="Normal 2 7 2 3" xfId="1484" xr:uid="{00000000-0005-0000-0000-00009E080000}"/>
    <cellStyle name="Normal 2 7 2 3 2" xfId="1485" xr:uid="{00000000-0005-0000-0000-00009F080000}"/>
    <cellStyle name="Normal 2 7 2 4" xfId="1486" xr:uid="{00000000-0005-0000-0000-0000A0080000}"/>
    <cellStyle name="Normal 2 7 3" xfId="1487" xr:uid="{00000000-0005-0000-0000-0000A1080000}"/>
    <cellStyle name="Normal 2 7 3 2" xfId="1488" xr:uid="{00000000-0005-0000-0000-0000A2080000}"/>
    <cellStyle name="Normal 2 7 4" xfId="1489" xr:uid="{00000000-0005-0000-0000-0000A3080000}"/>
    <cellStyle name="Normal 2 8" xfId="1490" xr:uid="{00000000-0005-0000-0000-0000A4080000}"/>
    <cellStyle name="Normal 2 8 2" xfId="1491" xr:uid="{00000000-0005-0000-0000-0000A5080000}"/>
    <cellStyle name="Normal 2 9" xfId="1492" xr:uid="{00000000-0005-0000-0000-0000A6080000}"/>
    <cellStyle name="Normal 2 9 2" xfId="1493" xr:uid="{00000000-0005-0000-0000-0000A7080000}"/>
    <cellStyle name="Normal 20" xfId="1494" xr:uid="{00000000-0005-0000-0000-0000A8080000}"/>
    <cellStyle name="Normal 20 2" xfId="1495" xr:uid="{00000000-0005-0000-0000-0000A9080000}"/>
    <cellStyle name="Normal 20 2 2" xfId="1496" xr:uid="{00000000-0005-0000-0000-0000AA080000}"/>
    <cellStyle name="Normal 20 2 2 2" xfId="4211" xr:uid="{00000000-0005-0000-0000-0000AB080000}"/>
    <cellStyle name="Normal 20 2 2 2 2" xfId="4845" xr:uid="{00000000-0005-0000-0000-0000AC080000}"/>
    <cellStyle name="Normal 20 2 2 3" xfId="4655" xr:uid="{00000000-0005-0000-0000-0000AD080000}"/>
    <cellStyle name="Normal 20 2 3" xfId="4210" xr:uid="{00000000-0005-0000-0000-0000AE080000}"/>
    <cellStyle name="Normal 20 2 3 2" xfId="4922" xr:uid="{00000000-0005-0000-0000-0000AF080000}"/>
    <cellStyle name="Normal 20 2 4" xfId="4654" xr:uid="{00000000-0005-0000-0000-0000B0080000}"/>
    <cellStyle name="Normal 20 3" xfId="1497" xr:uid="{00000000-0005-0000-0000-0000B1080000}"/>
    <cellStyle name="Normal 20 3 2" xfId="4212" xr:uid="{00000000-0005-0000-0000-0000B2080000}"/>
    <cellStyle name="Normal 20 3 2 2" xfId="4883" xr:uid="{00000000-0005-0000-0000-0000B3080000}"/>
    <cellStyle name="Normal 20 3 3" xfId="4656" xr:uid="{00000000-0005-0000-0000-0000B4080000}"/>
    <cellStyle name="Normal 20 4" xfId="4209" xr:uid="{00000000-0005-0000-0000-0000B5080000}"/>
    <cellStyle name="Normal 20 4 2" xfId="4959" xr:uid="{00000000-0005-0000-0000-0000B6080000}"/>
    <cellStyle name="Normal 20 5" xfId="4653" xr:uid="{00000000-0005-0000-0000-0000B7080000}"/>
    <cellStyle name="Normal 200 2" xfId="1498" xr:uid="{00000000-0005-0000-0000-0000B8080000}"/>
    <cellStyle name="Normal 200 2 2" xfId="1499" xr:uid="{00000000-0005-0000-0000-0000B9080000}"/>
    <cellStyle name="Normal 201 2" xfId="1500" xr:uid="{00000000-0005-0000-0000-0000BA080000}"/>
    <cellStyle name="Normal 201 2 2" xfId="1501" xr:uid="{00000000-0005-0000-0000-0000BB080000}"/>
    <cellStyle name="Normal 202 2" xfId="1502" xr:uid="{00000000-0005-0000-0000-0000BC080000}"/>
    <cellStyle name="Normal 202 2 2" xfId="1503" xr:uid="{00000000-0005-0000-0000-0000BD080000}"/>
    <cellStyle name="Normal 203 2" xfId="1504" xr:uid="{00000000-0005-0000-0000-0000BE080000}"/>
    <cellStyle name="Normal 203 2 2" xfId="1505" xr:uid="{00000000-0005-0000-0000-0000BF080000}"/>
    <cellStyle name="Normal 204 2" xfId="1506" xr:uid="{00000000-0005-0000-0000-0000C0080000}"/>
    <cellStyle name="Normal 204 2 2" xfId="1507" xr:uid="{00000000-0005-0000-0000-0000C1080000}"/>
    <cellStyle name="Normal 205 2" xfId="1508" xr:uid="{00000000-0005-0000-0000-0000C2080000}"/>
    <cellStyle name="Normal 205 2 2" xfId="1509" xr:uid="{00000000-0005-0000-0000-0000C3080000}"/>
    <cellStyle name="Normal 206 2" xfId="1510" xr:uid="{00000000-0005-0000-0000-0000C4080000}"/>
    <cellStyle name="Normal 206 2 2" xfId="1511" xr:uid="{00000000-0005-0000-0000-0000C5080000}"/>
    <cellStyle name="Normal 207 2" xfId="1512" xr:uid="{00000000-0005-0000-0000-0000C6080000}"/>
    <cellStyle name="Normal 207 2 2" xfId="1513" xr:uid="{00000000-0005-0000-0000-0000C7080000}"/>
    <cellStyle name="Normal 208 2" xfId="1514" xr:uid="{00000000-0005-0000-0000-0000C8080000}"/>
    <cellStyle name="Normal 208 2 2" xfId="1515" xr:uid="{00000000-0005-0000-0000-0000C9080000}"/>
    <cellStyle name="Normal 21" xfId="1516" xr:uid="{00000000-0005-0000-0000-0000CA080000}"/>
    <cellStyle name="Normal 21 2" xfId="1517" xr:uid="{00000000-0005-0000-0000-0000CB080000}"/>
    <cellStyle name="Normal 21 2 2" xfId="1518" xr:uid="{00000000-0005-0000-0000-0000CC080000}"/>
    <cellStyle name="Normal 21 2 2 2" xfId="4215" xr:uid="{00000000-0005-0000-0000-0000CD080000}"/>
    <cellStyle name="Normal 21 2 2 2 2" xfId="4844" xr:uid="{00000000-0005-0000-0000-0000CE080000}"/>
    <cellStyle name="Normal 21 2 2 3" xfId="4659" xr:uid="{00000000-0005-0000-0000-0000CF080000}"/>
    <cellStyle name="Normal 21 2 3" xfId="4214" xr:uid="{00000000-0005-0000-0000-0000D0080000}"/>
    <cellStyle name="Normal 21 2 3 2" xfId="4921" xr:uid="{00000000-0005-0000-0000-0000D1080000}"/>
    <cellStyle name="Normal 21 2 4" xfId="4658" xr:uid="{00000000-0005-0000-0000-0000D2080000}"/>
    <cellStyle name="Normal 21 3" xfId="1519" xr:uid="{00000000-0005-0000-0000-0000D3080000}"/>
    <cellStyle name="Normal 21 3 2" xfId="4216" xr:uid="{00000000-0005-0000-0000-0000D4080000}"/>
    <cellStyle name="Normal 21 3 2 2" xfId="4882" xr:uid="{00000000-0005-0000-0000-0000D5080000}"/>
    <cellStyle name="Normal 21 3 3" xfId="4660" xr:uid="{00000000-0005-0000-0000-0000D6080000}"/>
    <cellStyle name="Normal 21 4" xfId="4213" xr:uid="{00000000-0005-0000-0000-0000D7080000}"/>
    <cellStyle name="Normal 21 4 2" xfId="4958" xr:uid="{00000000-0005-0000-0000-0000D8080000}"/>
    <cellStyle name="Normal 21 5" xfId="4657" xr:uid="{00000000-0005-0000-0000-0000D9080000}"/>
    <cellStyle name="Normal 22" xfId="1520" xr:uid="{00000000-0005-0000-0000-0000DA080000}"/>
    <cellStyle name="Normal 22 2" xfId="1521" xr:uid="{00000000-0005-0000-0000-0000DB080000}"/>
    <cellStyle name="Normal 22 2 2" xfId="1522" xr:uid="{00000000-0005-0000-0000-0000DC080000}"/>
    <cellStyle name="Normal 22 2 2 2" xfId="4219" xr:uid="{00000000-0005-0000-0000-0000DD080000}"/>
    <cellStyle name="Normal 22 2 2 2 2" xfId="4842" xr:uid="{00000000-0005-0000-0000-0000DE080000}"/>
    <cellStyle name="Normal 22 2 2 3" xfId="4663" xr:uid="{00000000-0005-0000-0000-0000DF080000}"/>
    <cellStyle name="Normal 22 2 3" xfId="4218" xr:uid="{00000000-0005-0000-0000-0000E0080000}"/>
    <cellStyle name="Normal 22 2 3 2" xfId="4919" xr:uid="{00000000-0005-0000-0000-0000E1080000}"/>
    <cellStyle name="Normal 22 2 4" xfId="4662" xr:uid="{00000000-0005-0000-0000-0000E2080000}"/>
    <cellStyle name="Normal 22 3" xfId="1523" xr:uid="{00000000-0005-0000-0000-0000E3080000}"/>
    <cellStyle name="Normal 22 3 2" xfId="4220" xr:uid="{00000000-0005-0000-0000-0000E4080000}"/>
    <cellStyle name="Normal 22 3 2 2" xfId="4880" xr:uid="{00000000-0005-0000-0000-0000E5080000}"/>
    <cellStyle name="Normal 22 3 3" xfId="4664" xr:uid="{00000000-0005-0000-0000-0000E6080000}"/>
    <cellStyle name="Normal 22 4" xfId="4217" xr:uid="{00000000-0005-0000-0000-0000E7080000}"/>
    <cellStyle name="Normal 22 4 2" xfId="4956" xr:uid="{00000000-0005-0000-0000-0000E8080000}"/>
    <cellStyle name="Normal 22 5" xfId="4661" xr:uid="{00000000-0005-0000-0000-0000E9080000}"/>
    <cellStyle name="Normal 23" xfId="1524" xr:uid="{00000000-0005-0000-0000-0000EA080000}"/>
    <cellStyle name="Normal 23 10" xfId="1525" xr:uid="{00000000-0005-0000-0000-0000EB080000}"/>
    <cellStyle name="Normal 23 10 2" xfId="1526" xr:uid="{00000000-0005-0000-0000-0000EC080000}"/>
    <cellStyle name="Normal 23 10 2 2" xfId="1527" xr:uid="{00000000-0005-0000-0000-0000ED080000}"/>
    <cellStyle name="Normal 23 10 3" xfId="1528" xr:uid="{00000000-0005-0000-0000-0000EE080000}"/>
    <cellStyle name="Normal 23 11" xfId="1529" xr:uid="{00000000-0005-0000-0000-0000EF080000}"/>
    <cellStyle name="Normal 23 11 2" xfId="1530" xr:uid="{00000000-0005-0000-0000-0000F0080000}"/>
    <cellStyle name="Normal 23 11 2 2" xfId="1531" xr:uid="{00000000-0005-0000-0000-0000F1080000}"/>
    <cellStyle name="Normal 23 11 3" xfId="1532" xr:uid="{00000000-0005-0000-0000-0000F2080000}"/>
    <cellStyle name="Normal 23 12" xfId="1533" xr:uid="{00000000-0005-0000-0000-0000F3080000}"/>
    <cellStyle name="Normal 23 12 2" xfId="1534" xr:uid="{00000000-0005-0000-0000-0000F4080000}"/>
    <cellStyle name="Normal 23 12 2 2" xfId="1535" xr:uid="{00000000-0005-0000-0000-0000F5080000}"/>
    <cellStyle name="Normal 23 12 3" xfId="1536" xr:uid="{00000000-0005-0000-0000-0000F6080000}"/>
    <cellStyle name="Normal 23 13" xfId="1537" xr:uid="{00000000-0005-0000-0000-0000F7080000}"/>
    <cellStyle name="Normal 23 13 2" xfId="1538" xr:uid="{00000000-0005-0000-0000-0000F8080000}"/>
    <cellStyle name="Normal 23 14" xfId="1539" xr:uid="{00000000-0005-0000-0000-0000F9080000}"/>
    <cellStyle name="Normal 23 14 2" xfId="1540" xr:uid="{00000000-0005-0000-0000-0000FA080000}"/>
    <cellStyle name="Normal 23 15" xfId="1541" xr:uid="{00000000-0005-0000-0000-0000FB080000}"/>
    <cellStyle name="Normal 23 15 2" xfId="1542" xr:uid="{00000000-0005-0000-0000-0000FC080000}"/>
    <cellStyle name="Normal 23 16" xfId="1543" xr:uid="{00000000-0005-0000-0000-0000FD080000}"/>
    <cellStyle name="Normal 23 16 2" xfId="1544" xr:uid="{00000000-0005-0000-0000-0000FE080000}"/>
    <cellStyle name="Normal 23 17" xfId="1545" xr:uid="{00000000-0005-0000-0000-0000FF080000}"/>
    <cellStyle name="Normal 23 17 2" xfId="1546" xr:uid="{00000000-0005-0000-0000-000000090000}"/>
    <cellStyle name="Normal 23 18" xfId="1547" xr:uid="{00000000-0005-0000-0000-000001090000}"/>
    <cellStyle name="Normal 23 18 2" xfId="1548" xr:uid="{00000000-0005-0000-0000-000002090000}"/>
    <cellStyle name="Normal 23 19" xfId="1549" xr:uid="{00000000-0005-0000-0000-000003090000}"/>
    <cellStyle name="Normal 23 19 2" xfId="1550" xr:uid="{00000000-0005-0000-0000-000004090000}"/>
    <cellStyle name="Normal 23 2" xfId="1551" xr:uid="{00000000-0005-0000-0000-000005090000}"/>
    <cellStyle name="Normal 23 2 2" xfId="1552" xr:uid="{00000000-0005-0000-0000-000006090000}"/>
    <cellStyle name="Normal 23 2 2 2" xfId="1553" xr:uid="{00000000-0005-0000-0000-000007090000}"/>
    <cellStyle name="Normal 23 2 3" xfId="1554" xr:uid="{00000000-0005-0000-0000-000008090000}"/>
    <cellStyle name="Normal 23 2 4" xfId="4402" xr:uid="{00000000-0005-0000-0000-000009090000}"/>
    <cellStyle name="Normal 23 2 4 2" xfId="4833" xr:uid="{00000000-0005-0000-0000-00000A090000}"/>
    <cellStyle name="Normal 23 20" xfId="4221" xr:uid="{00000000-0005-0000-0000-00000B090000}"/>
    <cellStyle name="Normal 23 20 2" xfId="5132" xr:uid="{00000000-0005-0000-0000-00000C090000}"/>
    <cellStyle name="Normal 23 21" xfId="4665" xr:uid="{00000000-0005-0000-0000-00000D090000}"/>
    <cellStyle name="Normal 23 3" xfId="1555" xr:uid="{00000000-0005-0000-0000-00000E090000}"/>
    <cellStyle name="Normal 23 3 2" xfId="1556" xr:uid="{00000000-0005-0000-0000-00000F090000}"/>
    <cellStyle name="Normal 23 3 2 2" xfId="1557" xr:uid="{00000000-0005-0000-0000-000010090000}"/>
    <cellStyle name="Normal 23 3 3" xfId="1558" xr:uid="{00000000-0005-0000-0000-000011090000}"/>
    <cellStyle name="Normal 23 4" xfId="1559" xr:uid="{00000000-0005-0000-0000-000012090000}"/>
    <cellStyle name="Normal 23 4 2" xfId="1560" xr:uid="{00000000-0005-0000-0000-000013090000}"/>
    <cellStyle name="Normal 23 4 2 2" xfId="1561" xr:uid="{00000000-0005-0000-0000-000014090000}"/>
    <cellStyle name="Normal 23 4 3" xfId="1562" xr:uid="{00000000-0005-0000-0000-000015090000}"/>
    <cellStyle name="Normal 23 5" xfId="1563" xr:uid="{00000000-0005-0000-0000-000016090000}"/>
    <cellStyle name="Normal 23 5 2" xfId="1564" xr:uid="{00000000-0005-0000-0000-000017090000}"/>
    <cellStyle name="Normal 23 5 2 2" xfId="1565" xr:uid="{00000000-0005-0000-0000-000018090000}"/>
    <cellStyle name="Normal 23 5 3" xfId="1566" xr:uid="{00000000-0005-0000-0000-000019090000}"/>
    <cellStyle name="Normal 23 6" xfId="1567" xr:uid="{00000000-0005-0000-0000-00001A090000}"/>
    <cellStyle name="Normal 23 6 2" xfId="1568" xr:uid="{00000000-0005-0000-0000-00001B090000}"/>
    <cellStyle name="Normal 23 6 2 2" xfId="1569" xr:uid="{00000000-0005-0000-0000-00001C090000}"/>
    <cellStyle name="Normal 23 6 3" xfId="1570" xr:uid="{00000000-0005-0000-0000-00001D090000}"/>
    <cellStyle name="Normal 23 7" xfId="1571" xr:uid="{00000000-0005-0000-0000-00001E090000}"/>
    <cellStyle name="Normal 23 7 2" xfId="1572" xr:uid="{00000000-0005-0000-0000-00001F090000}"/>
    <cellStyle name="Normal 23 7 2 2" xfId="1573" xr:uid="{00000000-0005-0000-0000-000020090000}"/>
    <cellStyle name="Normal 23 7 3" xfId="1574" xr:uid="{00000000-0005-0000-0000-000021090000}"/>
    <cellStyle name="Normal 23 8" xfId="1575" xr:uid="{00000000-0005-0000-0000-000022090000}"/>
    <cellStyle name="Normal 23 8 2" xfId="1576" xr:uid="{00000000-0005-0000-0000-000023090000}"/>
    <cellStyle name="Normal 23 8 2 2" xfId="1577" xr:uid="{00000000-0005-0000-0000-000024090000}"/>
    <cellStyle name="Normal 23 8 3" xfId="1578" xr:uid="{00000000-0005-0000-0000-000025090000}"/>
    <cellStyle name="Normal 23 9" xfId="1579" xr:uid="{00000000-0005-0000-0000-000026090000}"/>
    <cellStyle name="Normal 23 9 2" xfId="1580" xr:uid="{00000000-0005-0000-0000-000027090000}"/>
    <cellStyle name="Normal 23 9 2 2" xfId="1581" xr:uid="{00000000-0005-0000-0000-000028090000}"/>
    <cellStyle name="Normal 23 9 3" xfId="1582" xr:uid="{00000000-0005-0000-0000-000029090000}"/>
    <cellStyle name="Normal 24" xfId="1583" xr:uid="{00000000-0005-0000-0000-00002A090000}"/>
    <cellStyle name="Normal 24 2" xfId="4222" xr:uid="{00000000-0005-0000-0000-00002B090000}"/>
    <cellStyle name="Normal 24 2 2" xfId="4832" xr:uid="{00000000-0005-0000-0000-00002C090000}"/>
    <cellStyle name="Normal 24 3" xfId="4666" xr:uid="{00000000-0005-0000-0000-00002D090000}"/>
    <cellStyle name="Normal 25" xfId="1584" xr:uid="{00000000-0005-0000-0000-00002E090000}"/>
    <cellStyle name="Normal 25 2" xfId="4223" xr:uid="{00000000-0005-0000-0000-00002F090000}"/>
    <cellStyle name="Normal 25 2 2" xfId="4831" xr:uid="{00000000-0005-0000-0000-000030090000}"/>
    <cellStyle name="Normal 25 3" xfId="4667" xr:uid="{00000000-0005-0000-0000-000031090000}"/>
    <cellStyle name="Normal 256" xfId="1585" xr:uid="{00000000-0005-0000-0000-000032090000}"/>
    <cellStyle name="Normal 256 2" xfId="1586" xr:uid="{00000000-0005-0000-0000-000033090000}"/>
    <cellStyle name="Normal 256 2 2" xfId="4225" xr:uid="{00000000-0005-0000-0000-000034090000}"/>
    <cellStyle name="Normal 256 2 2 2" xfId="5134" xr:uid="{00000000-0005-0000-0000-000035090000}"/>
    <cellStyle name="Normal 256 2 3" xfId="4669" xr:uid="{00000000-0005-0000-0000-000036090000}"/>
    <cellStyle name="Normal 256 3" xfId="4224" xr:uid="{00000000-0005-0000-0000-000037090000}"/>
    <cellStyle name="Normal 256 3 2" xfId="5133" xr:uid="{00000000-0005-0000-0000-000038090000}"/>
    <cellStyle name="Normal 256 4" xfId="4668" xr:uid="{00000000-0005-0000-0000-000039090000}"/>
    <cellStyle name="Normal 26" xfId="1587" xr:uid="{00000000-0005-0000-0000-00003A090000}"/>
    <cellStyle name="Normal 26 2" xfId="1588" xr:uid="{00000000-0005-0000-0000-00003B090000}"/>
    <cellStyle name="Normal 26 2 2" xfId="4227" xr:uid="{00000000-0005-0000-0000-00003C090000}"/>
    <cellStyle name="Normal 26 2 2 2" xfId="4866" xr:uid="{00000000-0005-0000-0000-00003D090000}"/>
    <cellStyle name="Normal 26 2 3" xfId="4671" xr:uid="{00000000-0005-0000-0000-00003E090000}"/>
    <cellStyle name="Normal 26 3" xfId="4226" xr:uid="{00000000-0005-0000-0000-00003F090000}"/>
    <cellStyle name="Normal 26 3 2" xfId="4943" xr:uid="{00000000-0005-0000-0000-000040090000}"/>
    <cellStyle name="Normal 26 4" xfId="4670" xr:uid="{00000000-0005-0000-0000-000041090000}"/>
    <cellStyle name="Normal 27" xfId="1589" xr:uid="{00000000-0005-0000-0000-000042090000}"/>
    <cellStyle name="Normal 27 10" xfId="1590" xr:uid="{00000000-0005-0000-0000-000043090000}"/>
    <cellStyle name="Normal 27 10 2" xfId="1591" xr:uid="{00000000-0005-0000-0000-000044090000}"/>
    <cellStyle name="Normal 27 10 2 2" xfId="1592" xr:uid="{00000000-0005-0000-0000-000045090000}"/>
    <cellStyle name="Normal 27 10 3" xfId="1593" xr:uid="{00000000-0005-0000-0000-000046090000}"/>
    <cellStyle name="Normal 27 11" xfId="1594" xr:uid="{00000000-0005-0000-0000-000047090000}"/>
    <cellStyle name="Normal 27 11 2" xfId="1595" xr:uid="{00000000-0005-0000-0000-000048090000}"/>
    <cellStyle name="Normal 27 11 2 2" xfId="1596" xr:uid="{00000000-0005-0000-0000-000049090000}"/>
    <cellStyle name="Normal 27 11 3" xfId="1597" xr:uid="{00000000-0005-0000-0000-00004A090000}"/>
    <cellStyle name="Normal 27 12" xfId="1598" xr:uid="{00000000-0005-0000-0000-00004B090000}"/>
    <cellStyle name="Normal 27 12 2" xfId="1599" xr:uid="{00000000-0005-0000-0000-00004C090000}"/>
    <cellStyle name="Normal 27 12 2 2" xfId="1600" xr:uid="{00000000-0005-0000-0000-00004D090000}"/>
    <cellStyle name="Normal 27 12 3" xfId="1601" xr:uid="{00000000-0005-0000-0000-00004E090000}"/>
    <cellStyle name="Normal 27 13" xfId="1602" xr:uid="{00000000-0005-0000-0000-00004F090000}"/>
    <cellStyle name="Normal 27 13 2" xfId="1603" xr:uid="{00000000-0005-0000-0000-000050090000}"/>
    <cellStyle name="Normal 27 14" xfId="1604" xr:uid="{00000000-0005-0000-0000-000051090000}"/>
    <cellStyle name="Normal 27 14 2" xfId="1605" xr:uid="{00000000-0005-0000-0000-000052090000}"/>
    <cellStyle name="Normal 27 15" xfId="1606" xr:uid="{00000000-0005-0000-0000-000053090000}"/>
    <cellStyle name="Normal 27 15 2" xfId="1607" xr:uid="{00000000-0005-0000-0000-000054090000}"/>
    <cellStyle name="Normal 27 16" xfId="1608" xr:uid="{00000000-0005-0000-0000-000055090000}"/>
    <cellStyle name="Normal 27 16 2" xfId="1609" xr:uid="{00000000-0005-0000-0000-000056090000}"/>
    <cellStyle name="Normal 27 17" xfId="1610" xr:uid="{00000000-0005-0000-0000-000057090000}"/>
    <cellStyle name="Normal 27 17 2" xfId="1611" xr:uid="{00000000-0005-0000-0000-000058090000}"/>
    <cellStyle name="Normal 27 18" xfId="1612" xr:uid="{00000000-0005-0000-0000-000059090000}"/>
    <cellStyle name="Normal 27 18 2" xfId="1613" xr:uid="{00000000-0005-0000-0000-00005A090000}"/>
    <cellStyle name="Normal 27 19" xfId="1614" xr:uid="{00000000-0005-0000-0000-00005B090000}"/>
    <cellStyle name="Normal 27 19 2" xfId="1615" xr:uid="{00000000-0005-0000-0000-00005C090000}"/>
    <cellStyle name="Normal 27 2" xfId="1616" xr:uid="{00000000-0005-0000-0000-00005D090000}"/>
    <cellStyle name="Normal 27 2 2" xfId="1617" xr:uid="{00000000-0005-0000-0000-00005E090000}"/>
    <cellStyle name="Normal 27 2 2 2" xfId="1618" xr:uid="{00000000-0005-0000-0000-00005F090000}"/>
    <cellStyle name="Normal 27 2 2 3" xfId="4408" xr:uid="{00000000-0005-0000-0000-000060090000}"/>
    <cellStyle name="Normal 27 2 2 3 2" xfId="4841" xr:uid="{00000000-0005-0000-0000-000061090000}"/>
    <cellStyle name="Normal 27 2 3" xfId="1619" xr:uid="{00000000-0005-0000-0000-000062090000}"/>
    <cellStyle name="Normal 27 2 4" xfId="4229" xr:uid="{00000000-0005-0000-0000-000063090000}"/>
    <cellStyle name="Normal 27 2 4 2" xfId="5136" xr:uid="{00000000-0005-0000-0000-000064090000}"/>
    <cellStyle name="Normal 27 2 5" xfId="4673" xr:uid="{00000000-0005-0000-0000-000065090000}"/>
    <cellStyle name="Normal 27 20" xfId="4228" xr:uid="{00000000-0005-0000-0000-000066090000}"/>
    <cellStyle name="Normal 27 20 2" xfId="5135" xr:uid="{00000000-0005-0000-0000-000067090000}"/>
    <cellStyle name="Normal 27 21" xfId="4672" xr:uid="{00000000-0005-0000-0000-000068090000}"/>
    <cellStyle name="Normal 27 3" xfId="1620" xr:uid="{00000000-0005-0000-0000-000069090000}"/>
    <cellStyle name="Normal 27 3 2" xfId="1621" xr:uid="{00000000-0005-0000-0000-00006A090000}"/>
    <cellStyle name="Normal 27 3 2 2" xfId="1622" xr:uid="{00000000-0005-0000-0000-00006B090000}"/>
    <cellStyle name="Normal 27 3 3" xfId="1623" xr:uid="{00000000-0005-0000-0000-00006C090000}"/>
    <cellStyle name="Normal 27 3 4" xfId="4415" xr:uid="{00000000-0005-0000-0000-00006D090000}"/>
    <cellStyle name="Normal 27 3 4 2" xfId="4918" xr:uid="{00000000-0005-0000-0000-00006E090000}"/>
    <cellStyle name="Normal 27 4" xfId="1624" xr:uid="{00000000-0005-0000-0000-00006F090000}"/>
    <cellStyle name="Normal 27 4 2" xfId="1625" xr:uid="{00000000-0005-0000-0000-000070090000}"/>
    <cellStyle name="Normal 27 4 2 2" xfId="1626" xr:uid="{00000000-0005-0000-0000-000071090000}"/>
    <cellStyle name="Normal 27 4 3" xfId="1627" xr:uid="{00000000-0005-0000-0000-000072090000}"/>
    <cellStyle name="Normal 27 5" xfId="1628" xr:uid="{00000000-0005-0000-0000-000073090000}"/>
    <cellStyle name="Normal 27 5 2" xfId="1629" xr:uid="{00000000-0005-0000-0000-000074090000}"/>
    <cellStyle name="Normal 27 5 2 2" xfId="1630" xr:uid="{00000000-0005-0000-0000-000075090000}"/>
    <cellStyle name="Normal 27 5 3" xfId="1631" xr:uid="{00000000-0005-0000-0000-000076090000}"/>
    <cellStyle name="Normal 27 6" xfId="1632" xr:uid="{00000000-0005-0000-0000-000077090000}"/>
    <cellStyle name="Normal 27 6 2" xfId="1633" xr:uid="{00000000-0005-0000-0000-000078090000}"/>
    <cellStyle name="Normal 27 6 2 2" xfId="1634" xr:uid="{00000000-0005-0000-0000-000079090000}"/>
    <cellStyle name="Normal 27 6 3" xfId="1635" xr:uid="{00000000-0005-0000-0000-00007A090000}"/>
    <cellStyle name="Normal 27 7" xfId="1636" xr:uid="{00000000-0005-0000-0000-00007B090000}"/>
    <cellStyle name="Normal 27 7 2" xfId="1637" xr:uid="{00000000-0005-0000-0000-00007C090000}"/>
    <cellStyle name="Normal 27 7 2 2" xfId="1638" xr:uid="{00000000-0005-0000-0000-00007D090000}"/>
    <cellStyle name="Normal 27 7 3" xfId="1639" xr:uid="{00000000-0005-0000-0000-00007E090000}"/>
    <cellStyle name="Normal 27 8" xfId="1640" xr:uid="{00000000-0005-0000-0000-00007F090000}"/>
    <cellStyle name="Normal 27 8 2" xfId="1641" xr:uid="{00000000-0005-0000-0000-000080090000}"/>
    <cellStyle name="Normal 27 8 2 2" xfId="1642" xr:uid="{00000000-0005-0000-0000-000081090000}"/>
    <cellStyle name="Normal 27 8 3" xfId="1643" xr:uid="{00000000-0005-0000-0000-000082090000}"/>
    <cellStyle name="Normal 27 9" xfId="1644" xr:uid="{00000000-0005-0000-0000-000083090000}"/>
    <cellStyle name="Normal 27 9 2" xfId="1645" xr:uid="{00000000-0005-0000-0000-000084090000}"/>
    <cellStyle name="Normal 27 9 2 2" xfId="1646" xr:uid="{00000000-0005-0000-0000-000085090000}"/>
    <cellStyle name="Normal 27 9 3" xfId="1647" xr:uid="{00000000-0005-0000-0000-000086090000}"/>
    <cellStyle name="Normal 28" xfId="1648" xr:uid="{00000000-0005-0000-0000-000087090000}"/>
    <cellStyle name="Normal 28 2" xfId="1649" xr:uid="{00000000-0005-0000-0000-000088090000}"/>
    <cellStyle name="Normal 28 2 2" xfId="4231" xr:uid="{00000000-0005-0000-0000-000089090000}"/>
    <cellStyle name="Normal 28 2 2 2" xfId="4840" xr:uid="{00000000-0005-0000-0000-00008A090000}"/>
    <cellStyle name="Normal 28 2 3" xfId="4675" xr:uid="{00000000-0005-0000-0000-00008B090000}"/>
    <cellStyle name="Normal 28 3" xfId="4230" xr:uid="{00000000-0005-0000-0000-00008C090000}"/>
    <cellStyle name="Normal 28 3 2" xfId="4917" xr:uid="{00000000-0005-0000-0000-00008D090000}"/>
    <cellStyle name="Normal 28 4" xfId="4674" xr:uid="{00000000-0005-0000-0000-00008E090000}"/>
    <cellStyle name="Normal 29" xfId="1650" xr:uid="{00000000-0005-0000-0000-00008F090000}"/>
    <cellStyle name="Normal 29 2" xfId="4232" xr:uid="{00000000-0005-0000-0000-000090090000}"/>
    <cellStyle name="Normal 29 2 2" xfId="4830" xr:uid="{00000000-0005-0000-0000-000091090000}"/>
    <cellStyle name="Normal 29 3" xfId="4676" xr:uid="{00000000-0005-0000-0000-000092090000}"/>
    <cellStyle name="Normal 3" xfId="11" xr:uid="{00000000-0005-0000-0000-000093090000}"/>
    <cellStyle name="Normal 3 2" xfId="1651" xr:uid="{00000000-0005-0000-0000-000094090000}"/>
    <cellStyle name="Normal 3 2 2" xfId="1652" xr:uid="{00000000-0005-0000-0000-000095090000}"/>
    <cellStyle name="Normal 3 2 2 2" xfId="1653" xr:uid="{00000000-0005-0000-0000-000096090000}"/>
    <cellStyle name="Normal 3 2 2 2 2" xfId="4235" xr:uid="{00000000-0005-0000-0000-000097090000}"/>
    <cellStyle name="Normal 3 2 2 2 2 2" xfId="4865" xr:uid="{00000000-0005-0000-0000-000098090000}"/>
    <cellStyle name="Normal 3 2 2 2 3" xfId="4679" xr:uid="{00000000-0005-0000-0000-000099090000}"/>
    <cellStyle name="Normal 3 2 2 3" xfId="4234" xr:uid="{00000000-0005-0000-0000-00009A090000}"/>
    <cellStyle name="Normal 3 2 2 3 2" xfId="4942" xr:uid="{00000000-0005-0000-0000-00009B090000}"/>
    <cellStyle name="Normal 3 2 2 4" xfId="4678" xr:uid="{00000000-0005-0000-0000-00009C090000}"/>
    <cellStyle name="Normal 3 2 3" xfId="1654" xr:uid="{00000000-0005-0000-0000-00009D090000}"/>
    <cellStyle name="Normal 3 2 3 2" xfId="4236" xr:uid="{00000000-0005-0000-0000-00009E090000}"/>
    <cellStyle name="Normal 3 2 3 2 2" xfId="4903" xr:uid="{00000000-0005-0000-0000-00009F090000}"/>
    <cellStyle name="Normal 3 2 3 3" xfId="4680" xr:uid="{00000000-0005-0000-0000-0000A0090000}"/>
    <cellStyle name="Normal 3 2 4" xfId="1655" xr:uid="{00000000-0005-0000-0000-0000A1090000}"/>
    <cellStyle name="Normal 3 2 4 2" xfId="4421" xr:uid="{00000000-0005-0000-0000-0000A2090000}"/>
    <cellStyle name="Normal 3 2 4 2 2" xfId="4977" xr:uid="{00000000-0005-0000-0000-0000A3090000}"/>
    <cellStyle name="Normal 3 2 5" xfId="1656" xr:uid="{00000000-0005-0000-0000-0000A4090000}"/>
    <cellStyle name="Normal 3 2 6" xfId="4233" xr:uid="{00000000-0005-0000-0000-0000A5090000}"/>
    <cellStyle name="Normal 3 2 6 2" xfId="5137" xr:uid="{00000000-0005-0000-0000-0000A6090000}"/>
    <cellStyle name="Normal 3 2 7" xfId="4677" xr:uid="{00000000-0005-0000-0000-0000A7090000}"/>
    <cellStyle name="Normal 3 3" xfId="1657" xr:uid="{00000000-0005-0000-0000-0000A8090000}"/>
    <cellStyle name="Normal 3 3 2" xfId="1658" xr:uid="{00000000-0005-0000-0000-0000A9090000}"/>
    <cellStyle name="Normal 3 3 2 2" xfId="4238" xr:uid="{00000000-0005-0000-0000-0000AA090000}"/>
    <cellStyle name="Normal 3 3 2 2 2" xfId="4878" xr:uid="{00000000-0005-0000-0000-0000AB090000}"/>
    <cellStyle name="Normal 3 3 2 3" xfId="4682" xr:uid="{00000000-0005-0000-0000-0000AC090000}"/>
    <cellStyle name="Normal 3 3 3" xfId="1659" xr:uid="{00000000-0005-0000-0000-0000AD090000}"/>
    <cellStyle name="Normal 3 3 3 2" xfId="4239" xr:uid="{00000000-0005-0000-0000-0000AE090000}"/>
    <cellStyle name="Normal 3 3 3 2 2" xfId="5139" xr:uid="{00000000-0005-0000-0000-0000AF090000}"/>
    <cellStyle name="Normal 3 3 3 3" xfId="4683" xr:uid="{00000000-0005-0000-0000-0000B0090000}"/>
    <cellStyle name="Normal 3 3 4" xfId="4237" xr:uid="{00000000-0005-0000-0000-0000B1090000}"/>
    <cellStyle name="Normal 3 3 4 2" xfId="5138" xr:uid="{00000000-0005-0000-0000-0000B2090000}"/>
    <cellStyle name="Normal 3 3 5" xfId="4681" xr:uid="{00000000-0005-0000-0000-0000B3090000}"/>
    <cellStyle name="Normal 3 4" xfId="1660" xr:uid="{00000000-0005-0000-0000-0000B4090000}"/>
    <cellStyle name="Normal 3 4 2" xfId="4240" xr:uid="{00000000-0005-0000-0000-0000B5090000}"/>
    <cellStyle name="Normal 3 4 2 2" xfId="4914" xr:uid="{00000000-0005-0000-0000-0000B6090000}"/>
    <cellStyle name="Normal 3 4 3" xfId="4684" xr:uid="{00000000-0005-0000-0000-0000B7090000}"/>
    <cellStyle name="Normal 3 5" xfId="1661" xr:uid="{00000000-0005-0000-0000-0000B8090000}"/>
    <cellStyle name="Normal 3 5 2" xfId="4429" xr:uid="{00000000-0005-0000-0000-0000B9090000}"/>
    <cellStyle name="Normal 3 5 2 2" xfId="4987" xr:uid="{00000000-0005-0000-0000-0000BA090000}"/>
    <cellStyle name="Normal 3 6" xfId="1662" xr:uid="{00000000-0005-0000-0000-0000BB090000}"/>
    <cellStyle name="Normal 3 6 2" xfId="4385" xr:uid="{00000000-0005-0000-0000-0000BC090000}"/>
    <cellStyle name="Normal 3 6 2 2" xfId="4814" xr:uid="{00000000-0005-0000-0000-0000BD090000}"/>
    <cellStyle name="Normal 3 7" xfId="1663" xr:uid="{00000000-0005-0000-0000-0000BE090000}"/>
    <cellStyle name="Normal 3 8" xfId="1664" xr:uid="{00000000-0005-0000-0000-0000BF090000}"/>
    <cellStyle name="Normal 30" xfId="1665" xr:uid="{00000000-0005-0000-0000-0000C0090000}"/>
    <cellStyle name="Normal 30 10" xfId="1666" xr:uid="{00000000-0005-0000-0000-0000C1090000}"/>
    <cellStyle name="Normal 30 10 2" xfId="1667" xr:uid="{00000000-0005-0000-0000-0000C2090000}"/>
    <cellStyle name="Normal 30 10 2 2" xfId="1668" xr:uid="{00000000-0005-0000-0000-0000C3090000}"/>
    <cellStyle name="Normal 30 10 3" xfId="1669" xr:uid="{00000000-0005-0000-0000-0000C4090000}"/>
    <cellStyle name="Normal 30 11" xfId="1670" xr:uid="{00000000-0005-0000-0000-0000C5090000}"/>
    <cellStyle name="Normal 30 11 2" xfId="1671" xr:uid="{00000000-0005-0000-0000-0000C6090000}"/>
    <cellStyle name="Normal 30 11 2 2" xfId="1672" xr:uid="{00000000-0005-0000-0000-0000C7090000}"/>
    <cellStyle name="Normal 30 11 3" xfId="1673" xr:uid="{00000000-0005-0000-0000-0000C8090000}"/>
    <cellStyle name="Normal 30 12" xfId="1674" xr:uid="{00000000-0005-0000-0000-0000C9090000}"/>
    <cellStyle name="Normal 30 12 2" xfId="1675" xr:uid="{00000000-0005-0000-0000-0000CA090000}"/>
    <cellStyle name="Normal 30 12 2 2" xfId="1676" xr:uid="{00000000-0005-0000-0000-0000CB090000}"/>
    <cellStyle name="Normal 30 12 3" xfId="1677" xr:uid="{00000000-0005-0000-0000-0000CC090000}"/>
    <cellStyle name="Normal 30 13" xfId="4241" xr:uid="{00000000-0005-0000-0000-0000CD090000}"/>
    <cellStyle name="Normal 30 13 2" xfId="5140" xr:uid="{00000000-0005-0000-0000-0000CE090000}"/>
    <cellStyle name="Normal 30 14" xfId="4685" xr:uid="{00000000-0005-0000-0000-0000CF090000}"/>
    <cellStyle name="Normal 30 2" xfId="1678" xr:uid="{00000000-0005-0000-0000-0000D0090000}"/>
    <cellStyle name="Normal 30 2 2" xfId="1679" xr:uid="{00000000-0005-0000-0000-0000D1090000}"/>
    <cellStyle name="Normal 30 2 2 2" xfId="1680" xr:uid="{00000000-0005-0000-0000-0000D2090000}"/>
    <cellStyle name="Normal 30 2 3" xfId="1681" xr:uid="{00000000-0005-0000-0000-0000D3090000}"/>
    <cellStyle name="Normal 30 2 4" xfId="4404" xr:uid="{00000000-0005-0000-0000-0000D4090000}"/>
    <cellStyle name="Normal 30 2 4 2" xfId="4835" xr:uid="{00000000-0005-0000-0000-0000D5090000}"/>
    <cellStyle name="Normal 30 3" xfId="1682" xr:uid="{00000000-0005-0000-0000-0000D6090000}"/>
    <cellStyle name="Normal 30 3 2" xfId="1683" xr:uid="{00000000-0005-0000-0000-0000D7090000}"/>
    <cellStyle name="Normal 30 3 2 2" xfId="1684" xr:uid="{00000000-0005-0000-0000-0000D8090000}"/>
    <cellStyle name="Normal 30 3 3" xfId="1685" xr:uid="{00000000-0005-0000-0000-0000D9090000}"/>
    <cellStyle name="Normal 30 4" xfId="1686" xr:uid="{00000000-0005-0000-0000-0000DA090000}"/>
    <cellStyle name="Normal 30 4 2" xfId="1687" xr:uid="{00000000-0005-0000-0000-0000DB090000}"/>
    <cellStyle name="Normal 30 4 2 2" xfId="1688" xr:uid="{00000000-0005-0000-0000-0000DC090000}"/>
    <cellStyle name="Normal 30 4 3" xfId="1689" xr:uid="{00000000-0005-0000-0000-0000DD090000}"/>
    <cellStyle name="Normal 30 5" xfId="1690" xr:uid="{00000000-0005-0000-0000-0000DE090000}"/>
    <cellStyle name="Normal 30 5 2" xfId="1691" xr:uid="{00000000-0005-0000-0000-0000DF090000}"/>
    <cellStyle name="Normal 30 5 2 2" xfId="1692" xr:uid="{00000000-0005-0000-0000-0000E0090000}"/>
    <cellStyle name="Normal 30 5 3" xfId="1693" xr:uid="{00000000-0005-0000-0000-0000E1090000}"/>
    <cellStyle name="Normal 30 6" xfId="1694" xr:uid="{00000000-0005-0000-0000-0000E2090000}"/>
    <cellStyle name="Normal 30 6 2" xfId="1695" xr:uid="{00000000-0005-0000-0000-0000E3090000}"/>
    <cellStyle name="Normal 30 6 2 2" xfId="1696" xr:uid="{00000000-0005-0000-0000-0000E4090000}"/>
    <cellStyle name="Normal 30 6 3" xfId="1697" xr:uid="{00000000-0005-0000-0000-0000E5090000}"/>
    <cellStyle name="Normal 30 7" xfId="1698" xr:uid="{00000000-0005-0000-0000-0000E6090000}"/>
    <cellStyle name="Normal 30 7 2" xfId="1699" xr:uid="{00000000-0005-0000-0000-0000E7090000}"/>
    <cellStyle name="Normal 30 7 2 2" xfId="1700" xr:uid="{00000000-0005-0000-0000-0000E8090000}"/>
    <cellStyle name="Normal 30 7 3" xfId="1701" xr:uid="{00000000-0005-0000-0000-0000E9090000}"/>
    <cellStyle name="Normal 30 8" xfId="1702" xr:uid="{00000000-0005-0000-0000-0000EA090000}"/>
    <cellStyle name="Normal 30 8 2" xfId="1703" xr:uid="{00000000-0005-0000-0000-0000EB090000}"/>
    <cellStyle name="Normal 30 8 2 2" xfId="1704" xr:uid="{00000000-0005-0000-0000-0000EC090000}"/>
    <cellStyle name="Normal 30 8 3" xfId="1705" xr:uid="{00000000-0005-0000-0000-0000ED090000}"/>
    <cellStyle name="Normal 30 9" xfId="1706" xr:uid="{00000000-0005-0000-0000-0000EE090000}"/>
    <cellStyle name="Normal 30 9 2" xfId="1707" xr:uid="{00000000-0005-0000-0000-0000EF090000}"/>
    <cellStyle name="Normal 30 9 2 2" xfId="1708" xr:uid="{00000000-0005-0000-0000-0000F0090000}"/>
    <cellStyle name="Normal 30 9 3" xfId="1709" xr:uid="{00000000-0005-0000-0000-0000F1090000}"/>
    <cellStyle name="Normal 31" xfId="1710" xr:uid="{00000000-0005-0000-0000-0000F2090000}"/>
    <cellStyle name="Normal 31 10" xfId="1711" xr:uid="{00000000-0005-0000-0000-0000F3090000}"/>
    <cellStyle name="Normal 31 10 2" xfId="1712" xr:uid="{00000000-0005-0000-0000-0000F4090000}"/>
    <cellStyle name="Normal 31 10 2 2" xfId="1713" xr:uid="{00000000-0005-0000-0000-0000F5090000}"/>
    <cellStyle name="Normal 31 10 3" xfId="1714" xr:uid="{00000000-0005-0000-0000-0000F6090000}"/>
    <cellStyle name="Normal 31 11" xfId="1715" xr:uid="{00000000-0005-0000-0000-0000F7090000}"/>
    <cellStyle name="Normal 31 11 2" xfId="1716" xr:uid="{00000000-0005-0000-0000-0000F8090000}"/>
    <cellStyle name="Normal 31 11 2 2" xfId="1717" xr:uid="{00000000-0005-0000-0000-0000F9090000}"/>
    <cellStyle name="Normal 31 11 3" xfId="1718" xr:uid="{00000000-0005-0000-0000-0000FA090000}"/>
    <cellStyle name="Normal 31 12" xfId="1719" xr:uid="{00000000-0005-0000-0000-0000FB090000}"/>
    <cellStyle name="Normal 31 12 2" xfId="1720" xr:uid="{00000000-0005-0000-0000-0000FC090000}"/>
    <cellStyle name="Normal 31 12 2 2" xfId="1721" xr:uid="{00000000-0005-0000-0000-0000FD090000}"/>
    <cellStyle name="Normal 31 12 3" xfId="1722" xr:uid="{00000000-0005-0000-0000-0000FE090000}"/>
    <cellStyle name="Normal 31 13" xfId="1723" xr:uid="{00000000-0005-0000-0000-0000FF090000}"/>
    <cellStyle name="Normal 31 13 2" xfId="1724" xr:uid="{00000000-0005-0000-0000-0000000A0000}"/>
    <cellStyle name="Normal 31 14" xfId="1725" xr:uid="{00000000-0005-0000-0000-0000010A0000}"/>
    <cellStyle name="Normal 31 14 2" xfId="1726" xr:uid="{00000000-0005-0000-0000-0000020A0000}"/>
    <cellStyle name="Normal 31 15" xfId="1727" xr:uid="{00000000-0005-0000-0000-0000030A0000}"/>
    <cellStyle name="Normal 31 15 2" xfId="1728" xr:uid="{00000000-0005-0000-0000-0000040A0000}"/>
    <cellStyle name="Normal 31 16" xfId="1729" xr:uid="{00000000-0005-0000-0000-0000050A0000}"/>
    <cellStyle name="Normal 31 16 2" xfId="1730" xr:uid="{00000000-0005-0000-0000-0000060A0000}"/>
    <cellStyle name="Normal 31 17" xfId="1731" xr:uid="{00000000-0005-0000-0000-0000070A0000}"/>
    <cellStyle name="Normal 31 17 2" xfId="1732" xr:uid="{00000000-0005-0000-0000-0000080A0000}"/>
    <cellStyle name="Normal 31 18" xfId="1733" xr:uid="{00000000-0005-0000-0000-0000090A0000}"/>
    <cellStyle name="Normal 31 18 2" xfId="1734" xr:uid="{00000000-0005-0000-0000-00000A0A0000}"/>
    <cellStyle name="Normal 31 19" xfId="1735" xr:uid="{00000000-0005-0000-0000-00000B0A0000}"/>
    <cellStyle name="Normal 31 19 2" xfId="1736" xr:uid="{00000000-0005-0000-0000-00000C0A0000}"/>
    <cellStyle name="Normal 31 2" xfId="1737" xr:uid="{00000000-0005-0000-0000-00000D0A0000}"/>
    <cellStyle name="Normal 31 2 2" xfId="1738" xr:uid="{00000000-0005-0000-0000-00000E0A0000}"/>
    <cellStyle name="Normal 31 2 2 2" xfId="1739" xr:uid="{00000000-0005-0000-0000-00000F0A0000}"/>
    <cellStyle name="Normal 31 2 3" xfId="1740" xr:uid="{00000000-0005-0000-0000-0000100A0000}"/>
    <cellStyle name="Normal 31 2 4" xfId="4407" xr:uid="{00000000-0005-0000-0000-0000110A0000}"/>
    <cellStyle name="Normal 31 2 4 2" xfId="4839" xr:uid="{00000000-0005-0000-0000-0000120A0000}"/>
    <cellStyle name="Normal 31 20" xfId="4242" xr:uid="{00000000-0005-0000-0000-0000130A0000}"/>
    <cellStyle name="Normal 31 20 2" xfId="5141" xr:uid="{00000000-0005-0000-0000-0000140A0000}"/>
    <cellStyle name="Normal 31 21" xfId="4686" xr:uid="{00000000-0005-0000-0000-0000150A0000}"/>
    <cellStyle name="Normal 31 3" xfId="1741" xr:uid="{00000000-0005-0000-0000-0000160A0000}"/>
    <cellStyle name="Normal 31 3 2" xfId="1742" xr:uid="{00000000-0005-0000-0000-0000170A0000}"/>
    <cellStyle name="Normal 31 3 2 2" xfId="1743" xr:uid="{00000000-0005-0000-0000-0000180A0000}"/>
    <cellStyle name="Normal 31 3 3" xfId="1744" xr:uid="{00000000-0005-0000-0000-0000190A0000}"/>
    <cellStyle name="Normal 31 4" xfId="1745" xr:uid="{00000000-0005-0000-0000-00001A0A0000}"/>
    <cellStyle name="Normal 31 4 2" xfId="1746" xr:uid="{00000000-0005-0000-0000-00001B0A0000}"/>
    <cellStyle name="Normal 31 4 2 2" xfId="1747" xr:uid="{00000000-0005-0000-0000-00001C0A0000}"/>
    <cellStyle name="Normal 31 4 3" xfId="1748" xr:uid="{00000000-0005-0000-0000-00001D0A0000}"/>
    <cellStyle name="Normal 31 5" xfId="1749" xr:uid="{00000000-0005-0000-0000-00001E0A0000}"/>
    <cellStyle name="Normal 31 5 2" xfId="1750" xr:uid="{00000000-0005-0000-0000-00001F0A0000}"/>
    <cellStyle name="Normal 31 5 2 2" xfId="1751" xr:uid="{00000000-0005-0000-0000-0000200A0000}"/>
    <cellStyle name="Normal 31 5 3" xfId="1752" xr:uid="{00000000-0005-0000-0000-0000210A0000}"/>
    <cellStyle name="Normal 31 6" xfId="1753" xr:uid="{00000000-0005-0000-0000-0000220A0000}"/>
    <cellStyle name="Normal 31 6 2" xfId="1754" xr:uid="{00000000-0005-0000-0000-0000230A0000}"/>
    <cellStyle name="Normal 31 6 2 2" xfId="1755" xr:uid="{00000000-0005-0000-0000-0000240A0000}"/>
    <cellStyle name="Normal 31 6 3" xfId="1756" xr:uid="{00000000-0005-0000-0000-0000250A0000}"/>
    <cellStyle name="Normal 31 7" xfId="1757" xr:uid="{00000000-0005-0000-0000-0000260A0000}"/>
    <cellStyle name="Normal 31 7 2" xfId="1758" xr:uid="{00000000-0005-0000-0000-0000270A0000}"/>
    <cellStyle name="Normal 31 7 2 2" xfId="1759" xr:uid="{00000000-0005-0000-0000-0000280A0000}"/>
    <cellStyle name="Normal 31 7 3" xfId="1760" xr:uid="{00000000-0005-0000-0000-0000290A0000}"/>
    <cellStyle name="Normal 31 8" xfId="1761" xr:uid="{00000000-0005-0000-0000-00002A0A0000}"/>
    <cellStyle name="Normal 31 8 2" xfId="1762" xr:uid="{00000000-0005-0000-0000-00002B0A0000}"/>
    <cellStyle name="Normal 31 8 2 2" xfId="1763" xr:uid="{00000000-0005-0000-0000-00002C0A0000}"/>
    <cellStyle name="Normal 31 8 3" xfId="1764" xr:uid="{00000000-0005-0000-0000-00002D0A0000}"/>
    <cellStyle name="Normal 31 9" xfId="1765" xr:uid="{00000000-0005-0000-0000-00002E0A0000}"/>
    <cellStyle name="Normal 31 9 2" xfId="1766" xr:uid="{00000000-0005-0000-0000-00002F0A0000}"/>
    <cellStyle name="Normal 31 9 2 2" xfId="1767" xr:uid="{00000000-0005-0000-0000-0000300A0000}"/>
    <cellStyle name="Normal 31 9 3" xfId="1768" xr:uid="{00000000-0005-0000-0000-0000310A0000}"/>
    <cellStyle name="Normal 32" xfId="1769" xr:uid="{00000000-0005-0000-0000-0000320A0000}"/>
    <cellStyle name="Normal 32 2" xfId="4243" xr:uid="{00000000-0005-0000-0000-0000330A0000}"/>
    <cellStyle name="Normal 32 2 2" xfId="4838" xr:uid="{00000000-0005-0000-0000-0000340A0000}"/>
    <cellStyle name="Normal 32 3" xfId="4687" xr:uid="{00000000-0005-0000-0000-0000350A0000}"/>
    <cellStyle name="Normal 33" xfId="1770" xr:uid="{00000000-0005-0000-0000-0000360A0000}"/>
    <cellStyle name="Normal 33 10" xfId="1771" xr:uid="{00000000-0005-0000-0000-0000370A0000}"/>
    <cellStyle name="Normal 33 10 2" xfId="1772" xr:uid="{00000000-0005-0000-0000-0000380A0000}"/>
    <cellStyle name="Normal 33 10 2 2" xfId="1773" xr:uid="{00000000-0005-0000-0000-0000390A0000}"/>
    <cellStyle name="Normal 33 10 3" xfId="1774" xr:uid="{00000000-0005-0000-0000-00003A0A0000}"/>
    <cellStyle name="Normal 33 11" xfId="1775" xr:uid="{00000000-0005-0000-0000-00003B0A0000}"/>
    <cellStyle name="Normal 33 11 2" xfId="1776" xr:uid="{00000000-0005-0000-0000-00003C0A0000}"/>
    <cellStyle name="Normal 33 11 2 2" xfId="1777" xr:uid="{00000000-0005-0000-0000-00003D0A0000}"/>
    <cellStyle name="Normal 33 11 3" xfId="1778" xr:uid="{00000000-0005-0000-0000-00003E0A0000}"/>
    <cellStyle name="Normal 33 12" xfId="1779" xr:uid="{00000000-0005-0000-0000-00003F0A0000}"/>
    <cellStyle name="Normal 33 12 2" xfId="1780" xr:uid="{00000000-0005-0000-0000-0000400A0000}"/>
    <cellStyle name="Normal 33 12 2 2" xfId="1781" xr:uid="{00000000-0005-0000-0000-0000410A0000}"/>
    <cellStyle name="Normal 33 12 3" xfId="1782" xr:uid="{00000000-0005-0000-0000-0000420A0000}"/>
    <cellStyle name="Normal 33 13" xfId="1783" xr:uid="{00000000-0005-0000-0000-0000430A0000}"/>
    <cellStyle name="Normal 33 13 2" xfId="1784" xr:uid="{00000000-0005-0000-0000-0000440A0000}"/>
    <cellStyle name="Normal 33 14" xfId="1785" xr:uid="{00000000-0005-0000-0000-0000450A0000}"/>
    <cellStyle name="Normal 33 14 2" xfId="1786" xr:uid="{00000000-0005-0000-0000-0000460A0000}"/>
    <cellStyle name="Normal 33 15" xfId="1787" xr:uid="{00000000-0005-0000-0000-0000470A0000}"/>
    <cellStyle name="Normal 33 15 2" xfId="1788" xr:uid="{00000000-0005-0000-0000-0000480A0000}"/>
    <cellStyle name="Normal 33 16" xfId="1789" xr:uid="{00000000-0005-0000-0000-0000490A0000}"/>
    <cellStyle name="Normal 33 16 2" xfId="1790" xr:uid="{00000000-0005-0000-0000-00004A0A0000}"/>
    <cellStyle name="Normal 33 17" xfId="1791" xr:uid="{00000000-0005-0000-0000-00004B0A0000}"/>
    <cellStyle name="Normal 33 17 2" xfId="1792" xr:uid="{00000000-0005-0000-0000-00004C0A0000}"/>
    <cellStyle name="Normal 33 18" xfId="1793" xr:uid="{00000000-0005-0000-0000-00004D0A0000}"/>
    <cellStyle name="Normal 33 18 2" xfId="1794" xr:uid="{00000000-0005-0000-0000-00004E0A0000}"/>
    <cellStyle name="Normal 33 19" xfId="1795" xr:uid="{00000000-0005-0000-0000-00004F0A0000}"/>
    <cellStyle name="Normal 33 19 2" xfId="1796" xr:uid="{00000000-0005-0000-0000-0000500A0000}"/>
    <cellStyle name="Normal 33 2" xfId="1797" xr:uid="{00000000-0005-0000-0000-0000510A0000}"/>
    <cellStyle name="Normal 33 2 2" xfId="1798" xr:uid="{00000000-0005-0000-0000-0000520A0000}"/>
    <cellStyle name="Normal 33 2 2 2" xfId="1799" xr:uid="{00000000-0005-0000-0000-0000530A0000}"/>
    <cellStyle name="Normal 33 2 3" xfId="1800" xr:uid="{00000000-0005-0000-0000-0000540A0000}"/>
    <cellStyle name="Normal 33 2 4" xfId="4406" xr:uid="{00000000-0005-0000-0000-0000550A0000}"/>
    <cellStyle name="Normal 33 2 4 2" xfId="4837" xr:uid="{00000000-0005-0000-0000-0000560A0000}"/>
    <cellStyle name="Normal 33 20" xfId="4244" xr:uid="{00000000-0005-0000-0000-0000570A0000}"/>
    <cellStyle name="Normal 33 20 2" xfId="5142" xr:uid="{00000000-0005-0000-0000-0000580A0000}"/>
    <cellStyle name="Normal 33 21" xfId="4688" xr:uid="{00000000-0005-0000-0000-0000590A0000}"/>
    <cellStyle name="Normal 33 3" xfId="1801" xr:uid="{00000000-0005-0000-0000-00005A0A0000}"/>
    <cellStyle name="Normal 33 3 2" xfId="1802" xr:uid="{00000000-0005-0000-0000-00005B0A0000}"/>
    <cellStyle name="Normal 33 3 2 2" xfId="1803" xr:uid="{00000000-0005-0000-0000-00005C0A0000}"/>
    <cellStyle name="Normal 33 3 3" xfId="1804" xr:uid="{00000000-0005-0000-0000-00005D0A0000}"/>
    <cellStyle name="Normal 33 4" xfId="1805" xr:uid="{00000000-0005-0000-0000-00005E0A0000}"/>
    <cellStyle name="Normal 33 4 2" xfId="1806" xr:uid="{00000000-0005-0000-0000-00005F0A0000}"/>
    <cellStyle name="Normal 33 4 2 2" xfId="1807" xr:uid="{00000000-0005-0000-0000-0000600A0000}"/>
    <cellStyle name="Normal 33 4 3" xfId="1808" xr:uid="{00000000-0005-0000-0000-0000610A0000}"/>
    <cellStyle name="Normal 33 5" xfId="1809" xr:uid="{00000000-0005-0000-0000-0000620A0000}"/>
    <cellStyle name="Normal 33 5 2" xfId="1810" xr:uid="{00000000-0005-0000-0000-0000630A0000}"/>
    <cellStyle name="Normal 33 5 2 2" xfId="1811" xr:uid="{00000000-0005-0000-0000-0000640A0000}"/>
    <cellStyle name="Normal 33 5 3" xfId="1812" xr:uid="{00000000-0005-0000-0000-0000650A0000}"/>
    <cellStyle name="Normal 33 6" xfId="1813" xr:uid="{00000000-0005-0000-0000-0000660A0000}"/>
    <cellStyle name="Normal 33 6 2" xfId="1814" xr:uid="{00000000-0005-0000-0000-0000670A0000}"/>
    <cellStyle name="Normal 33 6 2 2" xfId="1815" xr:uid="{00000000-0005-0000-0000-0000680A0000}"/>
    <cellStyle name="Normal 33 6 3" xfId="1816" xr:uid="{00000000-0005-0000-0000-0000690A0000}"/>
    <cellStyle name="Normal 33 7" xfId="1817" xr:uid="{00000000-0005-0000-0000-00006A0A0000}"/>
    <cellStyle name="Normal 33 7 2" xfId="1818" xr:uid="{00000000-0005-0000-0000-00006B0A0000}"/>
    <cellStyle name="Normal 33 7 2 2" xfId="1819" xr:uid="{00000000-0005-0000-0000-00006C0A0000}"/>
    <cellStyle name="Normal 33 7 3" xfId="1820" xr:uid="{00000000-0005-0000-0000-00006D0A0000}"/>
    <cellStyle name="Normal 33 8" xfId="1821" xr:uid="{00000000-0005-0000-0000-00006E0A0000}"/>
    <cellStyle name="Normal 33 8 2" xfId="1822" xr:uid="{00000000-0005-0000-0000-00006F0A0000}"/>
    <cellStyle name="Normal 33 8 2 2" xfId="1823" xr:uid="{00000000-0005-0000-0000-0000700A0000}"/>
    <cellStyle name="Normal 33 8 3" xfId="1824" xr:uid="{00000000-0005-0000-0000-0000710A0000}"/>
    <cellStyle name="Normal 33 9" xfId="1825" xr:uid="{00000000-0005-0000-0000-0000720A0000}"/>
    <cellStyle name="Normal 33 9 2" xfId="1826" xr:uid="{00000000-0005-0000-0000-0000730A0000}"/>
    <cellStyle name="Normal 33 9 2 2" xfId="1827" xr:uid="{00000000-0005-0000-0000-0000740A0000}"/>
    <cellStyle name="Normal 33 9 3" xfId="1828" xr:uid="{00000000-0005-0000-0000-0000750A0000}"/>
    <cellStyle name="Normal 34" xfId="1829" xr:uid="{00000000-0005-0000-0000-0000760A0000}"/>
    <cellStyle name="Normal 34 10" xfId="4245" xr:uid="{00000000-0005-0000-0000-0000770A0000}"/>
    <cellStyle name="Normal 34 10 2" xfId="5143" xr:uid="{00000000-0005-0000-0000-0000780A0000}"/>
    <cellStyle name="Normal 34 11" xfId="4689" xr:uid="{00000000-0005-0000-0000-0000790A0000}"/>
    <cellStyle name="Normal 34 2" xfId="1830" xr:uid="{00000000-0005-0000-0000-00007A0A0000}"/>
    <cellStyle name="Normal 34 2 2" xfId="1831" xr:uid="{00000000-0005-0000-0000-00007B0A0000}"/>
    <cellStyle name="Normal 34 2 2 2" xfId="1832" xr:uid="{00000000-0005-0000-0000-00007C0A0000}"/>
    <cellStyle name="Normal 34 2 3" xfId="1833" xr:uid="{00000000-0005-0000-0000-00007D0A0000}"/>
    <cellStyle name="Normal 34 2 4" xfId="4403" xr:uid="{00000000-0005-0000-0000-00007E0A0000}"/>
    <cellStyle name="Normal 34 2 4 2" xfId="4834" xr:uid="{00000000-0005-0000-0000-00007F0A0000}"/>
    <cellStyle name="Normal 34 3" xfId="1834" xr:uid="{00000000-0005-0000-0000-0000800A0000}"/>
    <cellStyle name="Normal 34 3 2" xfId="1835" xr:uid="{00000000-0005-0000-0000-0000810A0000}"/>
    <cellStyle name="Normal 34 3 2 2" xfId="1836" xr:uid="{00000000-0005-0000-0000-0000820A0000}"/>
    <cellStyle name="Normal 34 3 3" xfId="1837" xr:uid="{00000000-0005-0000-0000-0000830A0000}"/>
    <cellStyle name="Normal 34 4" xfId="1838" xr:uid="{00000000-0005-0000-0000-0000840A0000}"/>
    <cellStyle name="Normal 34 4 2" xfId="1839" xr:uid="{00000000-0005-0000-0000-0000850A0000}"/>
    <cellStyle name="Normal 34 4 2 2" xfId="1840" xr:uid="{00000000-0005-0000-0000-0000860A0000}"/>
    <cellStyle name="Normal 34 4 3" xfId="1841" xr:uid="{00000000-0005-0000-0000-0000870A0000}"/>
    <cellStyle name="Normal 34 5" xfId="1842" xr:uid="{00000000-0005-0000-0000-0000880A0000}"/>
    <cellStyle name="Normal 34 5 2" xfId="1843" xr:uid="{00000000-0005-0000-0000-0000890A0000}"/>
    <cellStyle name="Normal 34 5 2 2" xfId="1844" xr:uid="{00000000-0005-0000-0000-00008A0A0000}"/>
    <cellStyle name="Normal 34 5 3" xfId="1845" xr:uid="{00000000-0005-0000-0000-00008B0A0000}"/>
    <cellStyle name="Normal 34 6" xfId="1846" xr:uid="{00000000-0005-0000-0000-00008C0A0000}"/>
    <cellStyle name="Normal 34 6 2" xfId="1847" xr:uid="{00000000-0005-0000-0000-00008D0A0000}"/>
    <cellStyle name="Normal 34 6 2 2" xfId="1848" xr:uid="{00000000-0005-0000-0000-00008E0A0000}"/>
    <cellStyle name="Normal 34 6 3" xfId="1849" xr:uid="{00000000-0005-0000-0000-00008F0A0000}"/>
    <cellStyle name="Normal 34 7" xfId="1850" xr:uid="{00000000-0005-0000-0000-0000900A0000}"/>
    <cellStyle name="Normal 34 7 2" xfId="1851" xr:uid="{00000000-0005-0000-0000-0000910A0000}"/>
    <cellStyle name="Normal 34 7 2 2" xfId="1852" xr:uid="{00000000-0005-0000-0000-0000920A0000}"/>
    <cellStyle name="Normal 34 7 3" xfId="1853" xr:uid="{00000000-0005-0000-0000-0000930A0000}"/>
    <cellStyle name="Normal 34 8" xfId="1854" xr:uid="{00000000-0005-0000-0000-0000940A0000}"/>
    <cellStyle name="Normal 34 8 2" xfId="1855" xr:uid="{00000000-0005-0000-0000-0000950A0000}"/>
    <cellStyle name="Normal 34 9" xfId="1856" xr:uid="{00000000-0005-0000-0000-0000960A0000}"/>
    <cellStyle name="Normal 34 9 2" xfId="1857" xr:uid="{00000000-0005-0000-0000-0000970A0000}"/>
    <cellStyle name="Normal 35" xfId="1858" xr:uid="{00000000-0005-0000-0000-0000980A0000}"/>
    <cellStyle name="Normal 35 10" xfId="1859" xr:uid="{00000000-0005-0000-0000-0000990A0000}"/>
    <cellStyle name="Normal 35 10 2" xfId="1860" xr:uid="{00000000-0005-0000-0000-00009A0A0000}"/>
    <cellStyle name="Normal 35 11" xfId="1861" xr:uid="{00000000-0005-0000-0000-00009B0A0000}"/>
    <cellStyle name="Normal 35 11 2" xfId="1862" xr:uid="{00000000-0005-0000-0000-00009C0A0000}"/>
    <cellStyle name="Normal 35 12" xfId="1863" xr:uid="{00000000-0005-0000-0000-00009D0A0000}"/>
    <cellStyle name="Normal 35 12 2" xfId="1864" xr:uid="{00000000-0005-0000-0000-00009E0A0000}"/>
    <cellStyle name="Normal 35 13" xfId="1865" xr:uid="{00000000-0005-0000-0000-00009F0A0000}"/>
    <cellStyle name="Normal 35 13 2" xfId="1866" xr:uid="{00000000-0005-0000-0000-0000A00A0000}"/>
    <cellStyle name="Normal 35 14" xfId="1867" xr:uid="{00000000-0005-0000-0000-0000A10A0000}"/>
    <cellStyle name="Normal 35 14 2" xfId="1868" xr:uid="{00000000-0005-0000-0000-0000A20A0000}"/>
    <cellStyle name="Normal 35 15" xfId="4435" xr:uid="{00000000-0005-0000-0000-0000A30A0000}"/>
    <cellStyle name="Normal 35 15 2" xfId="4992" xr:uid="{00000000-0005-0000-0000-0000A40A0000}"/>
    <cellStyle name="Normal 35 2" xfId="1869" xr:uid="{00000000-0005-0000-0000-0000A50A0000}"/>
    <cellStyle name="Normal 35 2 2" xfId="1870" xr:uid="{00000000-0005-0000-0000-0000A60A0000}"/>
    <cellStyle name="Normal 35 2 2 2" xfId="1871" xr:uid="{00000000-0005-0000-0000-0000A70A0000}"/>
    <cellStyle name="Normal 35 2 3" xfId="1872" xr:uid="{00000000-0005-0000-0000-0000A80A0000}"/>
    <cellStyle name="Normal 35 2 4" xfId="4399" xr:uid="{00000000-0005-0000-0000-0000A90A0000}"/>
    <cellStyle name="Normal 35 2 4 2" xfId="4827" xr:uid="{00000000-0005-0000-0000-0000AA0A0000}"/>
    <cellStyle name="Normal 35 3" xfId="1873" xr:uid="{00000000-0005-0000-0000-0000AB0A0000}"/>
    <cellStyle name="Normal 35 3 2" xfId="1874" xr:uid="{00000000-0005-0000-0000-0000AC0A0000}"/>
    <cellStyle name="Normal 35 3 2 2" xfId="1875" xr:uid="{00000000-0005-0000-0000-0000AD0A0000}"/>
    <cellStyle name="Normal 35 3 3" xfId="1876" xr:uid="{00000000-0005-0000-0000-0000AE0A0000}"/>
    <cellStyle name="Normal 35 4" xfId="1877" xr:uid="{00000000-0005-0000-0000-0000AF0A0000}"/>
    <cellStyle name="Normal 35 4 2" xfId="1878" xr:uid="{00000000-0005-0000-0000-0000B00A0000}"/>
    <cellStyle name="Normal 35 4 2 2" xfId="1879" xr:uid="{00000000-0005-0000-0000-0000B10A0000}"/>
    <cellStyle name="Normal 35 4 3" xfId="1880" xr:uid="{00000000-0005-0000-0000-0000B20A0000}"/>
    <cellStyle name="Normal 35 5" xfId="1881" xr:uid="{00000000-0005-0000-0000-0000B30A0000}"/>
    <cellStyle name="Normal 35 5 2" xfId="1882" xr:uid="{00000000-0005-0000-0000-0000B40A0000}"/>
    <cellStyle name="Normal 35 5 2 2" xfId="1883" xr:uid="{00000000-0005-0000-0000-0000B50A0000}"/>
    <cellStyle name="Normal 35 5 3" xfId="1884" xr:uid="{00000000-0005-0000-0000-0000B60A0000}"/>
    <cellStyle name="Normal 35 6" xfId="1885" xr:uid="{00000000-0005-0000-0000-0000B70A0000}"/>
    <cellStyle name="Normal 35 6 2" xfId="1886" xr:uid="{00000000-0005-0000-0000-0000B80A0000}"/>
    <cellStyle name="Normal 35 6 2 2" xfId="1887" xr:uid="{00000000-0005-0000-0000-0000B90A0000}"/>
    <cellStyle name="Normal 35 6 3" xfId="1888" xr:uid="{00000000-0005-0000-0000-0000BA0A0000}"/>
    <cellStyle name="Normal 35 7" xfId="1889" xr:uid="{00000000-0005-0000-0000-0000BB0A0000}"/>
    <cellStyle name="Normal 35 7 2" xfId="1890" xr:uid="{00000000-0005-0000-0000-0000BC0A0000}"/>
    <cellStyle name="Normal 35 7 2 2" xfId="1891" xr:uid="{00000000-0005-0000-0000-0000BD0A0000}"/>
    <cellStyle name="Normal 35 7 3" xfId="1892" xr:uid="{00000000-0005-0000-0000-0000BE0A0000}"/>
    <cellStyle name="Normal 35 8" xfId="1893" xr:uid="{00000000-0005-0000-0000-0000BF0A0000}"/>
    <cellStyle name="Normal 35 8 2" xfId="1894" xr:uid="{00000000-0005-0000-0000-0000C00A0000}"/>
    <cellStyle name="Normal 35 9" xfId="1895" xr:uid="{00000000-0005-0000-0000-0000C10A0000}"/>
    <cellStyle name="Normal 35 9 2" xfId="1896" xr:uid="{00000000-0005-0000-0000-0000C20A0000}"/>
    <cellStyle name="Normal 36" xfId="1897" xr:uid="{00000000-0005-0000-0000-0000C30A0000}"/>
    <cellStyle name="Normal 36 2" xfId="4400" xr:uid="{00000000-0005-0000-0000-0000C40A0000}"/>
    <cellStyle name="Normal 36 2 2" xfId="4828" xr:uid="{00000000-0005-0000-0000-0000C50A0000}"/>
    <cellStyle name="Normal 36 3" xfId="4436" xr:uid="{00000000-0005-0000-0000-0000C60A0000}"/>
    <cellStyle name="Normal 36 3 2" xfId="4993" xr:uid="{00000000-0005-0000-0000-0000C70A0000}"/>
    <cellStyle name="Normal 37" xfId="3983" xr:uid="{00000000-0005-0000-0000-0000C80A0000}"/>
    <cellStyle name="Normal 37 10" xfId="1898" xr:uid="{00000000-0005-0000-0000-0000C90A0000}"/>
    <cellStyle name="Normal 37 10 2" xfId="1899" xr:uid="{00000000-0005-0000-0000-0000CA0A0000}"/>
    <cellStyle name="Normal 37 11" xfId="1900" xr:uid="{00000000-0005-0000-0000-0000CB0A0000}"/>
    <cellStyle name="Normal 37 11 2" xfId="1901" xr:uid="{00000000-0005-0000-0000-0000CC0A0000}"/>
    <cellStyle name="Normal 37 12" xfId="1902" xr:uid="{00000000-0005-0000-0000-0000CD0A0000}"/>
    <cellStyle name="Normal 37 12 2" xfId="1903" xr:uid="{00000000-0005-0000-0000-0000CE0A0000}"/>
    <cellStyle name="Normal 37 13" xfId="1904" xr:uid="{00000000-0005-0000-0000-0000CF0A0000}"/>
    <cellStyle name="Normal 37 13 2" xfId="1905" xr:uid="{00000000-0005-0000-0000-0000D00A0000}"/>
    <cellStyle name="Normal 37 14" xfId="1906" xr:uid="{00000000-0005-0000-0000-0000D10A0000}"/>
    <cellStyle name="Normal 37 14 2" xfId="1907" xr:uid="{00000000-0005-0000-0000-0000D20A0000}"/>
    <cellStyle name="Normal 37 15" xfId="4434" xr:uid="{00000000-0005-0000-0000-0000D30A0000}"/>
    <cellStyle name="Normal 37 15 2" xfId="4991" xr:uid="{00000000-0005-0000-0000-0000D40A0000}"/>
    <cellStyle name="Normal 37 2" xfId="1908" xr:uid="{00000000-0005-0000-0000-0000D50A0000}"/>
    <cellStyle name="Normal 37 2 2" xfId="1909" xr:uid="{00000000-0005-0000-0000-0000D60A0000}"/>
    <cellStyle name="Normal 37 2 2 2" xfId="1910" xr:uid="{00000000-0005-0000-0000-0000D70A0000}"/>
    <cellStyle name="Normal 37 2 3" xfId="1911" xr:uid="{00000000-0005-0000-0000-0000D80A0000}"/>
    <cellStyle name="Normal 37 2 4" xfId="4398" xr:uid="{00000000-0005-0000-0000-0000D90A0000}"/>
    <cellStyle name="Normal 37 2 4 2" xfId="4826" xr:uid="{00000000-0005-0000-0000-0000DA0A0000}"/>
    <cellStyle name="Normal 37 3" xfId="1912" xr:uid="{00000000-0005-0000-0000-0000DB0A0000}"/>
    <cellStyle name="Normal 37 3 2" xfId="1913" xr:uid="{00000000-0005-0000-0000-0000DC0A0000}"/>
    <cellStyle name="Normal 37 3 2 2" xfId="1914" xr:uid="{00000000-0005-0000-0000-0000DD0A0000}"/>
    <cellStyle name="Normal 37 3 3" xfId="1915" xr:uid="{00000000-0005-0000-0000-0000DE0A0000}"/>
    <cellStyle name="Normal 37 4" xfId="1916" xr:uid="{00000000-0005-0000-0000-0000DF0A0000}"/>
    <cellStyle name="Normal 37 4 2" xfId="1917" xr:uid="{00000000-0005-0000-0000-0000E00A0000}"/>
    <cellStyle name="Normal 37 4 2 2" xfId="1918" xr:uid="{00000000-0005-0000-0000-0000E10A0000}"/>
    <cellStyle name="Normal 37 4 3" xfId="1919" xr:uid="{00000000-0005-0000-0000-0000E20A0000}"/>
    <cellStyle name="Normal 37 5" xfId="1920" xr:uid="{00000000-0005-0000-0000-0000E30A0000}"/>
    <cellStyle name="Normal 37 5 2" xfId="1921" xr:uid="{00000000-0005-0000-0000-0000E40A0000}"/>
    <cellStyle name="Normal 37 5 2 2" xfId="1922" xr:uid="{00000000-0005-0000-0000-0000E50A0000}"/>
    <cellStyle name="Normal 37 5 3" xfId="1923" xr:uid="{00000000-0005-0000-0000-0000E60A0000}"/>
    <cellStyle name="Normal 37 6" xfId="1924" xr:uid="{00000000-0005-0000-0000-0000E70A0000}"/>
    <cellStyle name="Normal 37 6 2" xfId="1925" xr:uid="{00000000-0005-0000-0000-0000E80A0000}"/>
    <cellStyle name="Normal 37 6 2 2" xfId="1926" xr:uid="{00000000-0005-0000-0000-0000E90A0000}"/>
    <cellStyle name="Normal 37 6 3" xfId="1927" xr:uid="{00000000-0005-0000-0000-0000EA0A0000}"/>
    <cellStyle name="Normal 37 7" xfId="1928" xr:uid="{00000000-0005-0000-0000-0000EB0A0000}"/>
    <cellStyle name="Normal 37 7 2" xfId="1929" xr:uid="{00000000-0005-0000-0000-0000EC0A0000}"/>
    <cellStyle name="Normal 37 7 2 2" xfId="1930" xr:uid="{00000000-0005-0000-0000-0000ED0A0000}"/>
    <cellStyle name="Normal 37 7 3" xfId="1931" xr:uid="{00000000-0005-0000-0000-0000EE0A0000}"/>
    <cellStyle name="Normal 37 8" xfId="1932" xr:uid="{00000000-0005-0000-0000-0000EF0A0000}"/>
    <cellStyle name="Normal 37 8 2" xfId="1933" xr:uid="{00000000-0005-0000-0000-0000F00A0000}"/>
    <cellStyle name="Normal 37 9" xfId="1934" xr:uid="{00000000-0005-0000-0000-0000F10A0000}"/>
    <cellStyle name="Normal 37 9 2" xfId="1935" xr:uid="{00000000-0005-0000-0000-0000F20A0000}"/>
    <cellStyle name="Normal 38" xfId="3986" xr:uid="{00000000-0005-0000-0000-0000F30A0000}"/>
    <cellStyle name="Normal 38 10" xfId="4365" xr:uid="{00000000-0005-0000-0000-0000F40A0000}"/>
    <cellStyle name="Normal 38 10 2" xfId="5235" xr:uid="{00000000-0005-0000-0000-0000F50A0000}"/>
    <cellStyle name="Normal 38 11" xfId="4807" xr:uid="{00000000-0005-0000-0000-0000F60A0000}"/>
    <cellStyle name="Normal 38 2" xfId="1936" xr:uid="{00000000-0005-0000-0000-0000F70A0000}"/>
    <cellStyle name="Normal 38 2 2" xfId="1937" xr:uid="{00000000-0005-0000-0000-0000F80A0000}"/>
    <cellStyle name="Normal 38 2 2 2" xfId="1938" xr:uid="{00000000-0005-0000-0000-0000F90A0000}"/>
    <cellStyle name="Normal 38 2 3" xfId="1939" xr:uid="{00000000-0005-0000-0000-0000FA0A0000}"/>
    <cellStyle name="Normal 38 2 4" xfId="4397" xr:uid="{00000000-0005-0000-0000-0000FB0A0000}"/>
    <cellStyle name="Normal 38 2 4 2" xfId="4825" xr:uid="{00000000-0005-0000-0000-0000FC0A0000}"/>
    <cellStyle name="Normal 38 3" xfId="1940" xr:uid="{00000000-0005-0000-0000-0000FD0A0000}"/>
    <cellStyle name="Normal 38 3 2" xfId="1941" xr:uid="{00000000-0005-0000-0000-0000FE0A0000}"/>
    <cellStyle name="Normal 38 3 2 2" xfId="1942" xr:uid="{00000000-0005-0000-0000-0000FF0A0000}"/>
    <cellStyle name="Normal 38 3 3" xfId="1943" xr:uid="{00000000-0005-0000-0000-0000000B0000}"/>
    <cellStyle name="Normal 38 4" xfId="1944" xr:uid="{00000000-0005-0000-0000-0000010B0000}"/>
    <cellStyle name="Normal 38 4 2" xfId="1945" xr:uid="{00000000-0005-0000-0000-0000020B0000}"/>
    <cellStyle name="Normal 38 4 2 2" xfId="1946" xr:uid="{00000000-0005-0000-0000-0000030B0000}"/>
    <cellStyle name="Normal 38 4 3" xfId="1947" xr:uid="{00000000-0005-0000-0000-0000040B0000}"/>
    <cellStyle name="Normal 38 5" xfId="1948" xr:uid="{00000000-0005-0000-0000-0000050B0000}"/>
    <cellStyle name="Normal 38 5 2" xfId="1949" xr:uid="{00000000-0005-0000-0000-0000060B0000}"/>
    <cellStyle name="Normal 38 5 2 2" xfId="1950" xr:uid="{00000000-0005-0000-0000-0000070B0000}"/>
    <cellStyle name="Normal 38 5 3" xfId="1951" xr:uid="{00000000-0005-0000-0000-0000080B0000}"/>
    <cellStyle name="Normal 38 6" xfId="1952" xr:uid="{00000000-0005-0000-0000-0000090B0000}"/>
    <cellStyle name="Normal 38 6 2" xfId="1953" xr:uid="{00000000-0005-0000-0000-00000A0B0000}"/>
    <cellStyle name="Normal 38 6 2 2" xfId="1954" xr:uid="{00000000-0005-0000-0000-00000B0B0000}"/>
    <cellStyle name="Normal 38 6 3" xfId="1955" xr:uid="{00000000-0005-0000-0000-00000C0B0000}"/>
    <cellStyle name="Normal 38 7" xfId="1956" xr:uid="{00000000-0005-0000-0000-00000D0B0000}"/>
    <cellStyle name="Normal 38 7 2" xfId="1957" xr:uid="{00000000-0005-0000-0000-00000E0B0000}"/>
    <cellStyle name="Normal 38 7 2 2" xfId="1958" xr:uid="{00000000-0005-0000-0000-00000F0B0000}"/>
    <cellStyle name="Normal 38 7 3" xfId="1959" xr:uid="{00000000-0005-0000-0000-0000100B0000}"/>
    <cellStyle name="Normal 38 8" xfId="1960" xr:uid="{00000000-0005-0000-0000-0000110B0000}"/>
    <cellStyle name="Normal 38 8 2" xfId="1961" xr:uid="{00000000-0005-0000-0000-0000120B0000}"/>
    <cellStyle name="Normal 38 9" xfId="1962" xr:uid="{00000000-0005-0000-0000-0000130B0000}"/>
    <cellStyle name="Normal 38 9 2" xfId="1963" xr:uid="{00000000-0005-0000-0000-0000140B0000}"/>
    <cellStyle name="Normal 39" xfId="3995" xr:uid="{00000000-0005-0000-0000-0000150B0000}"/>
    <cellStyle name="Normal 39 10" xfId="1964" xr:uid="{00000000-0005-0000-0000-0000160B0000}"/>
    <cellStyle name="Normal 39 10 2" xfId="1965" xr:uid="{00000000-0005-0000-0000-0000170B0000}"/>
    <cellStyle name="Normal 39 11" xfId="1966" xr:uid="{00000000-0005-0000-0000-0000180B0000}"/>
    <cellStyle name="Normal 39 11 2" xfId="1967" xr:uid="{00000000-0005-0000-0000-0000190B0000}"/>
    <cellStyle name="Normal 39 12" xfId="1968" xr:uid="{00000000-0005-0000-0000-00001A0B0000}"/>
    <cellStyle name="Normal 39 12 2" xfId="1969" xr:uid="{00000000-0005-0000-0000-00001B0B0000}"/>
    <cellStyle name="Normal 39 13" xfId="1970" xr:uid="{00000000-0005-0000-0000-00001C0B0000}"/>
    <cellStyle name="Normal 39 13 2" xfId="1971" xr:uid="{00000000-0005-0000-0000-00001D0B0000}"/>
    <cellStyle name="Normal 39 14" xfId="1972" xr:uid="{00000000-0005-0000-0000-00001E0B0000}"/>
    <cellStyle name="Normal 39 14 2" xfId="1973" xr:uid="{00000000-0005-0000-0000-00001F0B0000}"/>
    <cellStyle name="Normal 39 15" xfId="4432" xr:uid="{00000000-0005-0000-0000-0000200B0000}"/>
    <cellStyle name="Normal 39 2" xfId="1974" xr:uid="{00000000-0005-0000-0000-0000210B0000}"/>
    <cellStyle name="Normal 39 2 2" xfId="1975" xr:uid="{00000000-0005-0000-0000-0000220B0000}"/>
    <cellStyle name="Normal 39 2 2 2" xfId="1976" xr:uid="{00000000-0005-0000-0000-0000230B0000}"/>
    <cellStyle name="Normal 39 2 3" xfId="1977" xr:uid="{00000000-0005-0000-0000-0000240B0000}"/>
    <cellStyle name="Normal 39 2 4" xfId="4380" xr:uid="{00000000-0005-0000-0000-0000250B0000}"/>
    <cellStyle name="Normal 39 3" xfId="1978" xr:uid="{00000000-0005-0000-0000-0000260B0000}"/>
    <cellStyle name="Normal 39 3 2" xfId="1979" xr:uid="{00000000-0005-0000-0000-0000270B0000}"/>
    <cellStyle name="Normal 39 3 2 2" xfId="1980" xr:uid="{00000000-0005-0000-0000-0000280B0000}"/>
    <cellStyle name="Normal 39 3 3" xfId="1981" xr:uid="{00000000-0005-0000-0000-0000290B0000}"/>
    <cellStyle name="Normal 39 4" xfId="1982" xr:uid="{00000000-0005-0000-0000-00002A0B0000}"/>
    <cellStyle name="Normal 39 4 2" xfId="1983" xr:uid="{00000000-0005-0000-0000-00002B0B0000}"/>
    <cellStyle name="Normal 39 4 2 2" xfId="1984" xr:uid="{00000000-0005-0000-0000-00002C0B0000}"/>
    <cellStyle name="Normal 39 4 3" xfId="1985" xr:uid="{00000000-0005-0000-0000-00002D0B0000}"/>
    <cellStyle name="Normal 39 5" xfId="1986" xr:uid="{00000000-0005-0000-0000-00002E0B0000}"/>
    <cellStyle name="Normal 39 5 2" xfId="1987" xr:uid="{00000000-0005-0000-0000-00002F0B0000}"/>
    <cellStyle name="Normal 39 5 2 2" xfId="1988" xr:uid="{00000000-0005-0000-0000-0000300B0000}"/>
    <cellStyle name="Normal 39 5 3" xfId="1989" xr:uid="{00000000-0005-0000-0000-0000310B0000}"/>
    <cellStyle name="Normal 39 6" xfId="1990" xr:uid="{00000000-0005-0000-0000-0000320B0000}"/>
    <cellStyle name="Normal 39 6 2" xfId="1991" xr:uid="{00000000-0005-0000-0000-0000330B0000}"/>
    <cellStyle name="Normal 39 6 2 2" xfId="1992" xr:uid="{00000000-0005-0000-0000-0000340B0000}"/>
    <cellStyle name="Normal 39 6 3" xfId="1993" xr:uid="{00000000-0005-0000-0000-0000350B0000}"/>
    <cellStyle name="Normal 39 7" xfId="1994" xr:uid="{00000000-0005-0000-0000-0000360B0000}"/>
    <cellStyle name="Normal 39 7 2" xfId="1995" xr:uid="{00000000-0005-0000-0000-0000370B0000}"/>
    <cellStyle name="Normal 39 7 2 2" xfId="1996" xr:uid="{00000000-0005-0000-0000-0000380B0000}"/>
    <cellStyle name="Normal 39 7 3" xfId="1997" xr:uid="{00000000-0005-0000-0000-0000390B0000}"/>
    <cellStyle name="Normal 39 8" xfId="1998" xr:uid="{00000000-0005-0000-0000-00003A0B0000}"/>
    <cellStyle name="Normal 39 8 2" xfId="1999" xr:uid="{00000000-0005-0000-0000-00003B0B0000}"/>
    <cellStyle name="Normal 39 9" xfId="2000" xr:uid="{00000000-0005-0000-0000-00003C0B0000}"/>
    <cellStyle name="Normal 39 9 2" xfId="2001" xr:uid="{00000000-0005-0000-0000-00003D0B0000}"/>
    <cellStyle name="Normal 4" xfId="3" xr:uid="{00000000-0005-0000-0000-00003E0B0000}"/>
    <cellStyle name="Normal 4 10" xfId="2002" xr:uid="{00000000-0005-0000-0000-00003F0B0000}"/>
    <cellStyle name="Normal 4 2" xfId="2003" xr:uid="{00000000-0005-0000-0000-0000400B0000}"/>
    <cellStyle name="Normal 4 2 2" xfId="2004" xr:uid="{00000000-0005-0000-0000-0000410B0000}"/>
    <cellStyle name="Normal 4 2 2 2" xfId="2005" xr:uid="{00000000-0005-0000-0000-0000420B0000}"/>
    <cellStyle name="Normal 4 2 2 2 2" xfId="4248" xr:uid="{00000000-0005-0000-0000-0000430B0000}"/>
    <cellStyle name="Normal 4 2 2 2 2 2" xfId="4864" xr:uid="{00000000-0005-0000-0000-0000440B0000}"/>
    <cellStyle name="Normal 4 2 2 2 3" xfId="4692" xr:uid="{00000000-0005-0000-0000-0000450B0000}"/>
    <cellStyle name="Normal 4 2 2 3" xfId="4247" xr:uid="{00000000-0005-0000-0000-0000460B0000}"/>
    <cellStyle name="Normal 4 2 2 3 2" xfId="4941" xr:uid="{00000000-0005-0000-0000-0000470B0000}"/>
    <cellStyle name="Normal 4 2 2 4" xfId="4691" xr:uid="{00000000-0005-0000-0000-0000480B0000}"/>
    <cellStyle name="Normal 4 2 3" xfId="2006" xr:uid="{00000000-0005-0000-0000-0000490B0000}"/>
    <cellStyle name="Normal 4 2 3 2" xfId="4249" xr:uid="{00000000-0005-0000-0000-00004A0B0000}"/>
    <cellStyle name="Normal 4 2 3 2 2" xfId="4902" xr:uid="{00000000-0005-0000-0000-00004B0B0000}"/>
    <cellStyle name="Normal 4 2 3 3" xfId="4693" xr:uid="{00000000-0005-0000-0000-00004C0B0000}"/>
    <cellStyle name="Normal 4 2 4" xfId="2007" xr:uid="{00000000-0005-0000-0000-00004D0B0000}"/>
    <cellStyle name="Normal 4 2 4 2" xfId="4420" xr:uid="{00000000-0005-0000-0000-00004E0B0000}"/>
    <cellStyle name="Normal 4 2 4 2 2" xfId="4976" xr:uid="{00000000-0005-0000-0000-00004F0B0000}"/>
    <cellStyle name="Normal 4 2 5" xfId="2008" xr:uid="{00000000-0005-0000-0000-0000500B0000}"/>
    <cellStyle name="Normal 4 2 6" xfId="4246" xr:uid="{00000000-0005-0000-0000-0000510B0000}"/>
    <cellStyle name="Normal 4 2 6 2" xfId="5144" xr:uid="{00000000-0005-0000-0000-0000520B0000}"/>
    <cellStyle name="Normal 4 2 7" xfId="4690" xr:uid="{00000000-0005-0000-0000-0000530B0000}"/>
    <cellStyle name="Normal 4 3" xfId="2009" xr:uid="{00000000-0005-0000-0000-0000540B0000}"/>
    <cellStyle name="Normal 4 3 2" xfId="2010" xr:uid="{00000000-0005-0000-0000-0000550B0000}"/>
    <cellStyle name="Normal 4 3 2 2" xfId="4251" xr:uid="{00000000-0005-0000-0000-0000560B0000}"/>
    <cellStyle name="Normal 4 3 2 2 2" xfId="4877" xr:uid="{00000000-0005-0000-0000-0000570B0000}"/>
    <cellStyle name="Normal 4 3 2 3" xfId="4695" xr:uid="{00000000-0005-0000-0000-0000580B0000}"/>
    <cellStyle name="Normal 4 3 3" xfId="4250" xr:uid="{00000000-0005-0000-0000-0000590B0000}"/>
    <cellStyle name="Normal 4 3 3 2" xfId="4953" xr:uid="{00000000-0005-0000-0000-00005A0B0000}"/>
    <cellStyle name="Normal 4 3 4" xfId="4694" xr:uid="{00000000-0005-0000-0000-00005B0B0000}"/>
    <cellStyle name="Normal 4 4" xfId="2011" xr:uid="{00000000-0005-0000-0000-00005C0B0000}"/>
    <cellStyle name="Normal 4 4 2" xfId="4252" xr:uid="{00000000-0005-0000-0000-00005D0B0000}"/>
    <cellStyle name="Normal 4 4 2 2" xfId="4913" xr:uid="{00000000-0005-0000-0000-00005E0B0000}"/>
    <cellStyle name="Normal 4 4 3" xfId="4696" xr:uid="{00000000-0005-0000-0000-00005F0B0000}"/>
    <cellStyle name="Normal 4 5" xfId="2012" xr:uid="{00000000-0005-0000-0000-0000600B0000}"/>
    <cellStyle name="Normal 4 5 2" xfId="4428" xr:uid="{00000000-0005-0000-0000-0000610B0000}"/>
    <cellStyle name="Normal 4 5 2 2" xfId="4986" xr:uid="{00000000-0005-0000-0000-0000620B0000}"/>
    <cellStyle name="Normal 4 6" xfId="2013" xr:uid="{00000000-0005-0000-0000-0000630B0000}"/>
    <cellStyle name="Normal 4 6 2" xfId="4253" xr:uid="{00000000-0005-0000-0000-0000640B0000}"/>
    <cellStyle name="Normal 4 6 2 2" xfId="5145" xr:uid="{00000000-0005-0000-0000-0000650B0000}"/>
    <cellStyle name="Normal 4 6 3" xfId="4697" xr:uid="{00000000-0005-0000-0000-0000660B0000}"/>
    <cellStyle name="Normal 4 7" xfId="2014" xr:uid="{00000000-0005-0000-0000-0000670B0000}"/>
    <cellStyle name="Normal 4 7 2" xfId="4254" xr:uid="{00000000-0005-0000-0000-0000680B0000}"/>
    <cellStyle name="Normal 4 7 2 2" xfId="5146" xr:uid="{00000000-0005-0000-0000-0000690B0000}"/>
    <cellStyle name="Normal 4 7 3" xfId="4698" xr:uid="{00000000-0005-0000-0000-00006A0B0000}"/>
    <cellStyle name="Normal 4 8" xfId="2015" xr:uid="{00000000-0005-0000-0000-00006B0B0000}"/>
    <cellStyle name="Normal 4 8 2" xfId="4255" xr:uid="{00000000-0005-0000-0000-00006C0B0000}"/>
    <cellStyle name="Normal 4 8 2 2" xfId="5147" xr:uid="{00000000-0005-0000-0000-00006D0B0000}"/>
    <cellStyle name="Normal 4 8 3" xfId="4699" xr:uid="{00000000-0005-0000-0000-00006E0B0000}"/>
    <cellStyle name="Normal 4 9" xfId="2016" xr:uid="{00000000-0005-0000-0000-00006F0B0000}"/>
    <cellStyle name="Normal 4 9 2" xfId="4256" xr:uid="{00000000-0005-0000-0000-0000700B0000}"/>
    <cellStyle name="Normal 4 9 2 2" xfId="5148" xr:uid="{00000000-0005-0000-0000-0000710B0000}"/>
    <cellStyle name="Normal 4 9 3" xfId="4700" xr:uid="{00000000-0005-0000-0000-0000720B0000}"/>
    <cellStyle name="Normal 40" xfId="3993" xr:uid="{00000000-0005-0000-0000-0000730B0000}"/>
    <cellStyle name="Normal 40 10" xfId="2017" xr:uid="{00000000-0005-0000-0000-0000740B0000}"/>
    <cellStyle name="Normal 40 10 2" xfId="2018" xr:uid="{00000000-0005-0000-0000-0000750B0000}"/>
    <cellStyle name="Normal 40 11" xfId="2019" xr:uid="{00000000-0005-0000-0000-0000760B0000}"/>
    <cellStyle name="Normal 40 11 2" xfId="2020" xr:uid="{00000000-0005-0000-0000-0000770B0000}"/>
    <cellStyle name="Normal 40 12" xfId="2021" xr:uid="{00000000-0005-0000-0000-0000780B0000}"/>
    <cellStyle name="Normal 40 12 2" xfId="2022" xr:uid="{00000000-0005-0000-0000-0000790B0000}"/>
    <cellStyle name="Normal 40 13" xfId="2023" xr:uid="{00000000-0005-0000-0000-00007A0B0000}"/>
    <cellStyle name="Normal 40 13 2" xfId="2024" xr:uid="{00000000-0005-0000-0000-00007B0B0000}"/>
    <cellStyle name="Normal 40 14" xfId="2025" xr:uid="{00000000-0005-0000-0000-00007C0B0000}"/>
    <cellStyle name="Normal 40 14 2" xfId="2026" xr:uid="{00000000-0005-0000-0000-00007D0B0000}"/>
    <cellStyle name="Normal 40 15" xfId="4990" xr:uid="{00000000-0005-0000-0000-00007E0B0000}"/>
    <cellStyle name="Normal 40 2" xfId="2027" xr:uid="{00000000-0005-0000-0000-00007F0B0000}"/>
    <cellStyle name="Normal 40 2 2" xfId="2028" xr:uid="{00000000-0005-0000-0000-0000800B0000}"/>
    <cellStyle name="Normal 40 2 2 2" xfId="2029" xr:uid="{00000000-0005-0000-0000-0000810B0000}"/>
    <cellStyle name="Normal 40 2 3" xfId="2030" xr:uid="{00000000-0005-0000-0000-0000820B0000}"/>
    <cellStyle name="Normal 40 3" xfId="2031" xr:uid="{00000000-0005-0000-0000-0000830B0000}"/>
    <cellStyle name="Normal 40 3 2" xfId="2032" xr:uid="{00000000-0005-0000-0000-0000840B0000}"/>
    <cellStyle name="Normal 40 3 2 2" xfId="2033" xr:uid="{00000000-0005-0000-0000-0000850B0000}"/>
    <cellStyle name="Normal 40 3 3" xfId="2034" xr:uid="{00000000-0005-0000-0000-0000860B0000}"/>
    <cellStyle name="Normal 40 4" xfId="2035" xr:uid="{00000000-0005-0000-0000-0000870B0000}"/>
    <cellStyle name="Normal 40 4 2" xfId="2036" xr:uid="{00000000-0005-0000-0000-0000880B0000}"/>
    <cellStyle name="Normal 40 4 2 2" xfId="2037" xr:uid="{00000000-0005-0000-0000-0000890B0000}"/>
    <cellStyle name="Normal 40 4 3" xfId="2038" xr:uid="{00000000-0005-0000-0000-00008A0B0000}"/>
    <cellStyle name="Normal 40 5" xfId="2039" xr:uid="{00000000-0005-0000-0000-00008B0B0000}"/>
    <cellStyle name="Normal 40 5 2" xfId="2040" xr:uid="{00000000-0005-0000-0000-00008C0B0000}"/>
    <cellStyle name="Normal 40 5 2 2" xfId="2041" xr:uid="{00000000-0005-0000-0000-00008D0B0000}"/>
    <cellStyle name="Normal 40 5 3" xfId="2042" xr:uid="{00000000-0005-0000-0000-00008E0B0000}"/>
    <cellStyle name="Normal 40 6" xfId="2043" xr:uid="{00000000-0005-0000-0000-00008F0B0000}"/>
    <cellStyle name="Normal 40 6 2" xfId="2044" xr:uid="{00000000-0005-0000-0000-0000900B0000}"/>
    <cellStyle name="Normal 40 6 2 2" xfId="2045" xr:uid="{00000000-0005-0000-0000-0000910B0000}"/>
    <cellStyle name="Normal 40 6 3" xfId="2046" xr:uid="{00000000-0005-0000-0000-0000920B0000}"/>
    <cellStyle name="Normal 40 7" xfId="2047" xr:uid="{00000000-0005-0000-0000-0000930B0000}"/>
    <cellStyle name="Normal 40 7 2" xfId="2048" xr:uid="{00000000-0005-0000-0000-0000940B0000}"/>
    <cellStyle name="Normal 40 7 2 2" xfId="2049" xr:uid="{00000000-0005-0000-0000-0000950B0000}"/>
    <cellStyle name="Normal 40 7 3" xfId="2050" xr:uid="{00000000-0005-0000-0000-0000960B0000}"/>
    <cellStyle name="Normal 40 8" xfId="2051" xr:uid="{00000000-0005-0000-0000-0000970B0000}"/>
    <cellStyle name="Normal 40 8 2" xfId="2052" xr:uid="{00000000-0005-0000-0000-0000980B0000}"/>
    <cellStyle name="Normal 40 9" xfId="2053" xr:uid="{00000000-0005-0000-0000-0000990B0000}"/>
    <cellStyle name="Normal 40 9 2" xfId="2054" xr:uid="{00000000-0005-0000-0000-00009A0B0000}"/>
    <cellStyle name="Normal 41" xfId="2055" xr:uid="{00000000-0005-0000-0000-00009B0B0000}"/>
    <cellStyle name="Normal 41 10" xfId="2056" xr:uid="{00000000-0005-0000-0000-00009C0B0000}"/>
    <cellStyle name="Normal 41 10 2" xfId="2057" xr:uid="{00000000-0005-0000-0000-00009D0B0000}"/>
    <cellStyle name="Normal 41 11" xfId="2058" xr:uid="{00000000-0005-0000-0000-00009E0B0000}"/>
    <cellStyle name="Normal 41 11 2" xfId="2059" xr:uid="{00000000-0005-0000-0000-00009F0B0000}"/>
    <cellStyle name="Normal 41 12" xfId="2060" xr:uid="{00000000-0005-0000-0000-0000A00B0000}"/>
    <cellStyle name="Normal 41 12 2" xfId="2061" xr:uid="{00000000-0005-0000-0000-0000A10B0000}"/>
    <cellStyle name="Normal 41 13" xfId="2062" xr:uid="{00000000-0005-0000-0000-0000A20B0000}"/>
    <cellStyle name="Normal 41 13 2" xfId="2063" xr:uid="{00000000-0005-0000-0000-0000A30B0000}"/>
    <cellStyle name="Normal 41 14" xfId="2064" xr:uid="{00000000-0005-0000-0000-0000A40B0000}"/>
    <cellStyle name="Normal 41 14 2" xfId="2065" xr:uid="{00000000-0005-0000-0000-0000A50B0000}"/>
    <cellStyle name="Normal 41 15" xfId="4257" xr:uid="{00000000-0005-0000-0000-0000A60B0000}"/>
    <cellStyle name="Normal 41 15 2" xfId="5149" xr:uid="{00000000-0005-0000-0000-0000A70B0000}"/>
    <cellStyle name="Normal 41 16" xfId="4701" xr:uid="{00000000-0005-0000-0000-0000A80B0000}"/>
    <cellStyle name="Normal 41 2" xfId="2066" xr:uid="{00000000-0005-0000-0000-0000A90B0000}"/>
    <cellStyle name="Normal 41 2 2" xfId="2067" xr:uid="{00000000-0005-0000-0000-0000AA0B0000}"/>
    <cellStyle name="Normal 41 2 2 2" xfId="2068" xr:uid="{00000000-0005-0000-0000-0000AB0B0000}"/>
    <cellStyle name="Normal 41 2 3" xfId="2069" xr:uid="{00000000-0005-0000-0000-0000AC0B0000}"/>
    <cellStyle name="Normal 41 2 4" xfId="4405" xr:uid="{00000000-0005-0000-0000-0000AD0B0000}"/>
    <cellStyle name="Normal 41 2 4 2" xfId="4836" xr:uid="{00000000-0005-0000-0000-0000AE0B0000}"/>
    <cellStyle name="Normal 41 3" xfId="2070" xr:uid="{00000000-0005-0000-0000-0000AF0B0000}"/>
    <cellStyle name="Normal 41 3 2" xfId="2071" xr:uid="{00000000-0005-0000-0000-0000B00B0000}"/>
    <cellStyle name="Normal 41 3 2 2" xfId="2072" xr:uid="{00000000-0005-0000-0000-0000B10B0000}"/>
    <cellStyle name="Normal 41 3 3" xfId="2073" xr:uid="{00000000-0005-0000-0000-0000B20B0000}"/>
    <cellStyle name="Normal 41 4" xfId="2074" xr:uid="{00000000-0005-0000-0000-0000B30B0000}"/>
    <cellStyle name="Normal 41 4 2" xfId="2075" xr:uid="{00000000-0005-0000-0000-0000B40B0000}"/>
    <cellStyle name="Normal 41 4 2 2" xfId="2076" xr:uid="{00000000-0005-0000-0000-0000B50B0000}"/>
    <cellStyle name="Normal 41 4 3" xfId="2077" xr:uid="{00000000-0005-0000-0000-0000B60B0000}"/>
    <cellStyle name="Normal 41 5" xfId="2078" xr:uid="{00000000-0005-0000-0000-0000B70B0000}"/>
    <cellStyle name="Normal 41 5 2" xfId="2079" xr:uid="{00000000-0005-0000-0000-0000B80B0000}"/>
    <cellStyle name="Normal 41 5 2 2" xfId="2080" xr:uid="{00000000-0005-0000-0000-0000B90B0000}"/>
    <cellStyle name="Normal 41 5 3" xfId="2081" xr:uid="{00000000-0005-0000-0000-0000BA0B0000}"/>
    <cellStyle name="Normal 41 6" xfId="2082" xr:uid="{00000000-0005-0000-0000-0000BB0B0000}"/>
    <cellStyle name="Normal 41 6 2" xfId="2083" xr:uid="{00000000-0005-0000-0000-0000BC0B0000}"/>
    <cellStyle name="Normal 41 6 2 2" xfId="2084" xr:uid="{00000000-0005-0000-0000-0000BD0B0000}"/>
    <cellStyle name="Normal 41 6 3" xfId="2085" xr:uid="{00000000-0005-0000-0000-0000BE0B0000}"/>
    <cellStyle name="Normal 41 7" xfId="2086" xr:uid="{00000000-0005-0000-0000-0000BF0B0000}"/>
    <cellStyle name="Normal 41 7 2" xfId="2087" xr:uid="{00000000-0005-0000-0000-0000C00B0000}"/>
    <cellStyle name="Normal 41 7 2 2" xfId="2088" xr:uid="{00000000-0005-0000-0000-0000C10B0000}"/>
    <cellStyle name="Normal 41 7 3" xfId="2089" xr:uid="{00000000-0005-0000-0000-0000C20B0000}"/>
    <cellStyle name="Normal 41 8" xfId="2090" xr:uid="{00000000-0005-0000-0000-0000C30B0000}"/>
    <cellStyle name="Normal 41 8 2" xfId="2091" xr:uid="{00000000-0005-0000-0000-0000C40B0000}"/>
    <cellStyle name="Normal 41 9" xfId="2092" xr:uid="{00000000-0005-0000-0000-0000C50B0000}"/>
    <cellStyle name="Normal 41 9 2" xfId="2093" xr:uid="{00000000-0005-0000-0000-0000C60B0000}"/>
    <cellStyle name="Normal 42" xfId="4396" xr:uid="{00000000-0005-0000-0000-0000C70B0000}"/>
    <cellStyle name="Normal 42 2" xfId="4824" xr:uid="{00000000-0005-0000-0000-0000C80B0000}"/>
    <cellStyle name="Normal 43" xfId="4395" xr:uid="{00000000-0005-0000-0000-0000C90B0000}"/>
    <cellStyle name="Normal 43 2" xfId="2094" xr:uid="{00000000-0005-0000-0000-0000CA0B0000}"/>
    <cellStyle name="Normal 43 2 2" xfId="2095" xr:uid="{00000000-0005-0000-0000-0000CB0B0000}"/>
    <cellStyle name="Normal 43 2 2 2" xfId="2096" xr:uid="{00000000-0005-0000-0000-0000CC0B0000}"/>
    <cellStyle name="Normal 43 2 3" xfId="2097" xr:uid="{00000000-0005-0000-0000-0000CD0B0000}"/>
    <cellStyle name="Normal 43 3" xfId="2098" xr:uid="{00000000-0005-0000-0000-0000CE0B0000}"/>
    <cellStyle name="Normal 43 3 2" xfId="2099" xr:uid="{00000000-0005-0000-0000-0000CF0B0000}"/>
    <cellStyle name="Normal 43 3 2 2" xfId="2100" xr:uid="{00000000-0005-0000-0000-0000D00B0000}"/>
    <cellStyle name="Normal 43 3 3" xfId="2101" xr:uid="{00000000-0005-0000-0000-0000D10B0000}"/>
    <cellStyle name="Normal 43 4" xfId="2102" xr:uid="{00000000-0005-0000-0000-0000D20B0000}"/>
    <cellStyle name="Normal 43 4 2" xfId="2103" xr:uid="{00000000-0005-0000-0000-0000D30B0000}"/>
    <cellStyle name="Normal 43 4 2 2" xfId="2104" xr:uid="{00000000-0005-0000-0000-0000D40B0000}"/>
    <cellStyle name="Normal 43 4 3" xfId="2105" xr:uid="{00000000-0005-0000-0000-0000D50B0000}"/>
    <cellStyle name="Normal 43 5" xfId="2106" xr:uid="{00000000-0005-0000-0000-0000D60B0000}"/>
    <cellStyle name="Normal 43 5 2" xfId="2107" xr:uid="{00000000-0005-0000-0000-0000D70B0000}"/>
    <cellStyle name="Normal 43 5 2 2" xfId="2108" xr:uid="{00000000-0005-0000-0000-0000D80B0000}"/>
    <cellStyle name="Normal 43 5 3" xfId="2109" xr:uid="{00000000-0005-0000-0000-0000D90B0000}"/>
    <cellStyle name="Normal 43 6" xfId="2110" xr:uid="{00000000-0005-0000-0000-0000DA0B0000}"/>
    <cellStyle name="Normal 43 6 2" xfId="2111" xr:uid="{00000000-0005-0000-0000-0000DB0B0000}"/>
    <cellStyle name="Normal 43 6 2 2" xfId="2112" xr:uid="{00000000-0005-0000-0000-0000DC0B0000}"/>
    <cellStyle name="Normal 43 6 3" xfId="2113" xr:uid="{00000000-0005-0000-0000-0000DD0B0000}"/>
    <cellStyle name="Normal 43 7" xfId="2114" xr:uid="{00000000-0005-0000-0000-0000DE0B0000}"/>
    <cellStyle name="Normal 43 7 2" xfId="2115" xr:uid="{00000000-0005-0000-0000-0000DF0B0000}"/>
    <cellStyle name="Normal 43 7 2 2" xfId="2116" xr:uid="{00000000-0005-0000-0000-0000E00B0000}"/>
    <cellStyle name="Normal 43 7 3" xfId="2117" xr:uid="{00000000-0005-0000-0000-0000E10B0000}"/>
    <cellStyle name="Normal 43 8" xfId="4823" xr:uid="{00000000-0005-0000-0000-0000E20B0000}"/>
    <cellStyle name="Normal 44" xfId="4394" xr:uid="{00000000-0005-0000-0000-0000E30B0000}"/>
    <cellStyle name="Normal 44 10" xfId="2118" xr:uid="{00000000-0005-0000-0000-0000E40B0000}"/>
    <cellStyle name="Normal 44 10 2" xfId="2119" xr:uid="{00000000-0005-0000-0000-0000E50B0000}"/>
    <cellStyle name="Normal 44 11" xfId="2120" xr:uid="{00000000-0005-0000-0000-0000E60B0000}"/>
    <cellStyle name="Normal 44 11 2" xfId="2121" xr:uid="{00000000-0005-0000-0000-0000E70B0000}"/>
    <cellStyle name="Normal 44 12" xfId="2122" xr:uid="{00000000-0005-0000-0000-0000E80B0000}"/>
    <cellStyle name="Normal 44 12 2" xfId="2123" xr:uid="{00000000-0005-0000-0000-0000E90B0000}"/>
    <cellStyle name="Normal 44 13" xfId="2124" xr:uid="{00000000-0005-0000-0000-0000EA0B0000}"/>
    <cellStyle name="Normal 44 13 2" xfId="2125" xr:uid="{00000000-0005-0000-0000-0000EB0B0000}"/>
    <cellStyle name="Normal 44 14" xfId="2126" xr:uid="{00000000-0005-0000-0000-0000EC0B0000}"/>
    <cellStyle name="Normal 44 14 2" xfId="2127" xr:uid="{00000000-0005-0000-0000-0000ED0B0000}"/>
    <cellStyle name="Normal 44 15" xfId="4822" xr:uid="{00000000-0005-0000-0000-0000EE0B0000}"/>
    <cellStyle name="Normal 44 2" xfId="2128" xr:uid="{00000000-0005-0000-0000-0000EF0B0000}"/>
    <cellStyle name="Normal 44 2 2" xfId="2129" xr:uid="{00000000-0005-0000-0000-0000F00B0000}"/>
    <cellStyle name="Normal 44 2 2 2" xfId="2130" xr:uid="{00000000-0005-0000-0000-0000F10B0000}"/>
    <cellStyle name="Normal 44 2 3" xfId="2131" xr:uid="{00000000-0005-0000-0000-0000F20B0000}"/>
    <cellStyle name="Normal 44 3" xfId="2132" xr:uid="{00000000-0005-0000-0000-0000F30B0000}"/>
    <cellStyle name="Normal 44 3 2" xfId="2133" xr:uid="{00000000-0005-0000-0000-0000F40B0000}"/>
    <cellStyle name="Normal 44 3 2 2" xfId="2134" xr:uid="{00000000-0005-0000-0000-0000F50B0000}"/>
    <cellStyle name="Normal 44 3 3" xfId="2135" xr:uid="{00000000-0005-0000-0000-0000F60B0000}"/>
    <cellStyle name="Normal 44 4" xfId="2136" xr:uid="{00000000-0005-0000-0000-0000F70B0000}"/>
    <cellStyle name="Normal 44 4 2" xfId="2137" xr:uid="{00000000-0005-0000-0000-0000F80B0000}"/>
    <cellStyle name="Normal 44 4 2 2" xfId="2138" xr:uid="{00000000-0005-0000-0000-0000F90B0000}"/>
    <cellStyle name="Normal 44 4 3" xfId="2139" xr:uid="{00000000-0005-0000-0000-0000FA0B0000}"/>
    <cellStyle name="Normal 44 5" xfId="2140" xr:uid="{00000000-0005-0000-0000-0000FB0B0000}"/>
    <cellStyle name="Normal 44 5 2" xfId="2141" xr:uid="{00000000-0005-0000-0000-0000FC0B0000}"/>
    <cellStyle name="Normal 44 5 2 2" xfId="2142" xr:uid="{00000000-0005-0000-0000-0000FD0B0000}"/>
    <cellStyle name="Normal 44 5 3" xfId="2143" xr:uid="{00000000-0005-0000-0000-0000FE0B0000}"/>
    <cellStyle name="Normal 44 6" xfId="2144" xr:uid="{00000000-0005-0000-0000-0000FF0B0000}"/>
    <cellStyle name="Normal 44 6 2" xfId="2145" xr:uid="{00000000-0005-0000-0000-0000000C0000}"/>
    <cellStyle name="Normal 44 6 2 2" xfId="2146" xr:uid="{00000000-0005-0000-0000-0000010C0000}"/>
    <cellStyle name="Normal 44 6 3" xfId="2147" xr:uid="{00000000-0005-0000-0000-0000020C0000}"/>
    <cellStyle name="Normal 44 7" xfId="2148" xr:uid="{00000000-0005-0000-0000-0000030C0000}"/>
    <cellStyle name="Normal 44 7 2" xfId="2149" xr:uid="{00000000-0005-0000-0000-0000040C0000}"/>
    <cellStyle name="Normal 44 7 2 2" xfId="2150" xr:uid="{00000000-0005-0000-0000-0000050C0000}"/>
    <cellStyle name="Normal 44 7 3" xfId="2151" xr:uid="{00000000-0005-0000-0000-0000060C0000}"/>
    <cellStyle name="Normal 44 8" xfId="2152" xr:uid="{00000000-0005-0000-0000-0000070C0000}"/>
    <cellStyle name="Normal 44 8 2" xfId="2153" xr:uid="{00000000-0005-0000-0000-0000080C0000}"/>
    <cellStyle name="Normal 44 9" xfId="2154" xr:uid="{00000000-0005-0000-0000-0000090C0000}"/>
    <cellStyle name="Normal 44 9 2" xfId="2155" xr:uid="{00000000-0005-0000-0000-00000A0C0000}"/>
    <cellStyle name="Normal 45" xfId="4393" xr:uid="{00000000-0005-0000-0000-00000B0C0000}"/>
    <cellStyle name="Normal 45 10" xfId="2156" xr:uid="{00000000-0005-0000-0000-00000C0C0000}"/>
    <cellStyle name="Normal 45 10 2" xfId="2157" xr:uid="{00000000-0005-0000-0000-00000D0C0000}"/>
    <cellStyle name="Normal 45 11" xfId="2158" xr:uid="{00000000-0005-0000-0000-00000E0C0000}"/>
    <cellStyle name="Normal 45 11 2" xfId="2159" xr:uid="{00000000-0005-0000-0000-00000F0C0000}"/>
    <cellStyle name="Normal 45 12" xfId="2160" xr:uid="{00000000-0005-0000-0000-0000100C0000}"/>
    <cellStyle name="Normal 45 12 2" xfId="2161" xr:uid="{00000000-0005-0000-0000-0000110C0000}"/>
    <cellStyle name="Normal 45 13" xfId="2162" xr:uid="{00000000-0005-0000-0000-0000120C0000}"/>
    <cellStyle name="Normal 45 13 2" xfId="2163" xr:uid="{00000000-0005-0000-0000-0000130C0000}"/>
    <cellStyle name="Normal 45 14" xfId="2164" xr:uid="{00000000-0005-0000-0000-0000140C0000}"/>
    <cellStyle name="Normal 45 14 2" xfId="2165" xr:uid="{00000000-0005-0000-0000-0000150C0000}"/>
    <cellStyle name="Normal 45 15" xfId="4821" xr:uid="{00000000-0005-0000-0000-0000160C0000}"/>
    <cellStyle name="Normal 45 2" xfId="2166" xr:uid="{00000000-0005-0000-0000-0000170C0000}"/>
    <cellStyle name="Normal 45 2 2" xfId="2167" xr:uid="{00000000-0005-0000-0000-0000180C0000}"/>
    <cellStyle name="Normal 45 2 2 2" xfId="2168" xr:uid="{00000000-0005-0000-0000-0000190C0000}"/>
    <cellStyle name="Normal 45 2 3" xfId="2169" xr:uid="{00000000-0005-0000-0000-00001A0C0000}"/>
    <cellStyle name="Normal 45 3" xfId="2170" xr:uid="{00000000-0005-0000-0000-00001B0C0000}"/>
    <cellStyle name="Normal 45 3 2" xfId="2171" xr:uid="{00000000-0005-0000-0000-00001C0C0000}"/>
    <cellStyle name="Normal 45 3 2 2" xfId="2172" xr:uid="{00000000-0005-0000-0000-00001D0C0000}"/>
    <cellStyle name="Normal 45 3 3" xfId="2173" xr:uid="{00000000-0005-0000-0000-00001E0C0000}"/>
    <cellStyle name="Normal 45 4" xfId="2174" xr:uid="{00000000-0005-0000-0000-00001F0C0000}"/>
    <cellStyle name="Normal 45 4 2" xfId="2175" xr:uid="{00000000-0005-0000-0000-0000200C0000}"/>
    <cellStyle name="Normal 45 4 2 2" xfId="2176" xr:uid="{00000000-0005-0000-0000-0000210C0000}"/>
    <cellStyle name="Normal 45 4 3" xfId="2177" xr:uid="{00000000-0005-0000-0000-0000220C0000}"/>
    <cellStyle name="Normal 45 5" xfId="2178" xr:uid="{00000000-0005-0000-0000-0000230C0000}"/>
    <cellStyle name="Normal 45 5 2" xfId="2179" xr:uid="{00000000-0005-0000-0000-0000240C0000}"/>
    <cellStyle name="Normal 45 5 2 2" xfId="2180" xr:uid="{00000000-0005-0000-0000-0000250C0000}"/>
    <cellStyle name="Normal 45 5 3" xfId="2181" xr:uid="{00000000-0005-0000-0000-0000260C0000}"/>
    <cellStyle name="Normal 45 6" xfId="2182" xr:uid="{00000000-0005-0000-0000-0000270C0000}"/>
    <cellStyle name="Normal 45 6 2" xfId="2183" xr:uid="{00000000-0005-0000-0000-0000280C0000}"/>
    <cellStyle name="Normal 45 6 2 2" xfId="2184" xr:uid="{00000000-0005-0000-0000-0000290C0000}"/>
    <cellStyle name="Normal 45 6 3" xfId="2185" xr:uid="{00000000-0005-0000-0000-00002A0C0000}"/>
    <cellStyle name="Normal 45 7" xfId="2186" xr:uid="{00000000-0005-0000-0000-00002B0C0000}"/>
    <cellStyle name="Normal 45 7 2" xfId="2187" xr:uid="{00000000-0005-0000-0000-00002C0C0000}"/>
    <cellStyle name="Normal 45 7 2 2" xfId="2188" xr:uid="{00000000-0005-0000-0000-00002D0C0000}"/>
    <cellStyle name="Normal 45 7 3" xfId="2189" xr:uid="{00000000-0005-0000-0000-00002E0C0000}"/>
    <cellStyle name="Normal 45 8" xfId="2190" xr:uid="{00000000-0005-0000-0000-00002F0C0000}"/>
    <cellStyle name="Normal 45 8 2" xfId="2191" xr:uid="{00000000-0005-0000-0000-0000300C0000}"/>
    <cellStyle name="Normal 45 9" xfId="2192" xr:uid="{00000000-0005-0000-0000-0000310C0000}"/>
    <cellStyle name="Normal 45 9 2" xfId="2193" xr:uid="{00000000-0005-0000-0000-0000320C0000}"/>
    <cellStyle name="Normal 46" xfId="4391" xr:uid="{00000000-0005-0000-0000-0000330C0000}"/>
    <cellStyle name="Normal 46 10" xfId="2194" xr:uid="{00000000-0005-0000-0000-0000340C0000}"/>
    <cellStyle name="Normal 46 10 2" xfId="2195" xr:uid="{00000000-0005-0000-0000-0000350C0000}"/>
    <cellStyle name="Normal 46 11" xfId="2196" xr:uid="{00000000-0005-0000-0000-0000360C0000}"/>
    <cellStyle name="Normal 46 11 2" xfId="2197" xr:uid="{00000000-0005-0000-0000-0000370C0000}"/>
    <cellStyle name="Normal 46 12" xfId="2198" xr:uid="{00000000-0005-0000-0000-0000380C0000}"/>
    <cellStyle name="Normal 46 12 2" xfId="2199" xr:uid="{00000000-0005-0000-0000-0000390C0000}"/>
    <cellStyle name="Normal 46 13" xfId="2200" xr:uid="{00000000-0005-0000-0000-00003A0C0000}"/>
    <cellStyle name="Normal 46 13 2" xfId="2201" xr:uid="{00000000-0005-0000-0000-00003B0C0000}"/>
    <cellStyle name="Normal 46 14" xfId="2202" xr:uid="{00000000-0005-0000-0000-00003C0C0000}"/>
    <cellStyle name="Normal 46 14 2" xfId="2203" xr:uid="{00000000-0005-0000-0000-00003D0C0000}"/>
    <cellStyle name="Normal 46 15" xfId="4819" xr:uid="{00000000-0005-0000-0000-00003E0C0000}"/>
    <cellStyle name="Normal 46 2" xfId="2204" xr:uid="{00000000-0005-0000-0000-00003F0C0000}"/>
    <cellStyle name="Normal 46 2 2" xfId="2205" xr:uid="{00000000-0005-0000-0000-0000400C0000}"/>
    <cellStyle name="Normal 46 2 2 2" xfId="2206" xr:uid="{00000000-0005-0000-0000-0000410C0000}"/>
    <cellStyle name="Normal 46 2 3" xfId="2207" xr:uid="{00000000-0005-0000-0000-0000420C0000}"/>
    <cellStyle name="Normal 46 3" xfId="2208" xr:uid="{00000000-0005-0000-0000-0000430C0000}"/>
    <cellStyle name="Normal 46 3 2" xfId="2209" xr:uid="{00000000-0005-0000-0000-0000440C0000}"/>
    <cellStyle name="Normal 46 3 2 2" xfId="2210" xr:uid="{00000000-0005-0000-0000-0000450C0000}"/>
    <cellStyle name="Normal 46 3 3" xfId="2211" xr:uid="{00000000-0005-0000-0000-0000460C0000}"/>
    <cellStyle name="Normal 46 4" xfId="2212" xr:uid="{00000000-0005-0000-0000-0000470C0000}"/>
    <cellStyle name="Normal 46 4 2" xfId="2213" xr:uid="{00000000-0005-0000-0000-0000480C0000}"/>
    <cellStyle name="Normal 46 4 2 2" xfId="2214" xr:uid="{00000000-0005-0000-0000-0000490C0000}"/>
    <cellStyle name="Normal 46 4 3" xfId="2215" xr:uid="{00000000-0005-0000-0000-00004A0C0000}"/>
    <cellStyle name="Normal 46 5" xfId="2216" xr:uid="{00000000-0005-0000-0000-00004B0C0000}"/>
    <cellStyle name="Normal 46 5 2" xfId="2217" xr:uid="{00000000-0005-0000-0000-00004C0C0000}"/>
    <cellStyle name="Normal 46 5 2 2" xfId="2218" xr:uid="{00000000-0005-0000-0000-00004D0C0000}"/>
    <cellStyle name="Normal 46 5 3" xfId="2219" xr:uid="{00000000-0005-0000-0000-00004E0C0000}"/>
    <cellStyle name="Normal 46 6" xfId="2220" xr:uid="{00000000-0005-0000-0000-00004F0C0000}"/>
    <cellStyle name="Normal 46 6 2" xfId="2221" xr:uid="{00000000-0005-0000-0000-0000500C0000}"/>
    <cellStyle name="Normal 46 6 2 2" xfId="2222" xr:uid="{00000000-0005-0000-0000-0000510C0000}"/>
    <cellStyle name="Normal 46 6 3" xfId="2223" xr:uid="{00000000-0005-0000-0000-0000520C0000}"/>
    <cellStyle name="Normal 46 7" xfId="2224" xr:uid="{00000000-0005-0000-0000-0000530C0000}"/>
    <cellStyle name="Normal 46 7 2" xfId="2225" xr:uid="{00000000-0005-0000-0000-0000540C0000}"/>
    <cellStyle name="Normal 46 7 2 2" xfId="2226" xr:uid="{00000000-0005-0000-0000-0000550C0000}"/>
    <cellStyle name="Normal 46 7 3" xfId="2227" xr:uid="{00000000-0005-0000-0000-0000560C0000}"/>
    <cellStyle name="Normal 46 8" xfId="2228" xr:uid="{00000000-0005-0000-0000-0000570C0000}"/>
    <cellStyle name="Normal 46 8 2" xfId="2229" xr:uid="{00000000-0005-0000-0000-0000580C0000}"/>
    <cellStyle name="Normal 46 9" xfId="2230" xr:uid="{00000000-0005-0000-0000-0000590C0000}"/>
    <cellStyle name="Normal 46 9 2" xfId="2231" xr:uid="{00000000-0005-0000-0000-00005A0C0000}"/>
    <cellStyle name="Normal 47" xfId="4390" xr:uid="{00000000-0005-0000-0000-00005B0C0000}"/>
    <cellStyle name="Normal 47 10" xfId="2232" xr:uid="{00000000-0005-0000-0000-00005C0C0000}"/>
    <cellStyle name="Normal 47 10 2" xfId="2233" xr:uid="{00000000-0005-0000-0000-00005D0C0000}"/>
    <cellStyle name="Normal 47 11" xfId="2234" xr:uid="{00000000-0005-0000-0000-00005E0C0000}"/>
    <cellStyle name="Normal 47 11 2" xfId="2235" xr:uid="{00000000-0005-0000-0000-00005F0C0000}"/>
    <cellStyle name="Normal 47 12" xfId="2236" xr:uid="{00000000-0005-0000-0000-0000600C0000}"/>
    <cellStyle name="Normal 47 12 2" xfId="2237" xr:uid="{00000000-0005-0000-0000-0000610C0000}"/>
    <cellStyle name="Normal 47 13" xfId="2238" xr:uid="{00000000-0005-0000-0000-0000620C0000}"/>
    <cellStyle name="Normal 47 13 2" xfId="2239" xr:uid="{00000000-0005-0000-0000-0000630C0000}"/>
    <cellStyle name="Normal 47 14" xfId="2240" xr:uid="{00000000-0005-0000-0000-0000640C0000}"/>
    <cellStyle name="Normal 47 14 2" xfId="2241" xr:uid="{00000000-0005-0000-0000-0000650C0000}"/>
    <cellStyle name="Normal 47 15" xfId="4818" xr:uid="{00000000-0005-0000-0000-0000660C0000}"/>
    <cellStyle name="Normal 47 2" xfId="2242" xr:uid="{00000000-0005-0000-0000-0000670C0000}"/>
    <cellStyle name="Normal 47 2 2" xfId="2243" xr:uid="{00000000-0005-0000-0000-0000680C0000}"/>
    <cellStyle name="Normal 47 2 2 2" xfId="2244" xr:uid="{00000000-0005-0000-0000-0000690C0000}"/>
    <cellStyle name="Normal 47 2 3" xfId="2245" xr:uid="{00000000-0005-0000-0000-00006A0C0000}"/>
    <cellStyle name="Normal 47 3" xfId="2246" xr:uid="{00000000-0005-0000-0000-00006B0C0000}"/>
    <cellStyle name="Normal 47 3 2" xfId="2247" xr:uid="{00000000-0005-0000-0000-00006C0C0000}"/>
    <cellStyle name="Normal 47 3 2 2" xfId="2248" xr:uid="{00000000-0005-0000-0000-00006D0C0000}"/>
    <cellStyle name="Normal 47 3 3" xfId="2249" xr:uid="{00000000-0005-0000-0000-00006E0C0000}"/>
    <cellStyle name="Normal 47 4" xfId="2250" xr:uid="{00000000-0005-0000-0000-00006F0C0000}"/>
    <cellStyle name="Normal 47 4 2" xfId="2251" xr:uid="{00000000-0005-0000-0000-0000700C0000}"/>
    <cellStyle name="Normal 47 4 2 2" xfId="2252" xr:uid="{00000000-0005-0000-0000-0000710C0000}"/>
    <cellStyle name="Normal 47 4 3" xfId="2253" xr:uid="{00000000-0005-0000-0000-0000720C0000}"/>
    <cellStyle name="Normal 47 5" xfId="2254" xr:uid="{00000000-0005-0000-0000-0000730C0000}"/>
    <cellStyle name="Normal 47 5 2" xfId="2255" xr:uid="{00000000-0005-0000-0000-0000740C0000}"/>
    <cellStyle name="Normal 47 5 2 2" xfId="2256" xr:uid="{00000000-0005-0000-0000-0000750C0000}"/>
    <cellStyle name="Normal 47 5 3" xfId="2257" xr:uid="{00000000-0005-0000-0000-0000760C0000}"/>
    <cellStyle name="Normal 47 6" xfId="2258" xr:uid="{00000000-0005-0000-0000-0000770C0000}"/>
    <cellStyle name="Normal 47 6 2" xfId="2259" xr:uid="{00000000-0005-0000-0000-0000780C0000}"/>
    <cellStyle name="Normal 47 6 2 2" xfId="2260" xr:uid="{00000000-0005-0000-0000-0000790C0000}"/>
    <cellStyle name="Normal 47 6 3" xfId="2261" xr:uid="{00000000-0005-0000-0000-00007A0C0000}"/>
    <cellStyle name="Normal 47 7" xfId="2262" xr:uid="{00000000-0005-0000-0000-00007B0C0000}"/>
    <cellStyle name="Normal 47 7 2" xfId="2263" xr:uid="{00000000-0005-0000-0000-00007C0C0000}"/>
    <cellStyle name="Normal 47 7 2 2" xfId="2264" xr:uid="{00000000-0005-0000-0000-00007D0C0000}"/>
    <cellStyle name="Normal 47 7 3" xfId="2265" xr:uid="{00000000-0005-0000-0000-00007E0C0000}"/>
    <cellStyle name="Normal 47 8" xfId="2266" xr:uid="{00000000-0005-0000-0000-00007F0C0000}"/>
    <cellStyle name="Normal 47 8 2" xfId="2267" xr:uid="{00000000-0005-0000-0000-0000800C0000}"/>
    <cellStyle name="Normal 47 9" xfId="2268" xr:uid="{00000000-0005-0000-0000-0000810C0000}"/>
    <cellStyle name="Normal 47 9 2" xfId="2269" xr:uid="{00000000-0005-0000-0000-0000820C0000}"/>
    <cellStyle name="Normal 48" xfId="4389" xr:uid="{00000000-0005-0000-0000-0000830C0000}"/>
    <cellStyle name="Normal 48 2" xfId="2270" xr:uid="{00000000-0005-0000-0000-0000840C0000}"/>
    <cellStyle name="Normal 48 2 2" xfId="2271" xr:uid="{00000000-0005-0000-0000-0000850C0000}"/>
    <cellStyle name="Normal 48 2 2 2" xfId="2272" xr:uid="{00000000-0005-0000-0000-0000860C0000}"/>
    <cellStyle name="Normal 48 2 3" xfId="2273" xr:uid="{00000000-0005-0000-0000-0000870C0000}"/>
    <cellStyle name="Normal 48 3" xfId="2274" xr:uid="{00000000-0005-0000-0000-0000880C0000}"/>
    <cellStyle name="Normal 48 3 2" xfId="2275" xr:uid="{00000000-0005-0000-0000-0000890C0000}"/>
    <cellStyle name="Normal 48 3 2 2" xfId="2276" xr:uid="{00000000-0005-0000-0000-00008A0C0000}"/>
    <cellStyle name="Normal 48 3 3" xfId="2277" xr:uid="{00000000-0005-0000-0000-00008B0C0000}"/>
    <cellStyle name="Normal 48 4" xfId="2278" xr:uid="{00000000-0005-0000-0000-00008C0C0000}"/>
    <cellStyle name="Normal 48 4 2" xfId="2279" xr:uid="{00000000-0005-0000-0000-00008D0C0000}"/>
    <cellStyle name="Normal 48 4 2 2" xfId="2280" xr:uid="{00000000-0005-0000-0000-00008E0C0000}"/>
    <cellStyle name="Normal 48 4 3" xfId="2281" xr:uid="{00000000-0005-0000-0000-00008F0C0000}"/>
    <cellStyle name="Normal 48 5" xfId="2282" xr:uid="{00000000-0005-0000-0000-0000900C0000}"/>
    <cellStyle name="Normal 48 5 2" xfId="2283" xr:uid="{00000000-0005-0000-0000-0000910C0000}"/>
    <cellStyle name="Normal 48 5 2 2" xfId="2284" xr:uid="{00000000-0005-0000-0000-0000920C0000}"/>
    <cellStyle name="Normal 48 5 3" xfId="2285" xr:uid="{00000000-0005-0000-0000-0000930C0000}"/>
    <cellStyle name="Normal 48 6" xfId="2286" xr:uid="{00000000-0005-0000-0000-0000940C0000}"/>
    <cellStyle name="Normal 48 6 2" xfId="2287" xr:uid="{00000000-0005-0000-0000-0000950C0000}"/>
    <cellStyle name="Normal 48 6 2 2" xfId="2288" xr:uid="{00000000-0005-0000-0000-0000960C0000}"/>
    <cellStyle name="Normal 48 6 3" xfId="2289" xr:uid="{00000000-0005-0000-0000-0000970C0000}"/>
    <cellStyle name="Normal 48 7" xfId="4817" xr:uid="{00000000-0005-0000-0000-0000980C0000}"/>
    <cellStyle name="Normal 49" xfId="4439" xr:uid="{00000000-0005-0000-0000-0000990C0000}"/>
    <cellStyle name="Normal 49 2" xfId="2290" xr:uid="{00000000-0005-0000-0000-00009A0C0000}"/>
    <cellStyle name="Normal 49 2 2" xfId="2291" xr:uid="{00000000-0005-0000-0000-00009B0C0000}"/>
    <cellStyle name="Normal 49 2 2 2" xfId="2292" xr:uid="{00000000-0005-0000-0000-00009C0C0000}"/>
    <cellStyle name="Normal 49 2 3" xfId="2293" xr:uid="{00000000-0005-0000-0000-00009D0C0000}"/>
    <cellStyle name="Normal 49 3" xfId="2294" xr:uid="{00000000-0005-0000-0000-00009E0C0000}"/>
    <cellStyle name="Normal 49 3 2" xfId="2295" xr:uid="{00000000-0005-0000-0000-00009F0C0000}"/>
    <cellStyle name="Normal 49 3 2 2" xfId="2296" xr:uid="{00000000-0005-0000-0000-0000A00C0000}"/>
    <cellStyle name="Normal 49 3 3" xfId="2297" xr:uid="{00000000-0005-0000-0000-0000A10C0000}"/>
    <cellStyle name="Normal 49 4" xfId="2298" xr:uid="{00000000-0005-0000-0000-0000A20C0000}"/>
    <cellStyle name="Normal 49 4 2" xfId="2299" xr:uid="{00000000-0005-0000-0000-0000A30C0000}"/>
    <cellStyle name="Normal 49 4 2 2" xfId="2300" xr:uid="{00000000-0005-0000-0000-0000A40C0000}"/>
    <cellStyle name="Normal 49 4 3" xfId="2301" xr:uid="{00000000-0005-0000-0000-0000A50C0000}"/>
    <cellStyle name="Normal 49 5" xfId="2302" xr:uid="{00000000-0005-0000-0000-0000A60C0000}"/>
    <cellStyle name="Normal 49 5 2" xfId="2303" xr:uid="{00000000-0005-0000-0000-0000A70C0000}"/>
    <cellStyle name="Normal 49 5 2 2" xfId="2304" xr:uid="{00000000-0005-0000-0000-0000A80C0000}"/>
    <cellStyle name="Normal 49 5 3" xfId="2305" xr:uid="{00000000-0005-0000-0000-0000A90C0000}"/>
    <cellStyle name="Normal 49 6" xfId="2306" xr:uid="{00000000-0005-0000-0000-0000AA0C0000}"/>
    <cellStyle name="Normal 49 6 2" xfId="2307" xr:uid="{00000000-0005-0000-0000-0000AB0C0000}"/>
    <cellStyle name="Normal 49 6 2 2" xfId="2308" xr:uid="{00000000-0005-0000-0000-0000AC0C0000}"/>
    <cellStyle name="Normal 49 6 3" xfId="2309" xr:uid="{00000000-0005-0000-0000-0000AD0C0000}"/>
    <cellStyle name="Normal 5" xfId="2310" xr:uid="{00000000-0005-0000-0000-0000AE0C0000}"/>
    <cellStyle name="Normal 5 10" xfId="2311" xr:uid="{00000000-0005-0000-0000-0000AF0C0000}"/>
    <cellStyle name="Normal 5 11" xfId="2312" xr:uid="{00000000-0005-0000-0000-0000B00C0000}"/>
    <cellStyle name="Normal 5 11 2" xfId="4258" xr:uid="{00000000-0005-0000-0000-0000B10C0000}"/>
    <cellStyle name="Normal 5 11 2 2" xfId="5150" xr:uid="{00000000-0005-0000-0000-0000B20C0000}"/>
    <cellStyle name="Normal 5 11 3" xfId="4702" xr:uid="{00000000-0005-0000-0000-0000B30C0000}"/>
    <cellStyle name="Normal 5 12" xfId="2313" xr:uid="{00000000-0005-0000-0000-0000B40C0000}"/>
    <cellStyle name="Normal 5 12 2" xfId="4259" xr:uid="{00000000-0005-0000-0000-0000B50C0000}"/>
    <cellStyle name="Normal 5 12 2 2" xfId="5151" xr:uid="{00000000-0005-0000-0000-0000B60C0000}"/>
    <cellStyle name="Normal 5 12 3" xfId="4703" xr:uid="{00000000-0005-0000-0000-0000B70C0000}"/>
    <cellStyle name="Normal 5 13" xfId="2314" xr:uid="{00000000-0005-0000-0000-0000B80C0000}"/>
    <cellStyle name="Normal 5 13 2" xfId="4260" xr:uid="{00000000-0005-0000-0000-0000B90C0000}"/>
    <cellStyle name="Normal 5 13 2 2" xfId="5152" xr:uid="{00000000-0005-0000-0000-0000BA0C0000}"/>
    <cellStyle name="Normal 5 13 3" xfId="4704" xr:uid="{00000000-0005-0000-0000-0000BB0C0000}"/>
    <cellStyle name="Normal 5 14" xfId="2315" xr:uid="{00000000-0005-0000-0000-0000BC0C0000}"/>
    <cellStyle name="Normal 5 14 2" xfId="4261" xr:uid="{00000000-0005-0000-0000-0000BD0C0000}"/>
    <cellStyle name="Normal 5 14 2 2" xfId="5153" xr:uid="{00000000-0005-0000-0000-0000BE0C0000}"/>
    <cellStyle name="Normal 5 14 3" xfId="4705" xr:uid="{00000000-0005-0000-0000-0000BF0C0000}"/>
    <cellStyle name="Normal 5 15" xfId="2316" xr:uid="{00000000-0005-0000-0000-0000C00C0000}"/>
    <cellStyle name="Normal 5 15 2" xfId="4262" xr:uid="{00000000-0005-0000-0000-0000C10C0000}"/>
    <cellStyle name="Normal 5 15 2 2" xfId="5154" xr:uid="{00000000-0005-0000-0000-0000C20C0000}"/>
    <cellStyle name="Normal 5 15 3" xfId="4706" xr:uid="{00000000-0005-0000-0000-0000C30C0000}"/>
    <cellStyle name="Normal 5 2" xfId="2317" xr:uid="{00000000-0005-0000-0000-0000C40C0000}"/>
    <cellStyle name="Normal 5 2 2" xfId="2318" xr:uid="{00000000-0005-0000-0000-0000C50C0000}"/>
    <cellStyle name="Normal 5 2 2 2" xfId="2319" xr:uid="{00000000-0005-0000-0000-0000C60C0000}"/>
    <cellStyle name="Normal 5 2 2 2 2" xfId="4265" xr:uid="{00000000-0005-0000-0000-0000C70C0000}"/>
    <cellStyle name="Normal 5 2 2 2 2 2" xfId="4862" xr:uid="{00000000-0005-0000-0000-0000C80C0000}"/>
    <cellStyle name="Normal 5 2 2 2 3" xfId="4709" xr:uid="{00000000-0005-0000-0000-0000C90C0000}"/>
    <cellStyle name="Normal 5 2 2 3" xfId="4264" xr:uid="{00000000-0005-0000-0000-0000CA0C0000}"/>
    <cellStyle name="Normal 5 2 2 3 2" xfId="4939" xr:uid="{00000000-0005-0000-0000-0000CB0C0000}"/>
    <cellStyle name="Normal 5 2 2 4" xfId="4708" xr:uid="{00000000-0005-0000-0000-0000CC0C0000}"/>
    <cellStyle name="Normal 5 2 3" xfId="2320" xr:uid="{00000000-0005-0000-0000-0000CD0C0000}"/>
    <cellStyle name="Normal 5 2 3 2" xfId="4266" xr:uid="{00000000-0005-0000-0000-0000CE0C0000}"/>
    <cellStyle name="Normal 5 2 3 2 2" xfId="4900" xr:uid="{00000000-0005-0000-0000-0000CF0C0000}"/>
    <cellStyle name="Normal 5 2 3 3" xfId="4710" xr:uid="{00000000-0005-0000-0000-0000D00C0000}"/>
    <cellStyle name="Normal 5 2 4" xfId="2321" xr:uid="{00000000-0005-0000-0000-0000D10C0000}"/>
    <cellStyle name="Normal 5 2 4 2" xfId="4267" xr:uid="{00000000-0005-0000-0000-0000D20C0000}"/>
    <cellStyle name="Normal 5 2 4 2 2" xfId="5156" xr:uid="{00000000-0005-0000-0000-0000D30C0000}"/>
    <cellStyle name="Normal 5 2 4 3" xfId="4711" xr:uid="{00000000-0005-0000-0000-0000D40C0000}"/>
    <cellStyle name="Normal 5 2 5" xfId="2322" xr:uid="{00000000-0005-0000-0000-0000D50C0000}"/>
    <cellStyle name="Normal 5 2 5 2" xfId="4268" xr:uid="{00000000-0005-0000-0000-0000D60C0000}"/>
    <cellStyle name="Normal 5 2 5 2 2" xfId="5157" xr:uid="{00000000-0005-0000-0000-0000D70C0000}"/>
    <cellStyle name="Normal 5 2 5 3" xfId="4712" xr:uid="{00000000-0005-0000-0000-0000D80C0000}"/>
    <cellStyle name="Normal 5 2 6" xfId="2323" xr:uid="{00000000-0005-0000-0000-0000D90C0000}"/>
    <cellStyle name="Normal 5 2 6 2" xfId="4269" xr:uid="{00000000-0005-0000-0000-0000DA0C0000}"/>
    <cellStyle name="Normal 5 2 6 2 2" xfId="5158" xr:uid="{00000000-0005-0000-0000-0000DB0C0000}"/>
    <cellStyle name="Normal 5 2 6 3" xfId="4713" xr:uid="{00000000-0005-0000-0000-0000DC0C0000}"/>
    <cellStyle name="Normal 5 2 7" xfId="4263" xr:uid="{00000000-0005-0000-0000-0000DD0C0000}"/>
    <cellStyle name="Normal 5 2 7 2" xfId="5155" xr:uid="{00000000-0005-0000-0000-0000DE0C0000}"/>
    <cellStyle name="Normal 5 2 8" xfId="4707" xr:uid="{00000000-0005-0000-0000-0000DF0C0000}"/>
    <cellStyle name="Normal 5 3" xfId="2324" xr:uid="{00000000-0005-0000-0000-0000E00C0000}"/>
    <cellStyle name="Normal 5 3 2" xfId="2325" xr:uid="{00000000-0005-0000-0000-0000E10C0000}"/>
    <cellStyle name="Normal 5 3 2 2" xfId="4271" xr:uid="{00000000-0005-0000-0000-0000E20C0000}"/>
    <cellStyle name="Normal 5 3 2 2 2" xfId="4875" xr:uid="{00000000-0005-0000-0000-0000E30C0000}"/>
    <cellStyle name="Normal 5 3 2 3" xfId="4715" xr:uid="{00000000-0005-0000-0000-0000E40C0000}"/>
    <cellStyle name="Normal 5 3 3" xfId="2326" xr:uid="{00000000-0005-0000-0000-0000E50C0000}"/>
    <cellStyle name="Normal 5 3 3 2" xfId="4272" xr:uid="{00000000-0005-0000-0000-0000E60C0000}"/>
    <cellStyle name="Normal 5 3 3 2 2" xfId="5160" xr:uid="{00000000-0005-0000-0000-0000E70C0000}"/>
    <cellStyle name="Normal 5 3 3 3" xfId="4716" xr:uid="{00000000-0005-0000-0000-0000E80C0000}"/>
    <cellStyle name="Normal 5 3 4" xfId="2327" xr:uid="{00000000-0005-0000-0000-0000E90C0000}"/>
    <cellStyle name="Normal 5 3 4 2" xfId="4273" xr:uid="{00000000-0005-0000-0000-0000EA0C0000}"/>
    <cellStyle name="Normal 5 3 4 2 2" xfId="5161" xr:uid="{00000000-0005-0000-0000-0000EB0C0000}"/>
    <cellStyle name="Normal 5 3 4 3" xfId="4717" xr:uid="{00000000-0005-0000-0000-0000EC0C0000}"/>
    <cellStyle name="Normal 5 3 5" xfId="2328" xr:uid="{00000000-0005-0000-0000-0000ED0C0000}"/>
    <cellStyle name="Normal 5 3 5 2" xfId="4274" xr:uid="{00000000-0005-0000-0000-0000EE0C0000}"/>
    <cellStyle name="Normal 5 3 5 2 2" xfId="5162" xr:uid="{00000000-0005-0000-0000-0000EF0C0000}"/>
    <cellStyle name="Normal 5 3 5 3" xfId="4718" xr:uid="{00000000-0005-0000-0000-0000F00C0000}"/>
    <cellStyle name="Normal 5 3 6" xfId="2329" xr:uid="{00000000-0005-0000-0000-0000F10C0000}"/>
    <cellStyle name="Normal 5 3 6 2" xfId="4275" xr:uid="{00000000-0005-0000-0000-0000F20C0000}"/>
    <cellStyle name="Normal 5 3 6 2 2" xfId="5163" xr:uid="{00000000-0005-0000-0000-0000F30C0000}"/>
    <cellStyle name="Normal 5 3 6 3" xfId="4719" xr:uid="{00000000-0005-0000-0000-0000F40C0000}"/>
    <cellStyle name="Normal 5 3 7" xfId="4270" xr:uid="{00000000-0005-0000-0000-0000F50C0000}"/>
    <cellStyle name="Normal 5 3 7 2" xfId="5159" xr:uid="{00000000-0005-0000-0000-0000F60C0000}"/>
    <cellStyle name="Normal 5 3 8" xfId="4714" xr:uid="{00000000-0005-0000-0000-0000F70C0000}"/>
    <cellStyle name="Normal 5 4" xfId="2330" xr:uid="{00000000-0005-0000-0000-0000F80C0000}"/>
    <cellStyle name="Normal 5 4 2" xfId="2331" xr:uid="{00000000-0005-0000-0000-0000F90C0000}"/>
    <cellStyle name="Normal 5 4 2 2" xfId="4277" xr:uid="{00000000-0005-0000-0000-0000FA0C0000}"/>
    <cellStyle name="Normal 5 4 2 2 2" xfId="5165" xr:uid="{00000000-0005-0000-0000-0000FB0C0000}"/>
    <cellStyle name="Normal 5 4 2 3" xfId="4721" xr:uid="{00000000-0005-0000-0000-0000FC0C0000}"/>
    <cellStyle name="Normal 5 4 3" xfId="2332" xr:uid="{00000000-0005-0000-0000-0000FD0C0000}"/>
    <cellStyle name="Normal 5 4 3 2" xfId="4278" xr:uid="{00000000-0005-0000-0000-0000FE0C0000}"/>
    <cellStyle name="Normal 5 4 3 2 2" xfId="5166" xr:uid="{00000000-0005-0000-0000-0000FF0C0000}"/>
    <cellStyle name="Normal 5 4 3 3" xfId="4722" xr:uid="{00000000-0005-0000-0000-0000000D0000}"/>
    <cellStyle name="Normal 5 4 4" xfId="2333" xr:uid="{00000000-0005-0000-0000-0000010D0000}"/>
    <cellStyle name="Normal 5 4 4 2" xfId="4279" xr:uid="{00000000-0005-0000-0000-0000020D0000}"/>
    <cellStyle name="Normal 5 4 4 2 2" xfId="5167" xr:uid="{00000000-0005-0000-0000-0000030D0000}"/>
    <cellStyle name="Normal 5 4 4 3" xfId="4723" xr:uid="{00000000-0005-0000-0000-0000040D0000}"/>
    <cellStyle name="Normal 5 4 5" xfId="2334" xr:uid="{00000000-0005-0000-0000-0000050D0000}"/>
    <cellStyle name="Normal 5 4 5 2" xfId="4280" xr:uid="{00000000-0005-0000-0000-0000060D0000}"/>
    <cellStyle name="Normal 5 4 5 2 2" xfId="5168" xr:uid="{00000000-0005-0000-0000-0000070D0000}"/>
    <cellStyle name="Normal 5 4 5 3" xfId="4724" xr:uid="{00000000-0005-0000-0000-0000080D0000}"/>
    <cellStyle name="Normal 5 4 6" xfId="2335" xr:uid="{00000000-0005-0000-0000-0000090D0000}"/>
    <cellStyle name="Normal 5 4 6 2" xfId="4281" xr:uid="{00000000-0005-0000-0000-00000A0D0000}"/>
    <cellStyle name="Normal 5 4 6 2 2" xfId="5169" xr:uid="{00000000-0005-0000-0000-00000B0D0000}"/>
    <cellStyle name="Normal 5 4 6 3" xfId="4725" xr:uid="{00000000-0005-0000-0000-00000C0D0000}"/>
    <cellStyle name="Normal 5 4 7" xfId="4276" xr:uid="{00000000-0005-0000-0000-00000D0D0000}"/>
    <cellStyle name="Normal 5 4 7 2" xfId="5164" xr:uid="{00000000-0005-0000-0000-00000E0D0000}"/>
    <cellStyle name="Normal 5 4 8" xfId="4720" xr:uid="{00000000-0005-0000-0000-00000F0D0000}"/>
    <cellStyle name="Normal 5 5" xfId="2336" xr:uid="{00000000-0005-0000-0000-0000100D0000}"/>
    <cellStyle name="Normal 5 5 2" xfId="4282" xr:uid="{00000000-0005-0000-0000-0000110D0000}"/>
    <cellStyle name="Normal 5 5 2 2" xfId="5170" xr:uid="{00000000-0005-0000-0000-0000120D0000}"/>
    <cellStyle name="Normal 5 5 3" xfId="4726" xr:uid="{00000000-0005-0000-0000-0000130D0000}"/>
    <cellStyle name="Normal 5 6" xfId="2337" xr:uid="{00000000-0005-0000-0000-0000140D0000}"/>
    <cellStyle name="Normal 5 6 2" xfId="4283" xr:uid="{00000000-0005-0000-0000-0000150D0000}"/>
    <cellStyle name="Normal 5 6 2 2" xfId="5171" xr:uid="{00000000-0005-0000-0000-0000160D0000}"/>
    <cellStyle name="Normal 5 6 3" xfId="4727" xr:uid="{00000000-0005-0000-0000-0000170D0000}"/>
    <cellStyle name="Normal 5 7" xfId="2338" xr:uid="{00000000-0005-0000-0000-0000180D0000}"/>
    <cellStyle name="Normal 5 8" xfId="2339" xr:uid="{00000000-0005-0000-0000-0000190D0000}"/>
    <cellStyle name="Normal 5 9" xfId="2340" xr:uid="{00000000-0005-0000-0000-00001A0D0000}"/>
    <cellStyle name="Normal 50" xfId="4440" xr:uid="{00000000-0005-0000-0000-00001B0D0000}"/>
    <cellStyle name="Normal 50 2" xfId="2341" xr:uid="{00000000-0005-0000-0000-00001C0D0000}"/>
    <cellStyle name="Normal 50 2 2" xfId="2342" xr:uid="{00000000-0005-0000-0000-00001D0D0000}"/>
    <cellStyle name="Normal 50 2 2 2" xfId="2343" xr:uid="{00000000-0005-0000-0000-00001E0D0000}"/>
    <cellStyle name="Normal 50 2 3" xfId="2344" xr:uid="{00000000-0005-0000-0000-00001F0D0000}"/>
    <cellStyle name="Normal 50 3" xfId="2345" xr:uid="{00000000-0005-0000-0000-0000200D0000}"/>
    <cellStyle name="Normal 50 3 2" xfId="2346" xr:uid="{00000000-0005-0000-0000-0000210D0000}"/>
    <cellStyle name="Normal 50 3 2 2" xfId="2347" xr:uid="{00000000-0005-0000-0000-0000220D0000}"/>
    <cellStyle name="Normal 50 3 3" xfId="2348" xr:uid="{00000000-0005-0000-0000-0000230D0000}"/>
    <cellStyle name="Normal 50 4" xfId="2349" xr:uid="{00000000-0005-0000-0000-0000240D0000}"/>
    <cellStyle name="Normal 50 4 2" xfId="2350" xr:uid="{00000000-0005-0000-0000-0000250D0000}"/>
    <cellStyle name="Normal 50 4 2 2" xfId="2351" xr:uid="{00000000-0005-0000-0000-0000260D0000}"/>
    <cellStyle name="Normal 50 4 3" xfId="2352" xr:uid="{00000000-0005-0000-0000-0000270D0000}"/>
    <cellStyle name="Normal 50 5" xfId="2353" xr:uid="{00000000-0005-0000-0000-0000280D0000}"/>
    <cellStyle name="Normal 50 5 2" xfId="2354" xr:uid="{00000000-0005-0000-0000-0000290D0000}"/>
    <cellStyle name="Normal 50 5 2 2" xfId="2355" xr:uid="{00000000-0005-0000-0000-00002A0D0000}"/>
    <cellStyle name="Normal 50 5 3" xfId="2356" xr:uid="{00000000-0005-0000-0000-00002B0D0000}"/>
    <cellStyle name="Normal 50 6" xfId="2357" xr:uid="{00000000-0005-0000-0000-00002C0D0000}"/>
    <cellStyle name="Normal 50 6 2" xfId="2358" xr:uid="{00000000-0005-0000-0000-00002D0D0000}"/>
    <cellStyle name="Normal 50 6 2 2" xfId="2359" xr:uid="{00000000-0005-0000-0000-00002E0D0000}"/>
    <cellStyle name="Normal 50 6 3" xfId="2360" xr:uid="{00000000-0005-0000-0000-00002F0D0000}"/>
    <cellStyle name="Normal 51" xfId="5246" xr:uid="{00000000-0005-0000-0000-0000300D0000}"/>
    <cellStyle name="Normal 51 2" xfId="2361" xr:uid="{00000000-0005-0000-0000-0000310D0000}"/>
    <cellStyle name="Normal 51 2 2" xfId="2362" xr:uid="{00000000-0005-0000-0000-0000320D0000}"/>
    <cellStyle name="Normal 51 2 2 2" xfId="2363" xr:uid="{00000000-0005-0000-0000-0000330D0000}"/>
    <cellStyle name="Normal 51 2 3" xfId="2364" xr:uid="{00000000-0005-0000-0000-0000340D0000}"/>
    <cellStyle name="Normal 51 3" xfId="2365" xr:uid="{00000000-0005-0000-0000-0000350D0000}"/>
    <cellStyle name="Normal 51 3 2" xfId="2366" xr:uid="{00000000-0005-0000-0000-0000360D0000}"/>
    <cellStyle name="Normal 51 3 2 2" xfId="2367" xr:uid="{00000000-0005-0000-0000-0000370D0000}"/>
    <cellStyle name="Normal 51 3 3" xfId="2368" xr:uid="{00000000-0005-0000-0000-0000380D0000}"/>
    <cellStyle name="Normal 51 4" xfId="2369" xr:uid="{00000000-0005-0000-0000-0000390D0000}"/>
    <cellStyle name="Normal 51 4 2" xfId="2370" xr:uid="{00000000-0005-0000-0000-00003A0D0000}"/>
    <cellStyle name="Normal 51 4 2 2" xfId="2371" xr:uid="{00000000-0005-0000-0000-00003B0D0000}"/>
    <cellStyle name="Normal 51 4 3" xfId="2372" xr:uid="{00000000-0005-0000-0000-00003C0D0000}"/>
    <cellStyle name="Normal 51 5" xfId="2373" xr:uid="{00000000-0005-0000-0000-00003D0D0000}"/>
    <cellStyle name="Normal 51 5 2" xfId="2374" xr:uid="{00000000-0005-0000-0000-00003E0D0000}"/>
    <cellStyle name="Normal 51 5 2 2" xfId="2375" xr:uid="{00000000-0005-0000-0000-00003F0D0000}"/>
    <cellStyle name="Normal 51 5 3" xfId="2376" xr:uid="{00000000-0005-0000-0000-0000400D0000}"/>
    <cellStyle name="Normal 51 6" xfId="2377" xr:uid="{00000000-0005-0000-0000-0000410D0000}"/>
    <cellStyle name="Normal 51 6 2" xfId="2378" xr:uid="{00000000-0005-0000-0000-0000420D0000}"/>
    <cellStyle name="Normal 51 6 2 2" xfId="2379" xr:uid="{00000000-0005-0000-0000-0000430D0000}"/>
    <cellStyle name="Normal 51 6 3" xfId="2380" xr:uid="{00000000-0005-0000-0000-0000440D0000}"/>
    <cellStyle name="Normal 52" xfId="5248" xr:uid="{53B268D0-6A43-40C9-BB26-3319452685AC}"/>
    <cellStyle name="Normal 52 2" xfId="2381" xr:uid="{00000000-0005-0000-0000-0000450D0000}"/>
    <cellStyle name="Normal 52 2 2" xfId="2382" xr:uid="{00000000-0005-0000-0000-0000460D0000}"/>
    <cellStyle name="Normal 52 2 2 2" xfId="2383" xr:uid="{00000000-0005-0000-0000-0000470D0000}"/>
    <cellStyle name="Normal 52 2 3" xfId="2384" xr:uid="{00000000-0005-0000-0000-0000480D0000}"/>
    <cellStyle name="Normal 52 3" xfId="2385" xr:uid="{00000000-0005-0000-0000-0000490D0000}"/>
    <cellStyle name="Normal 52 3 2" xfId="2386" xr:uid="{00000000-0005-0000-0000-00004A0D0000}"/>
    <cellStyle name="Normal 52 3 2 2" xfId="2387" xr:uid="{00000000-0005-0000-0000-00004B0D0000}"/>
    <cellStyle name="Normal 52 3 3" xfId="2388" xr:uid="{00000000-0005-0000-0000-00004C0D0000}"/>
    <cellStyle name="Normal 52 4" xfId="2389" xr:uid="{00000000-0005-0000-0000-00004D0D0000}"/>
    <cellStyle name="Normal 52 4 2" xfId="2390" xr:uid="{00000000-0005-0000-0000-00004E0D0000}"/>
    <cellStyle name="Normal 52 4 2 2" xfId="2391" xr:uid="{00000000-0005-0000-0000-00004F0D0000}"/>
    <cellStyle name="Normal 52 4 3" xfId="2392" xr:uid="{00000000-0005-0000-0000-0000500D0000}"/>
    <cellStyle name="Normal 52 5" xfId="2393" xr:uid="{00000000-0005-0000-0000-0000510D0000}"/>
    <cellStyle name="Normal 52 5 2" xfId="2394" xr:uid="{00000000-0005-0000-0000-0000520D0000}"/>
    <cellStyle name="Normal 52 5 2 2" xfId="2395" xr:uid="{00000000-0005-0000-0000-0000530D0000}"/>
    <cellStyle name="Normal 52 5 3" xfId="2396" xr:uid="{00000000-0005-0000-0000-0000540D0000}"/>
    <cellStyle name="Normal 52 6" xfId="2397" xr:uid="{00000000-0005-0000-0000-0000550D0000}"/>
    <cellStyle name="Normal 52 6 2" xfId="2398" xr:uid="{00000000-0005-0000-0000-0000560D0000}"/>
    <cellStyle name="Normal 52 6 2 2" xfId="2399" xr:uid="{00000000-0005-0000-0000-0000570D0000}"/>
    <cellStyle name="Normal 52 6 3" xfId="2400" xr:uid="{00000000-0005-0000-0000-0000580D0000}"/>
    <cellStyle name="Normal 53" xfId="3985" xr:uid="{00000000-0005-0000-0000-0000590D0000}"/>
    <cellStyle name="Normal 55 10" xfId="2401" xr:uid="{00000000-0005-0000-0000-00005A0D0000}"/>
    <cellStyle name="Normal 55 10 2" xfId="2402" xr:uid="{00000000-0005-0000-0000-00005B0D0000}"/>
    <cellStyle name="Normal 55 11" xfId="2403" xr:uid="{00000000-0005-0000-0000-00005C0D0000}"/>
    <cellStyle name="Normal 55 11 2" xfId="2404" xr:uid="{00000000-0005-0000-0000-00005D0D0000}"/>
    <cellStyle name="Normal 55 12" xfId="2405" xr:uid="{00000000-0005-0000-0000-00005E0D0000}"/>
    <cellStyle name="Normal 55 12 2" xfId="2406" xr:uid="{00000000-0005-0000-0000-00005F0D0000}"/>
    <cellStyle name="Normal 55 13" xfId="2407" xr:uid="{00000000-0005-0000-0000-0000600D0000}"/>
    <cellStyle name="Normal 55 13 2" xfId="2408" xr:uid="{00000000-0005-0000-0000-0000610D0000}"/>
    <cellStyle name="Normal 55 14" xfId="2409" xr:uid="{00000000-0005-0000-0000-0000620D0000}"/>
    <cellStyle name="Normal 55 14 2" xfId="2410" xr:uid="{00000000-0005-0000-0000-0000630D0000}"/>
    <cellStyle name="Normal 55 2" xfId="2411" xr:uid="{00000000-0005-0000-0000-0000640D0000}"/>
    <cellStyle name="Normal 55 2 2" xfId="2412" xr:uid="{00000000-0005-0000-0000-0000650D0000}"/>
    <cellStyle name="Normal 55 2 2 2" xfId="2413" xr:uid="{00000000-0005-0000-0000-0000660D0000}"/>
    <cellStyle name="Normal 55 2 3" xfId="2414" xr:uid="{00000000-0005-0000-0000-0000670D0000}"/>
    <cellStyle name="Normal 55 3" xfId="2415" xr:uid="{00000000-0005-0000-0000-0000680D0000}"/>
    <cellStyle name="Normal 55 3 2" xfId="2416" xr:uid="{00000000-0005-0000-0000-0000690D0000}"/>
    <cellStyle name="Normal 55 3 2 2" xfId="2417" xr:uid="{00000000-0005-0000-0000-00006A0D0000}"/>
    <cellStyle name="Normal 55 3 3" xfId="2418" xr:uid="{00000000-0005-0000-0000-00006B0D0000}"/>
    <cellStyle name="Normal 55 4" xfId="2419" xr:uid="{00000000-0005-0000-0000-00006C0D0000}"/>
    <cellStyle name="Normal 55 4 2" xfId="2420" xr:uid="{00000000-0005-0000-0000-00006D0D0000}"/>
    <cellStyle name="Normal 55 4 2 2" xfId="2421" xr:uid="{00000000-0005-0000-0000-00006E0D0000}"/>
    <cellStyle name="Normal 55 4 3" xfId="2422" xr:uid="{00000000-0005-0000-0000-00006F0D0000}"/>
    <cellStyle name="Normal 55 5" xfId="2423" xr:uid="{00000000-0005-0000-0000-0000700D0000}"/>
    <cellStyle name="Normal 55 5 2" xfId="2424" xr:uid="{00000000-0005-0000-0000-0000710D0000}"/>
    <cellStyle name="Normal 55 5 2 2" xfId="2425" xr:uid="{00000000-0005-0000-0000-0000720D0000}"/>
    <cellStyle name="Normal 55 5 3" xfId="2426" xr:uid="{00000000-0005-0000-0000-0000730D0000}"/>
    <cellStyle name="Normal 55 6" xfId="2427" xr:uid="{00000000-0005-0000-0000-0000740D0000}"/>
    <cellStyle name="Normal 55 6 2" xfId="2428" xr:uid="{00000000-0005-0000-0000-0000750D0000}"/>
    <cellStyle name="Normal 55 6 2 2" xfId="2429" xr:uid="{00000000-0005-0000-0000-0000760D0000}"/>
    <cellStyle name="Normal 55 6 3" xfId="2430" xr:uid="{00000000-0005-0000-0000-0000770D0000}"/>
    <cellStyle name="Normal 55 7" xfId="2431" xr:uid="{00000000-0005-0000-0000-0000780D0000}"/>
    <cellStyle name="Normal 55 7 2" xfId="2432" xr:uid="{00000000-0005-0000-0000-0000790D0000}"/>
    <cellStyle name="Normal 55 7 2 2" xfId="2433" xr:uid="{00000000-0005-0000-0000-00007A0D0000}"/>
    <cellStyle name="Normal 55 7 3" xfId="2434" xr:uid="{00000000-0005-0000-0000-00007B0D0000}"/>
    <cellStyle name="Normal 55 8" xfId="2435" xr:uid="{00000000-0005-0000-0000-00007C0D0000}"/>
    <cellStyle name="Normal 55 8 2" xfId="2436" xr:uid="{00000000-0005-0000-0000-00007D0D0000}"/>
    <cellStyle name="Normal 55 9" xfId="2437" xr:uid="{00000000-0005-0000-0000-00007E0D0000}"/>
    <cellStyle name="Normal 55 9 2" xfId="2438" xr:uid="{00000000-0005-0000-0000-00007F0D0000}"/>
    <cellStyle name="Normal 56 10" xfId="2439" xr:uid="{00000000-0005-0000-0000-0000800D0000}"/>
    <cellStyle name="Normal 56 10 2" xfId="2440" xr:uid="{00000000-0005-0000-0000-0000810D0000}"/>
    <cellStyle name="Normal 56 11" xfId="2441" xr:uid="{00000000-0005-0000-0000-0000820D0000}"/>
    <cellStyle name="Normal 56 11 2" xfId="2442" xr:uid="{00000000-0005-0000-0000-0000830D0000}"/>
    <cellStyle name="Normal 56 12" xfId="2443" xr:uid="{00000000-0005-0000-0000-0000840D0000}"/>
    <cellStyle name="Normal 56 12 2" xfId="2444" xr:uid="{00000000-0005-0000-0000-0000850D0000}"/>
    <cellStyle name="Normal 56 13" xfId="2445" xr:uid="{00000000-0005-0000-0000-0000860D0000}"/>
    <cellStyle name="Normal 56 13 2" xfId="2446" xr:uid="{00000000-0005-0000-0000-0000870D0000}"/>
    <cellStyle name="Normal 56 14" xfId="2447" xr:uid="{00000000-0005-0000-0000-0000880D0000}"/>
    <cellStyle name="Normal 56 14 2" xfId="2448" xr:uid="{00000000-0005-0000-0000-0000890D0000}"/>
    <cellStyle name="Normal 56 2" xfId="2449" xr:uid="{00000000-0005-0000-0000-00008A0D0000}"/>
    <cellStyle name="Normal 56 2 2" xfId="2450" xr:uid="{00000000-0005-0000-0000-00008B0D0000}"/>
    <cellStyle name="Normal 56 2 2 2" xfId="2451" xr:uid="{00000000-0005-0000-0000-00008C0D0000}"/>
    <cellStyle name="Normal 56 2 3" xfId="2452" xr:uid="{00000000-0005-0000-0000-00008D0D0000}"/>
    <cellStyle name="Normal 56 3" xfId="2453" xr:uid="{00000000-0005-0000-0000-00008E0D0000}"/>
    <cellStyle name="Normal 56 3 2" xfId="2454" xr:uid="{00000000-0005-0000-0000-00008F0D0000}"/>
    <cellStyle name="Normal 56 3 2 2" xfId="2455" xr:uid="{00000000-0005-0000-0000-0000900D0000}"/>
    <cellStyle name="Normal 56 3 3" xfId="2456" xr:uid="{00000000-0005-0000-0000-0000910D0000}"/>
    <cellStyle name="Normal 56 4" xfId="2457" xr:uid="{00000000-0005-0000-0000-0000920D0000}"/>
    <cellStyle name="Normal 56 4 2" xfId="2458" xr:uid="{00000000-0005-0000-0000-0000930D0000}"/>
    <cellStyle name="Normal 56 4 2 2" xfId="2459" xr:uid="{00000000-0005-0000-0000-0000940D0000}"/>
    <cellStyle name="Normal 56 4 3" xfId="2460" xr:uid="{00000000-0005-0000-0000-0000950D0000}"/>
    <cellStyle name="Normal 56 5" xfId="2461" xr:uid="{00000000-0005-0000-0000-0000960D0000}"/>
    <cellStyle name="Normal 56 5 2" xfId="2462" xr:uid="{00000000-0005-0000-0000-0000970D0000}"/>
    <cellStyle name="Normal 56 5 2 2" xfId="2463" xr:uid="{00000000-0005-0000-0000-0000980D0000}"/>
    <cellStyle name="Normal 56 5 3" xfId="2464" xr:uid="{00000000-0005-0000-0000-0000990D0000}"/>
    <cellStyle name="Normal 56 6" xfId="2465" xr:uid="{00000000-0005-0000-0000-00009A0D0000}"/>
    <cellStyle name="Normal 56 6 2" xfId="2466" xr:uid="{00000000-0005-0000-0000-00009B0D0000}"/>
    <cellStyle name="Normal 56 6 2 2" xfId="2467" xr:uid="{00000000-0005-0000-0000-00009C0D0000}"/>
    <cellStyle name="Normal 56 6 3" xfId="2468" xr:uid="{00000000-0005-0000-0000-00009D0D0000}"/>
    <cellStyle name="Normal 56 7" xfId="2469" xr:uid="{00000000-0005-0000-0000-00009E0D0000}"/>
    <cellStyle name="Normal 56 7 2" xfId="2470" xr:uid="{00000000-0005-0000-0000-00009F0D0000}"/>
    <cellStyle name="Normal 56 7 2 2" xfId="2471" xr:uid="{00000000-0005-0000-0000-0000A00D0000}"/>
    <cellStyle name="Normal 56 7 3" xfId="2472" xr:uid="{00000000-0005-0000-0000-0000A10D0000}"/>
    <cellStyle name="Normal 56 8" xfId="2473" xr:uid="{00000000-0005-0000-0000-0000A20D0000}"/>
    <cellStyle name="Normal 56 8 2" xfId="2474" xr:uid="{00000000-0005-0000-0000-0000A30D0000}"/>
    <cellStyle name="Normal 56 9" xfId="2475" xr:uid="{00000000-0005-0000-0000-0000A40D0000}"/>
    <cellStyle name="Normal 56 9 2" xfId="2476" xr:uid="{00000000-0005-0000-0000-0000A50D0000}"/>
    <cellStyle name="Normal 57 10" xfId="2477" xr:uid="{00000000-0005-0000-0000-0000A60D0000}"/>
    <cellStyle name="Normal 57 10 2" xfId="2478" xr:uid="{00000000-0005-0000-0000-0000A70D0000}"/>
    <cellStyle name="Normal 57 11" xfId="2479" xr:uid="{00000000-0005-0000-0000-0000A80D0000}"/>
    <cellStyle name="Normal 57 11 2" xfId="2480" xr:uid="{00000000-0005-0000-0000-0000A90D0000}"/>
    <cellStyle name="Normal 57 12" xfId="2481" xr:uid="{00000000-0005-0000-0000-0000AA0D0000}"/>
    <cellStyle name="Normal 57 12 2" xfId="2482" xr:uid="{00000000-0005-0000-0000-0000AB0D0000}"/>
    <cellStyle name="Normal 57 13" xfId="2483" xr:uid="{00000000-0005-0000-0000-0000AC0D0000}"/>
    <cellStyle name="Normal 57 13 2" xfId="2484" xr:uid="{00000000-0005-0000-0000-0000AD0D0000}"/>
    <cellStyle name="Normal 57 14" xfId="2485" xr:uid="{00000000-0005-0000-0000-0000AE0D0000}"/>
    <cellStyle name="Normal 57 14 2" xfId="2486" xr:uid="{00000000-0005-0000-0000-0000AF0D0000}"/>
    <cellStyle name="Normal 57 2" xfId="2487" xr:uid="{00000000-0005-0000-0000-0000B00D0000}"/>
    <cellStyle name="Normal 57 2 2" xfId="2488" xr:uid="{00000000-0005-0000-0000-0000B10D0000}"/>
    <cellStyle name="Normal 57 2 2 2" xfId="2489" xr:uid="{00000000-0005-0000-0000-0000B20D0000}"/>
    <cellStyle name="Normal 57 2 3" xfId="2490" xr:uid="{00000000-0005-0000-0000-0000B30D0000}"/>
    <cellStyle name="Normal 57 3" xfId="2491" xr:uid="{00000000-0005-0000-0000-0000B40D0000}"/>
    <cellStyle name="Normal 57 3 2" xfId="2492" xr:uid="{00000000-0005-0000-0000-0000B50D0000}"/>
    <cellStyle name="Normal 57 3 2 2" xfId="2493" xr:uid="{00000000-0005-0000-0000-0000B60D0000}"/>
    <cellStyle name="Normal 57 3 3" xfId="2494" xr:uid="{00000000-0005-0000-0000-0000B70D0000}"/>
    <cellStyle name="Normal 57 4" xfId="2495" xr:uid="{00000000-0005-0000-0000-0000B80D0000}"/>
    <cellStyle name="Normal 57 4 2" xfId="2496" xr:uid="{00000000-0005-0000-0000-0000B90D0000}"/>
    <cellStyle name="Normal 57 4 2 2" xfId="2497" xr:uid="{00000000-0005-0000-0000-0000BA0D0000}"/>
    <cellStyle name="Normal 57 4 3" xfId="2498" xr:uid="{00000000-0005-0000-0000-0000BB0D0000}"/>
    <cellStyle name="Normal 57 5" xfId="2499" xr:uid="{00000000-0005-0000-0000-0000BC0D0000}"/>
    <cellStyle name="Normal 57 5 2" xfId="2500" xr:uid="{00000000-0005-0000-0000-0000BD0D0000}"/>
    <cellStyle name="Normal 57 5 2 2" xfId="2501" xr:uid="{00000000-0005-0000-0000-0000BE0D0000}"/>
    <cellStyle name="Normal 57 5 3" xfId="2502" xr:uid="{00000000-0005-0000-0000-0000BF0D0000}"/>
    <cellStyle name="Normal 57 6" xfId="2503" xr:uid="{00000000-0005-0000-0000-0000C00D0000}"/>
    <cellStyle name="Normal 57 6 2" xfId="2504" xr:uid="{00000000-0005-0000-0000-0000C10D0000}"/>
    <cellStyle name="Normal 57 6 2 2" xfId="2505" xr:uid="{00000000-0005-0000-0000-0000C20D0000}"/>
    <cellStyle name="Normal 57 6 3" xfId="2506" xr:uid="{00000000-0005-0000-0000-0000C30D0000}"/>
    <cellStyle name="Normal 57 7" xfId="2507" xr:uid="{00000000-0005-0000-0000-0000C40D0000}"/>
    <cellStyle name="Normal 57 7 2" xfId="2508" xr:uid="{00000000-0005-0000-0000-0000C50D0000}"/>
    <cellStyle name="Normal 57 7 2 2" xfId="2509" xr:uid="{00000000-0005-0000-0000-0000C60D0000}"/>
    <cellStyle name="Normal 57 7 3" xfId="2510" xr:uid="{00000000-0005-0000-0000-0000C70D0000}"/>
    <cellStyle name="Normal 57 8" xfId="2511" xr:uid="{00000000-0005-0000-0000-0000C80D0000}"/>
    <cellStyle name="Normal 57 8 2" xfId="2512" xr:uid="{00000000-0005-0000-0000-0000C90D0000}"/>
    <cellStyle name="Normal 57 9" xfId="2513" xr:uid="{00000000-0005-0000-0000-0000CA0D0000}"/>
    <cellStyle name="Normal 57 9 2" xfId="2514" xr:uid="{00000000-0005-0000-0000-0000CB0D0000}"/>
    <cellStyle name="Normal 58 10" xfId="2515" xr:uid="{00000000-0005-0000-0000-0000CC0D0000}"/>
    <cellStyle name="Normal 58 10 2" xfId="2516" xr:uid="{00000000-0005-0000-0000-0000CD0D0000}"/>
    <cellStyle name="Normal 58 11" xfId="2517" xr:uid="{00000000-0005-0000-0000-0000CE0D0000}"/>
    <cellStyle name="Normal 58 11 2" xfId="2518" xr:uid="{00000000-0005-0000-0000-0000CF0D0000}"/>
    <cellStyle name="Normal 58 12" xfId="2519" xr:uid="{00000000-0005-0000-0000-0000D00D0000}"/>
    <cellStyle name="Normal 58 12 2" xfId="2520" xr:uid="{00000000-0005-0000-0000-0000D10D0000}"/>
    <cellStyle name="Normal 58 13" xfId="2521" xr:uid="{00000000-0005-0000-0000-0000D20D0000}"/>
    <cellStyle name="Normal 58 13 2" xfId="2522" xr:uid="{00000000-0005-0000-0000-0000D30D0000}"/>
    <cellStyle name="Normal 58 14" xfId="2523" xr:uid="{00000000-0005-0000-0000-0000D40D0000}"/>
    <cellStyle name="Normal 58 14 2" xfId="2524" xr:uid="{00000000-0005-0000-0000-0000D50D0000}"/>
    <cellStyle name="Normal 58 2" xfId="2525" xr:uid="{00000000-0005-0000-0000-0000D60D0000}"/>
    <cellStyle name="Normal 58 2 2" xfId="2526" xr:uid="{00000000-0005-0000-0000-0000D70D0000}"/>
    <cellStyle name="Normal 58 2 2 2" xfId="2527" xr:uid="{00000000-0005-0000-0000-0000D80D0000}"/>
    <cellStyle name="Normal 58 2 3" xfId="2528" xr:uid="{00000000-0005-0000-0000-0000D90D0000}"/>
    <cellStyle name="Normal 58 3" xfId="2529" xr:uid="{00000000-0005-0000-0000-0000DA0D0000}"/>
    <cellStyle name="Normal 58 3 2" xfId="2530" xr:uid="{00000000-0005-0000-0000-0000DB0D0000}"/>
    <cellStyle name="Normal 58 3 2 2" xfId="2531" xr:uid="{00000000-0005-0000-0000-0000DC0D0000}"/>
    <cellStyle name="Normal 58 3 3" xfId="2532" xr:uid="{00000000-0005-0000-0000-0000DD0D0000}"/>
    <cellStyle name="Normal 58 4" xfId="2533" xr:uid="{00000000-0005-0000-0000-0000DE0D0000}"/>
    <cellStyle name="Normal 58 4 2" xfId="2534" xr:uid="{00000000-0005-0000-0000-0000DF0D0000}"/>
    <cellStyle name="Normal 58 4 2 2" xfId="2535" xr:uid="{00000000-0005-0000-0000-0000E00D0000}"/>
    <cellStyle name="Normal 58 4 3" xfId="2536" xr:uid="{00000000-0005-0000-0000-0000E10D0000}"/>
    <cellStyle name="Normal 58 5" xfId="2537" xr:uid="{00000000-0005-0000-0000-0000E20D0000}"/>
    <cellStyle name="Normal 58 5 2" xfId="2538" xr:uid="{00000000-0005-0000-0000-0000E30D0000}"/>
    <cellStyle name="Normal 58 5 2 2" xfId="2539" xr:uid="{00000000-0005-0000-0000-0000E40D0000}"/>
    <cellStyle name="Normal 58 5 3" xfId="2540" xr:uid="{00000000-0005-0000-0000-0000E50D0000}"/>
    <cellStyle name="Normal 58 6" xfId="2541" xr:uid="{00000000-0005-0000-0000-0000E60D0000}"/>
    <cellStyle name="Normal 58 6 2" xfId="2542" xr:uid="{00000000-0005-0000-0000-0000E70D0000}"/>
    <cellStyle name="Normal 58 6 2 2" xfId="2543" xr:uid="{00000000-0005-0000-0000-0000E80D0000}"/>
    <cellStyle name="Normal 58 6 3" xfId="2544" xr:uid="{00000000-0005-0000-0000-0000E90D0000}"/>
    <cellStyle name="Normal 58 7" xfId="2545" xr:uid="{00000000-0005-0000-0000-0000EA0D0000}"/>
    <cellStyle name="Normal 58 7 2" xfId="2546" xr:uid="{00000000-0005-0000-0000-0000EB0D0000}"/>
    <cellStyle name="Normal 58 7 2 2" xfId="2547" xr:uid="{00000000-0005-0000-0000-0000EC0D0000}"/>
    <cellStyle name="Normal 58 7 3" xfId="2548" xr:uid="{00000000-0005-0000-0000-0000ED0D0000}"/>
    <cellStyle name="Normal 58 8" xfId="2549" xr:uid="{00000000-0005-0000-0000-0000EE0D0000}"/>
    <cellStyle name="Normal 58 8 2" xfId="2550" xr:uid="{00000000-0005-0000-0000-0000EF0D0000}"/>
    <cellStyle name="Normal 58 9" xfId="2551" xr:uid="{00000000-0005-0000-0000-0000F00D0000}"/>
    <cellStyle name="Normal 58 9 2" xfId="2552" xr:uid="{00000000-0005-0000-0000-0000F10D0000}"/>
    <cellStyle name="Normal 59 10" xfId="2553" xr:uid="{00000000-0005-0000-0000-0000F20D0000}"/>
    <cellStyle name="Normal 59 10 2" xfId="2554" xr:uid="{00000000-0005-0000-0000-0000F30D0000}"/>
    <cellStyle name="Normal 59 11" xfId="2555" xr:uid="{00000000-0005-0000-0000-0000F40D0000}"/>
    <cellStyle name="Normal 59 11 2" xfId="2556" xr:uid="{00000000-0005-0000-0000-0000F50D0000}"/>
    <cellStyle name="Normal 59 12" xfId="2557" xr:uid="{00000000-0005-0000-0000-0000F60D0000}"/>
    <cellStyle name="Normal 59 12 2" xfId="2558" xr:uid="{00000000-0005-0000-0000-0000F70D0000}"/>
    <cellStyle name="Normal 59 13" xfId="2559" xr:uid="{00000000-0005-0000-0000-0000F80D0000}"/>
    <cellStyle name="Normal 59 13 2" xfId="2560" xr:uid="{00000000-0005-0000-0000-0000F90D0000}"/>
    <cellStyle name="Normal 59 14" xfId="2561" xr:uid="{00000000-0005-0000-0000-0000FA0D0000}"/>
    <cellStyle name="Normal 59 14 2" xfId="2562" xr:uid="{00000000-0005-0000-0000-0000FB0D0000}"/>
    <cellStyle name="Normal 59 2" xfId="2563" xr:uid="{00000000-0005-0000-0000-0000FC0D0000}"/>
    <cellStyle name="Normal 59 2 2" xfId="2564" xr:uid="{00000000-0005-0000-0000-0000FD0D0000}"/>
    <cellStyle name="Normal 59 2 2 2" xfId="2565" xr:uid="{00000000-0005-0000-0000-0000FE0D0000}"/>
    <cellStyle name="Normal 59 2 3" xfId="2566" xr:uid="{00000000-0005-0000-0000-0000FF0D0000}"/>
    <cellStyle name="Normal 59 3" xfId="2567" xr:uid="{00000000-0005-0000-0000-0000000E0000}"/>
    <cellStyle name="Normal 59 3 2" xfId="2568" xr:uid="{00000000-0005-0000-0000-0000010E0000}"/>
    <cellStyle name="Normal 59 3 2 2" xfId="2569" xr:uid="{00000000-0005-0000-0000-0000020E0000}"/>
    <cellStyle name="Normal 59 3 3" xfId="2570" xr:uid="{00000000-0005-0000-0000-0000030E0000}"/>
    <cellStyle name="Normal 59 4" xfId="2571" xr:uid="{00000000-0005-0000-0000-0000040E0000}"/>
    <cellStyle name="Normal 59 4 2" xfId="2572" xr:uid="{00000000-0005-0000-0000-0000050E0000}"/>
    <cellStyle name="Normal 59 4 2 2" xfId="2573" xr:uid="{00000000-0005-0000-0000-0000060E0000}"/>
    <cellStyle name="Normal 59 4 3" xfId="2574" xr:uid="{00000000-0005-0000-0000-0000070E0000}"/>
    <cellStyle name="Normal 59 5" xfId="2575" xr:uid="{00000000-0005-0000-0000-0000080E0000}"/>
    <cellStyle name="Normal 59 5 2" xfId="2576" xr:uid="{00000000-0005-0000-0000-0000090E0000}"/>
    <cellStyle name="Normal 59 5 2 2" xfId="2577" xr:uid="{00000000-0005-0000-0000-00000A0E0000}"/>
    <cellStyle name="Normal 59 5 3" xfId="2578" xr:uid="{00000000-0005-0000-0000-00000B0E0000}"/>
    <cellStyle name="Normal 59 6" xfId="2579" xr:uid="{00000000-0005-0000-0000-00000C0E0000}"/>
    <cellStyle name="Normal 59 6 2" xfId="2580" xr:uid="{00000000-0005-0000-0000-00000D0E0000}"/>
    <cellStyle name="Normal 59 6 2 2" xfId="2581" xr:uid="{00000000-0005-0000-0000-00000E0E0000}"/>
    <cellStyle name="Normal 59 6 3" xfId="2582" xr:uid="{00000000-0005-0000-0000-00000F0E0000}"/>
    <cellStyle name="Normal 59 7" xfId="2583" xr:uid="{00000000-0005-0000-0000-0000100E0000}"/>
    <cellStyle name="Normal 59 7 2" xfId="2584" xr:uid="{00000000-0005-0000-0000-0000110E0000}"/>
    <cellStyle name="Normal 59 7 2 2" xfId="2585" xr:uid="{00000000-0005-0000-0000-0000120E0000}"/>
    <cellStyle name="Normal 59 7 3" xfId="2586" xr:uid="{00000000-0005-0000-0000-0000130E0000}"/>
    <cellStyle name="Normal 59 8" xfId="2587" xr:uid="{00000000-0005-0000-0000-0000140E0000}"/>
    <cellStyle name="Normal 59 8 2" xfId="2588" xr:uid="{00000000-0005-0000-0000-0000150E0000}"/>
    <cellStyle name="Normal 59 9" xfId="2589" xr:uid="{00000000-0005-0000-0000-0000160E0000}"/>
    <cellStyle name="Normal 59 9 2" xfId="2590" xr:uid="{00000000-0005-0000-0000-0000170E0000}"/>
    <cellStyle name="Normal 6" xfId="2591" xr:uid="{00000000-0005-0000-0000-0000180E0000}"/>
    <cellStyle name="Normal 6 2" xfId="2592" xr:uid="{00000000-0005-0000-0000-0000190E0000}"/>
    <cellStyle name="Normal 6 2 2" xfId="2593" xr:uid="{00000000-0005-0000-0000-00001A0E0000}"/>
    <cellStyle name="Normal 6 2 2 2" xfId="2594" xr:uid="{00000000-0005-0000-0000-00001B0E0000}"/>
    <cellStyle name="Normal 6 2 2 2 2" xfId="4286" xr:uid="{00000000-0005-0000-0000-00001C0E0000}"/>
    <cellStyle name="Normal 6 2 2 2 2 2" xfId="4861" xr:uid="{00000000-0005-0000-0000-00001D0E0000}"/>
    <cellStyle name="Normal 6 2 2 2 3" xfId="4730" xr:uid="{00000000-0005-0000-0000-00001E0E0000}"/>
    <cellStyle name="Normal 6 2 2 3" xfId="4285" xr:uid="{00000000-0005-0000-0000-00001F0E0000}"/>
    <cellStyle name="Normal 6 2 2 3 2" xfId="4938" xr:uid="{00000000-0005-0000-0000-0000200E0000}"/>
    <cellStyle name="Normal 6 2 2 4" xfId="4729" xr:uid="{00000000-0005-0000-0000-0000210E0000}"/>
    <cellStyle name="Normal 6 2 3" xfId="2595" xr:uid="{00000000-0005-0000-0000-0000220E0000}"/>
    <cellStyle name="Normal 6 2 3 2" xfId="4287" xr:uid="{00000000-0005-0000-0000-0000230E0000}"/>
    <cellStyle name="Normal 6 2 3 2 2" xfId="4899" xr:uid="{00000000-0005-0000-0000-0000240E0000}"/>
    <cellStyle name="Normal 6 2 3 3" xfId="4731" xr:uid="{00000000-0005-0000-0000-0000250E0000}"/>
    <cellStyle name="Normal 6 2 4" xfId="4284" xr:uid="{00000000-0005-0000-0000-0000260E0000}"/>
    <cellStyle name="Normal 6 2 4 2" xfId="4974" xr:uid="{00000000-0005-0000-0000-0000270E0000}"/>
    <cellStyle name="Normal 6 2 5" xfId="4728" xr:uid="{00000000-0005-0000-0000-0000280E0000}"/>
    <cellStyle name="Normal 6 3" xfId="2596" xr:uid="{00000000-0005-0000-0000-0000290E0000}"/>
    <cellStyle name="Normal 6 3 2" xfId="2597" xr:uid="{00000000-0005-0000-0000-00002A0E0000}"/>
    <cellStyle name="Normal 6 3 2 2" xfId="4289" xr:uid="{00000000-0005-0000-0000-00002B0E0000}"/>
    <cellStyle name="Normal 6 3 2 2 2" xfId="4874" xr:uid="{00000000-0005-0000-0000-00002C0E0000}"/>
    <cellStyle name="Normal 6 3 2 3" xfId="4733" xr:uid="{00000000-0005-0000-0000-00002D0E0000}"/>
    <cellStyle name="Normal 6 3 3" xfId="4288" xr:uid="{00000000-0005-0000-0000-00002E0E0000}"/>
    <cellStyle name="Normal 6 3 3 2" xfId="4951" xr:uid="{00000000-0005-0000-0000-00002F0E0000}"/>
    <cellStyle name="Normal 6 3 4" xfId="4732" xr:uid="{00000000-0005-0000-0000-0000300E0000}"/>
    <cellStyle name="Normal 6 4" xfId="2598" xr:uid="{00000000-0005-0000-0000-0000310E0000}"/>
    <cellStyle name="Normal 6 4 2" xfId="4290" xr:uid="{00000000-0005-0000-0000-0000320E0000}"/>
    <cellStyle name="Normal 6 4 2 2" xfId="4911" xr:uid="{00000000-0005-0000-0000-0000330E0000}"/>
    <cellStyle name="Normal 6 4 3" xfId="4734" xr:uid="{00000000-0005-0000-0000-0000340E0000}"/>
    <cellStyle name="Normal 6 5" xfId="2599" xr:uid="{00000000-0005-0000-0000-0000350E0000}"/>
    <cellStyle name="Normal 6 5 2" xfId="4291" xr:uid="{00000000-0005-0000-0000-0000360E0000}"/>
    <cellStyle name="Normal 6 5 2 2" xfId="5172" xr:uid="{00000000-0005-0000-0000-0000370E0000}"/>
    <cellStyle name="Normal 6 5 3" xfId="4735" xr:uid="{00000000-0005-0000-0000-0000380E0000}"/>
    <cellStyle name="Normal 6 6" xfId="2600" xr:uid="{00000000-0005-0000-0000-0000390E0000}"/>
    <cellStyle name="Normal 6 7" xfId="2601" xr:uid="{00000000-0005-0000-0000-00003A0E0000}"/>
    <cellStyle name="Normal 60 10" xfId="2602" xr:uid="{00000000-0005-0000-0000-00003B0E0000}"/>
    <cellStyle name="Normal 60 10 2" xfId="2603" xr:uid="{00000000-0005-0000-0000-00003C0E0000}"/>
    <cellStyle name="Normal 60 11" xfId="2604" xr:uid="{00000000-0005-0000-0000-00003D0E0000}"/>
    <cellStyle name="Normal 60 11 2" xfId="2605" xr:uid="{00000000-0005-0000-0000-00003E0E0000}"/>
    <cellStyle name="Normal 60 12" xfId="2606" xr:uid="{00000000-0005-0000-0000-00003F0E0000}"/>
    <cellStyle name="Normal 60 12 2" xfId="2607" xr:uid="{00000000-0005-0000-0000-0000400E0000}"/>
    <cellStyle name="Normal 60 13" xfId="2608" xr:uid="{00000000-0005-0000-0000-0000410E0000}"/>
    <cellStyle name="Normal 60 13 2" xfId="2609" xr:uid="{00000000-0005-0000-0000-0000420E0000}"/>
    <cellStyle name="Normal 60 14" xfId="2610" xr:uid="{00000000-0005-0000-0000-0000430E0000}"/>
    <cellStyle name="Normal 60 14 2" xfId="2611" xr:uid="{00000000-0005-0000-0000-0000440E0000}"/>
    <cellStyle name="Normal 60 2" xfId="2612" xr:uid="{00000000-0005-0000-0000-0000450E0000}"/>
    <cellStyle name="Normal 60 2 2" xfId="2613" xr:uid="{00000000-0005-0000-0000-0000460E0000}"/>
    <cellStyle name="Normal 60 2 2 2" xfId="2614" xr:uid="{00000000-0005-0000-0000-0000470E0000}"/>
    <cellStyle name="Normal 60 2 3" xfId="2615" xr:uid="{00000000-0005-0000-0000-0000480E0000}"/>
    <cellStyle name="Normal 60 3" xfId="2616" xr:uid="{00000000-0005-0000-0000-0000490E0000}"/>
    <cellStyle name="Normal 60 3 2" xfId="2617" xr:uid="{00000000-0005-0000-0000-00004A0E0000}"/>
    <cellStyle name="Normal 60 3 2 2" xfId="2618" xr:uid="{00000000-0005-0000-0000-00004B0E0000}"/>
    <cellStyle name="Normal 60 3 3" xfId="2619" xr:uid="{00000000-0005-0000-0000-00004C0E0000}"/>
    <cellStyle name="Normal 60 4" xfId="2620" xr:uid="{00000000-0005-0000-0000-00004D0E0000}"/>
    <cellStyle name="Normal 60 4 2" xfId="2621" xr:uid="{00000000-0005-0000-0000-00004E0E0000}"/>
    <cellStyle name="Normal 60 4 2 2" xfId="2622" xr:uid="{00000000-0005-0000-0000-00004F0E0000}"/>
    <cellStyle name="Normal 60 4 3" xfId="2623" xr:uid="{00000000-0005-0000-0000-0000500E0000}"/>
    <cellStyle name="Normal 60 5" xfId="2624" xr:uid="{00000000-0005-0000-0000-0000510E0000}"/>
    <cellStyle name="Normal 60 5 2" xfId="2625" xr:uid="{00000000-0005-0000-0000-0000520E0000}"/>
    <cellStyle name="Normal 60 5 2 2" xfId="2626" xr:uid="{00000000-0005-0000-0000-0000530E0000}"/>
    <cellStyle name="Normal 60 5 3" xfId="2627" xr:uid="{00000000-0005-0000-0000-0000540E0000}"/>
    <cellStyle name="Normal 60 6" xfId="2628" xr:uid="{00000000-0005-0000-0000-0000550E0000}"/>
    <cellStyle name="Normal 60 6 2" xfId="2629" xr:uid="{00000000-0005-0000-0000-0000560E0000}"/>
    <cellStyle name="Normal 60 6 2 2" xfId="2630" xr:uid="{00000000-0005-0000-0000-0000570E0000}"/>
    <cellStyle name="Normal 60 6 3" xfId="2631" xr:uid="{00000000-0005-0000-0000-0000580E0000}"/>
    <cellStyle name="Normal 60 7" xfId="2632" xr:uid="{00000000-0005-0000-0000-0000590E0000}"/>
    <cellStyle name="Normal 60 7 2" xfId="2633" xr:uid="{00000000-0005-0000-0000-00005A0E0000}"/>
    <cellStyle name="Normal 60 7 2 2" xfId="2634" xr:uid="{00000000-0005-0000-0000-00005B0E0000}"/>
    <cellStyle name="Normal 60 7 3" xfId="2635" xr:uid="{00000000-0005-0000-0000-00005C0E0000}"/>
    <cellStyle name="Normal 60 8" xfId="2636" xr:uid="{00000000-0005-0000-0000-00005D0E0000}"/>
    <cellStyle name="Normal 60 8 2" xfId="2637" xr:uid="{00000000-0005-0000-0000-00005E0E0000}"/>
    <cellStyle name="Normal 60 9" xfId="2638" xr:uid="{00000000-0005-0000-0000-00005F0E0000}"/>
    <cellStyle name="Normal 60 9 2" xfId="2639" xr:uid="{00000000-0005-0000-0000-0000600E0000}"/>
    <cellStyle name="Normal 61 10" xfId="2640" xr:uid="{00000000-0005-0000-0000-0000610E0000}"/>
    <cellStyle name="Normal 61 10 2" xfId="2641" xr:uid="{00000000-0005-0000-0000-0000620E0000}"/>
    <cellStyle name="Normal 61 11" xfId="2642" xr:uid="{00000000-0005-0000-0000-0000630E0000}"/>
    <cellStyle name="Normal 61 11 2" xfId="2643" xr:uid="{00000000-0005-0000-0000-0000640E0000}"/>
    <cellStyle name="Normal 61 12" xfId="2644" xr:uid="{00000000-0005-0000-0000-0000650E0000}"/>
    <cellStyle name="Normal 61 12 2" xfId="2645" xr:uid="{00000000-0005-0000-0000-0000660E0000}"/>
    <cellStyle name="Normal 61 13" xfId="2646" xr:uid="{00000000-0005-0000-0000-0000670E0000}"/>
    <cellStyle name="Normal 61 13 2" xfId="2647" xr:uid="{00000000-0005-0000-0000-0000680E0000}"/>
    <cellStyle name="Normal 61 14" xfId="2648" xr:uid="{00000000-0005-0000-0000-0000690E0000}"/>
    <cellStyle name="Normal 61 14 2" xfId="2649" xr:uid="{00000000-0005-0000-0000-00006A0E0000}"/>
    <cellStyle name="Normal 61 2" xfId="2650" xr:uid="{00000000-0005-0000-0000-00006B0E0000}"/>
    <cellStyle name="Normal 61 2 2" xfId="2651" xr:uid="{00000000-0005-0000-0000-00006C0E0000}"/>
    <cellStyle name="Normal 61 2 2 2" xfId="2652" xr:uid="{00000000-0005-0000-0000-00006D0E0000}"/>
    <cellStyle name="Normal 61 2 3" xfId="2653" xr:uid="{00000000-0005-0000-0000-00006E0E0000}"/>
    <cellStyle name="Normal 61 3" xfId="2654" xr:uid="{00000000-0005-0000-0000-00006F0E0000}"/>
    <cellStyle name="Normal 61 3 2" xfId="2655" xr:uid="{00000000-0005-0000-0000-0000700E0000}"/>
    <cellStyle name="Normal 61 3 2 2" xfId="2656" xr:uid="{00000000-0005-0000-0000-0000710E0000}"/>
    <cellStyle name="Normal 61 3 3" xfId="2657" xr:uid="{00000000-0005-0000-0000-0000720E0000}"/>
    <cellStyle name="Normal 61 4" xfId="2658" xr:uid="{00000000-0005-0000-0000-0000730E0000}"/>
    <cellStyle name="Normal 61 4 2" xfId="2659" xr:uid="{00000000-0005-0000-0000-0000740E0000}"/>
    <cellStyle name="Normal 61 4 2 2" xfId="2660" xr:uid="{00000000-0005-0000-0000-0000750E0000}"/>
    <cellStyle name="Normal 61 4 3" xfId="2661" xr:uid="{00000000-0005-0000-0000-0000760E0000}"/>
    <cellStyle name="Normal 61 5" xfId="2662" xr:uid="{00000000-0005-0000-0000-0000770E0000}"/>
    <cellStyle name="Normal 61 5 2" xfId="2663" xr:uid="{00000000-0005-0000-0000-0000780E0000}"/>
    <cellStyle name="Normal 61 5 2 2" xfId="2664" xr:uid="{00000000-0005-0000-0000-0000790E0000}"/>
    <cellStyle name="Normal 61 5 3" xfId="2665" xr:uid="{00000000-0005-0000-0000-00007A0E0000}"/>
    <cellStyle name="Normal 61 6" xfId="2666" xr:uid="{00000000-0005-0000-0000-00007B0E0000}"/>
    <cellStyle name="Normal 61 6 2" xfId="2667" xr:uid="{00000000-0005-0000-0000-00007C0E0000}"/>
    <cellStyle name="Normal 61 6 2 2" xfId="2668" xr:uid="{00000000-0005-0000-0000-00007D0E0000}"/>
    <cellStyle name="Normal 61 6 3" xfId="2669" xr:uid="{00000000-0005-0000-0000-00007E0E0000}"/>
    <cellStyle name="Normal 61 7" xfId="2670" xr:uid="{00000000-0005-0000-0000-00007F0E0000}"/>
    <cellStyle name="Normal 61 7 2" xfId="2671" xr:uid="{00000000-0005-0000-0000-0000800E0000}"/>
    <cellStyle name="Normal 61 7 2 2" xfId="2672" xr:uid="{00000000-0005-0000-0000-0000810E0000}"/>
    <cellStyle name="Normal 61 7 3" xfId="2673" xr:uid="{00000000-0005-0000-0000-0000820E0000}"/>
    <cellStyle name="Normal 61 8" xfId="2674" xr:uid="{00000000-0005-0000-0000-0000830E0000}"/>
    <cellStyle name="Normal 61 8 2" xfId="2675" xr:uid="{00000000-0005-0000-0000-0000840E0000}"/>
    <cellStyle name="Normal 61 9" xfId="2676" xr:uid="{00000000-0005-0000-0000-0000850E0000}"/>
    <cellStyle name="Normal 61 9 2" xfId="2677" xr:uid="{00000000-0005-0000-0000-0000860E0000}"/>
    <cellStyle name="Normal 62 10" xfId="2678" xr:uid="{00000000-0005-0000-0000-0000870E0000}"/>
    <cellStyle name="Normal 62 10 2" xfId="2679" xr:uid="{00000000-0005-0000-0000-0000880E0000}"/>
    <cellStyle name="Normal 62 11" xfId="2680" xr:uid="{00000000-0005-0000-0000-0000890E0000}"/>
    <cellStyle name="Normal 62 11 2" xfId="2681" xr:uid="{00000000-0005-0000-0000-00008A0E0000}"/>
    <cellStyle name="Normal 62 12" xfId="2682" xr:uid="{00000000-0005-0000-0000-00008B0E0000}"/>
    <cellStyle name="Normal 62 12 2" xfId="2683" xr:uid="{00000000-0005-0000-0000-00008C0E0000}"/>
    <cellStyle name="Normal 62 13" xfId="2684" xr:uid="{00000000-0005-0000-0000-00008D0E0000}"/>
    <cellStyle name="Normal 62 13 2" xfId="2685" xr:uid="{00000000-0005-0000-0000-00008E0E0000}"/>
    <cellStyle name="Normal 62 14" xfId="2686" xr:uid="{00000000-0005-0000-0000-00008F0E0000}"/>
    <cellStyle name="Normal 62 14 2" xfId="2687" xr:uid="{00000000-0005-0000-0000-0000900E0000}"/>
    <cellStyle name="Normal 62 2" xfId="2688" xr:uid="{00000000-0005-0000-0000-0000910E0000}"/>
    <cellStyle name="Normal 62 2 2" xfId="2689" xr:uid="{00000000-0005-0000-0000-0000920E0000}"/>
    <cellStyle name="Normal 62 2 2 2" xfId="2690" xr:uid="{00000000-0005-0000-0000-0000930E0000}"/>
    <cellStyle name="Normal 62 2 3" xfId="2691" xr:uid="{00000000-0005-0000-0000-0000940E0000}"/>
    <cellStyle name="Normal 62 3" xfId="2692" xr:uid="{00000000-0005-0000-0000-0000950E0000}"/>
    <cellStyle name="Normal 62 3 2" xfId="2693" xr:uid="{00000000-0005-0000-0000-0000960E0000}"/>
    <cellStyle name="Normal 62 3 2 2" xfId="2694" xr:uid="{00000000-0005-0000-0000-0000970E0000}"/>
    <cellStyle name="Normal 62 3 3" xfId="2695" xr:uid="{00000000-0005-0000-0000-0000980E0000}"/>
    <cellStyle name="Normal 62 4" xfId="2696" xr:uid="{00000000-0005-0000-0000-0000990E0000}"/>
    <cellStyle name="Normal 62 4 2" xfId="2697" xr:uid="{00000000-0005-0000-0000-00009A0E0000}"/>
    <cellStyle name="Normal 62 4 2 2" xfId="2698" xr:uid="{00000000-0005-0000-0000-00009B0E0000}"/>
    <cellStyle name="Normal 62 4 3" xfId="2699" xr:uid="{00000000-0005-0000-0000-00009C0E0000}"/>
    <cellStyle name="Normal 62 5" xfId="2700" xr:uid="{00000000-0005-0000-0000-00009D0E0000}"/>
    <cellStyle name="Normal 62 5 2" xfId="2701" xr:uid="{00000000-0005-0000-0000-00009E0E0000}"/>
    <cellStyle name="Normal 62 5 2 2" xfId="2702" xr:uid="{00000000-0005-0000-0000-00009F0E0000}"/>
    <cellStyle name="Normal 62 5 3" xfId="2703" xr:uid="{00000000-0005-0000-0000-0000A00E0000}"/>
    <cellStyle name="Normal 62 6" xfId="2704" xr:uid="{00000000-0005-0000-0000-0000A10E0000}"/>
    <cellStyle name="Normal 62 6 2" xfId="2705" xr:uid="{00000000-0005-0000-0000-0000A20E0000}"/>
    <cellStyle name="Normal 62 6 2 2" xfId="2706" xr:uid="{00000000-0005-0000-0000-0000A30E0000}"/>
    <cellStyle name="Normal 62 6 3" xfId="2707" xr:uid="{00000000-0005-0000-0000-0000A40E0000}"/>
    <cellStyle name="Normal 62 7" xfId="2708" xr:uid="{00000000-0005-0000-0000-0000A50E0000}"/>
    <cellStyle name="Normal 62 7 2" xfId="2709" xr:uid="{00000000-0005-0000-0000-0000A60E0000}"/>
    <cellStyle name="Normal 62 7 2 2" xfId="2710" xr:uid="{00000000-0005-0000-0000-0000A70E0000}"/>
    <cellStyle name="Normal 62 7 3" xfId="2711" xr:uid="{00000000-0005-0000-0000-0000A80E0000}"/>
    <cellStyle name="Normal 62 8" xfId="2712" xr:uid="{00000000-0005-0000-0000-0000A90E0000}"/>
    <cellStyle name="Normal 62 8 2" xfId="2713" xr:uid="{00000000-0005-0000-0000-0000AA0E0000}"/>
    <cellStyle name="Normal 62 9" xfId="2714" xr:uid="{00000000-0005-0000-0000-0000AB0E0000}"/>
    <cellStyle name="Normal 62 9 2" xfId="2715" xr:uid="{00000000-0005-0000-0000-0000AC0E0000}"/>
    <cellStyle name="Normal 63 10" xfId="2716" xr:uid="{00000000-0005-0000-0000-0000AD0E0000}"/>
    <cellStyle name="Normal 63 10 2" xfId="2717" xr:uid="{00000000-0005-0000-0000-0000AE0E0000}"/>
    <cellStyle name="Normal 63 11" xfId="2718" xr:uid="{00000000-0005-0000-0000-0000AF0E0000}"/>
    <cellStyle name="Normal 63 11 2" xfId="2719" xr:uid="{00000000-0005-0000-0000-0000B00E0000}"/>
    <cellStyle name="Normal 63 12" xfId="2720" xr:uid="{00000000-0005-0000-0000-0000B10E0000}"/>
    <cellStyle name="Normal 63 12 2" xfId="2721" xr:uid="{00000000-0005-0000-0000-0000B20E0000}"/>
    <cellStyle name="Normal 63 13" xfId="2722" xr:uid="{00000000-0005-0000-0000-0000B30E0000}"/>
    <cellStyle name="Normal 63 13 2" xfId="2723" xr:uid="{00000000-0005-0000-0000-0000B40E0000}"/>
    <cellStyle name="Normal 63 14" xfId="2724" xr:uid="{00000000-0005-0000-0000-0000B50E0000}"/>
    <cellStyle name="Normal 63 14 2" xfId="2725" xr:uid="{00000000-0005-0000-0000-0000B60E0000}"/>
    <cellStyle name="Normal 63 2" xfId="2726" xr:uid="{00000000-0005-0000-0000-0000B70E0000}"/>
    <cellStyle name="Normal 63 2 2" xfId="2727" xr:uid="{00000000-0005-0000-0000-0000B80E0000}"/>
    <cellStyle name="Normal 63 2 2 2" xfId="2728" xr:uid="{00000000-0005-0000-0000-0000B90E0000}"/>
    <cellStyle name="Normal 63 2 3" xfId="2729" xr:uid="{00000000-0005-0000-0000-0000BA0E0000}"/>
    <cellStyle name="Normal 63 3" xfId="2730" xr:uid="{00000000-0005-0000-0000-0000BB0E0000}"/>
    <cellStyle name="Normal 63 3 2" xfId="2731" xr:uid="{00000000-0005-0000-0000-0000BC0E0000}"/>
    <cellStyle name="Normal 63 3 2 2" xfId="2732" xr:uid="{00000000-0005-0000-0000-0000BD0E0000}"/>
    <cellStyle name="Normal 63 3 3" xfId="2733" xr:uid="{00000000-0005-0000-0000-0000BE0E0000}"/>
    <cellStyle name="Normal 63 4" xfId="2734" xr:uid="{00000000-0005-0000-0000-0000BF0E0000}"/>
    <cellStyle name="Normal 63 4 2" xfId="2735" xr:uid="{00000000-0005-0000-0000-0000C00E0000}"/>
    <cellStyle name="Normal 63 4 2 2" xfId="2736" xr:uid="{00000000-0005-0000-0000-0000C10E0000}"/>
    <cellStyle name="Normal 63 4 3" xfId="2737" xr:uid="{00000000-0005-0000-0000-0000C20E0000}"/>
    <cellStyle name="Normal 63 5" xfId="2738" xr:uid="{00000000-0005-0000-0000-0000C30E0000}"/>
    <cellStyle name="Normal 63 5 2" xfId="2739" xr:uid="{00000000-0005-0000-0000-0000C40E0000}"/>
    <cellStyle name="Normal 63 5 2 2" xfId="2740" xr:uid="{00000000-0005-0000-0000-0000C50E0000}"/>
    <cellStyle name="Normal 63 5 3" xfId="2741" xr:uid="{00000000-0005-0000-0000-0000C60E0000}"/>
    <cellStyle name="Normal 63 6" xfId="2742" xr:uid="{00000000-0005-0000-0000-0000C70E0000}"/>
    <cellStyle name="Normal 63 6 2" xfId="2743" xr:uid="{00000000-0005-0000-0000-0000C80E0000}"/>
    <cellStyle name="Normal 63 6 2 2" xfId="2744" xr:uid="{00000000-0005-0000-0000-0000C90E0000}"/>
    <cellStyle name="Normal 63 6 3" xfId="2745" xr:uid="{00000000-0005-0000-0000-0000CA0E0000}"/>
    <cellStyle name="Normal 63 7" xfId="2746" xr:uid="{00000000-0005-0000-0000-0000CB0E0000}"/>
    <cellStyle name="Normal 63 7 2" xfId="2747" xr:uid="{00000000-0005-0000-0000-0000CC0E0000}"/>
    <cellStyle name="Normal 63 7 2 2" xfId="2748" xr:uid="{00000000-0005-0000-0000-0000CD0E0000}"/>
    <cellStyle name="Normal 63 7 3" xfId="2749" xr:uid="{00000000-0005-0000-0000-0000CE0E0000}"/>
    <cellStyle name="Normal 63 8" xfId="2750" xr:uid="{00000000-0005-0000-0000-0000CF0E0000}"/>
    <cellStyle name="Normal 63 8 2" xfId="2751" xr:uid="{00000000-0005-0000-0000-0000D00E0000}"/>
    <cellStyle name="Normal 63 9" xfId="2752" xr:uid="{00000000-0005-0000-0000-0000D10E0000}"/>
    <cellStyle name="Normal 63 9 2" xfId="2753" xr:uid="{00000000-0005-0000-0000-0000D20E0000}"/>
    <cellStyle name="Normal 64 10" xfId="2754" xr:uid="{00000000-0005-0000-0000-0000D30E0000}"/>
    <cellStyle name="Normal 64 10 2" xfId="2755" xr:uid="{00000000-0005-0000-0000-0000D40E0000}"/>
    <cellStyle name="Normal 64 11" xfId="2756" xr:uid="{00000000-0005-0000-0000-0000D50E0000}"/>
    <cellStyle name="Normal 64 11 2" xfId="2757" xr:uid="{00000000-0005-0000-0000-0000D60E0000}"/>
    <cellStyle name="Normal 64 12" xfId="2758" xr:uid="{00000000-0005-0000-0000-0000D70E0000}"/>
    <cellStyle name="Normal 64 12 2" xfId="2759" xr:uid="{00000000-0005-0000-0000-0000D80E0000}"/>
    <cellStyle name="Normal 64 13" xfId="2760" xr:uid="{00000000-0005-0000-0000-0000D90E0000}"/>
    <cellStyle name="Normal 64 13 2" xfId="2761" xr:uid="{00000000-0005-0000-0000-0000DA0E0000}"/>
    <cellStyle name="Normal 64 14" xfId="2762" xr:uid="{00000000-0005-0000-0000-0000DB0E0000}"/>
    <cellStyle name="Normal 64 14 2" xfId="2763" xr:uid="{00000000-0005-0000-0000-0000DC0E0000}"/>
    <cellStyle name="Normal 64 2" xfId="2764" xr:uid="{00000000-0005-0000-0000-0000DD0E0000}"/>
    <cellStyle name="Normal 64 2 2" xfId="2765" xr:uid="{00000000-0005-0000-0000-0000DE0E0000}"/>
    <cellStyle name="Normal 64 2 2 2" xfId="2766" xr:uid="{00000000-0005-0000-0000-0000DF0E0000}"/>
    <cellStyle name="Normal 64 2 3" xfId="2767" xr:uid="{00000000-0005-0000-0000-0000E00E0000}"/>
    <cellStyle name="Normal 64 3" xfId="2768" xr:uid="{00000000-0005-0000-0000-0000E10E0000}"/>
    <cellStyle name="Normal 64 3 2" xfId="2769" xr:uid="{00000000-0005-0000-0000-0000E20E0000}"/>
    <cellStyle name="Normal 64 3 2 2" xfId="2770" xr:uid="{00000000-0005-0000-0000-0000E30E0000}"/>
    <cellStyle name="Normal 64 3 3" xfId="2771" xr:uid="{00000000-0005-0000-0000-0000E40E0000}"/>
    <cellStyle name="Normal 64 4" xfId="2772" xr:uid="{00000000-0005-0000-0000-0000E50E0000}"/>
    <cellStyle name="Normal 64 4 2" xfId="2773" xr:uid="{00000000-0005-0000-0000-0000E60E0000}"/>
    <cellStyle name="Normal 64 4 2 2" xfId="2774" xr:uid="{00000000-0005-0000-0000-0000E70E0000}"/>
    <cellStyle name="Normal 64 4 3" xfId="2775" xr:uid="{00000000-0005-0000-0000-0000E80E0000}"/>
    <cellStyle name="Normal 64 5" xfId="2776" xr:uid="{00000000-0005-0000-0000-0000E90E0000}"/>
    <cellStyle name="Normal 64 5 2" xfId="2777" xr:uid="{00000000-0005-0000-0000-0000EA0E0000}"/>
    <cellStyle name="Normal 64 5 2 2" xfId="2778" xr:uid="{00000000-0005-0000-0000-0000EB0E0000}"/>
    <cellStyle name="Normal 64 5 3" xfId="2779" xr:uid="{00000000-0005-0000-0000-0000EC0E0000}"/>
    <cellStyle name="Normal 64 6" xfId="2780" xr:uid="{00000000-0005-0000-0000-0000ED0E0000}"/>
    <cellStyle name="Normal 64 6 2" xfId="2781" xr:uid="{00000000-0005-0000-0000-0000EE0E0000}"/>
    <cellStyle name="Normal 64 6 2 2" xfId="2782" xr:uid="{00000000-0005-0000-0000-0000EF0E0000}"/>
    <cellStyle name="Normal 64 6 3" xfId="2783" xr:uid="{00000000-0005-0000-0000-0000F00E0000}"/>
    <cellStyle name="Normal 64 7" xfId="2784" xr:uid="{00000000-0005-0000-0000-0000F10E0000}"/>
    <cellStyle name="Normal 64 7 2" xfId="2785" xr:uid="{00000000-0005-0000-0000-0000F20E0000}"/>
    <cellStyle name="Normal 64 7 2 2" xfId="2786" xr:uid="{00000000-0005-0000-0000-0000F30E0000}"/>
    <cellStyle name="Normal 64 7 3" xfId="2787" xr:uid="{00000000-0005-0000-0000-0000F40E0000}"/>
    <cellStyle name="Normal 64 8" xfId="2788" xr:uid="{00000000-0005-0000-0000-0000F50E0000}"/>
    <cellStyle name="Normal 64 8 2" xfId="2789" xr:uid="{00000000-0005-0000-0000-0000F60E0000}"/>
    <cellStyle name="Normal 64 9" xfId="2790" xr:uid="{00000000-0005-0000-0000-0000F70E0000}"/>
    <cellStyle name="Normal 64 9 2" xfId="2791" xr:uid="{00000000-0005-0000-0000-0000F80E0000}"/>
    <cellStyle name="Normal 65 10" xfId="2792" xr:uid="{00000000-0005-0000-0000-0000F90E0000}"/>
    <cellStyle name="Normal 65 10 2" xfId="2793" xr:uid="{00000000-0005-0000-0000-0000FA0E0000}"/>
    <cellStyle name="Normal 65 11" xfId="2794" xr:uid="{00000000-0005-0000-0000-0000FB0E0000}"/>
    <cellStyle name="Normal 65 11 2" xfId="2795" xr:uid="{00000000-0005-0000-0000-0000FC0E0000}"/>
    <cellStyle name="Normal 65 12" xfId="2796" xr:uid="{00000000-0005-0000-0000-0000FD0E0000}"/>
    <cellStyle name="Normal 65 12 2" xfId="2797" xr:uid="{00000000-0005-0000-0000-0000FE0E0000}"/>
    <cellStyle name="Normal 65 13" xfId="2798" xr:uid="{00000000-0005-0000-0000-0000FF0E0000}"/>
    <cellStyle name="Normal 65 13 2" xfId="2799" xr:uid="{00000000-0005-0000-0000-0000000F0000}"/>
    <cellStyle name="Normal 65 14" xfId="2800" xr:uid="{00000000-0005-0000-0000-0000010F0000}"/>
    <cellStyle name="Normal 65 14 2" xfId="2801" xr:uid="{00000000-0005-0000-0000-0000020F0000}"/>
    <cellStyle name="Normal 65 2" xfId="2802" xr:uid="{00000000-0005-0000-0000-0000030F0000}"/>
    <cellStyle name="Normal 65 2 2" xfId="2803" xr:uid="{00000000-0005-0000-0000-0000040F0000}"/>
    <cellStyle name="Normal 65 2 2 2" xfId="2804" xr:uid="{00000000-0005-0000-0000-0000050F0000}"/>
    <cellStyle name="Normal 65 2 3" xfId="2805" xr:uid="{00000000-0005-0000-0000-0000060F0000}"/>
    <cellStyle name="Normal 65 3" xfId="2806" xr:uid="{00000000-0005-0000-0000-0000070F0000}"/>
    <cellStyle name="Normal 65 3 2" xfId="2807" xr:uid="{00000000-0005-0000-0000-0000080F0000}"/>
    <cellStyle name="Normal 65 3 2 2" xfId="2808" xr:uid="{00000000-0005-0000-0000-0000090F0000}"/>
    <cellStyle name="Normal 65 3 3" xfId="2809" xr:uid="{00000000-0005-0000-0000-00000A0F0000}"/>
    <cellStyle name="Normal 65 4" xfId="2810" xr:uid="{00000000-0005-0000-0000-00000B0F0000}"/>
    <cellStyle name="Normal 65 4 2" xfId="2811" xr:uid="{00000000-0005-0000-0000-00000C0F0000}"/>
    <cellStyle name="Normal 65 4 2 2" xfId="2812" xr:uid="{00000000-0005-0000-0000-00000D0F0000}"/>
    <cellStyle name="Normal 65 4 3" xfId="2813" xr:uid="{00000000-0005-0000-0000-00000E0F0000}"/>
    <cellStyle name="Normal 65 5" xfId="2814" xr:uid="{00000000-0005-0000-0000-00000F0F0000}"/>
    <cellStyle name="Normal 65 5 2" xfId="2815" xr:uid="{00000000-0005-0000-0000-0000100F0000}"/>
    <cellStyle name="Normal 65 5 2 2" xfId="2816" xr:uid="{00000000-0005-0000-0000-0000110F0000}"/>
    <cellStyle name="Normal 65 5 3" xfId="2817" xr:uid="{00000000-0005-0000-0000-0000120F0000}"/>
    <cellStyle name="Normal 65 6" xfId="2818" xr:uid="{00000000-0005-0000-0000-0000130F0000}"/>
    <cellStyle name="Normal 65 6 2" xfId="2819" xr:uid="{00000000-0005-0000-0000-0000140F0000}"/>
    <cellStyle name="Normal 65 6 2 2" xfId="2820" xr:uid="{00000000-0005-0000-0000-0000150F0000}"/>
    <cellStyle name="Normal 65 6 3" xfId="2821" xr:uid="{00000000-0005-0000-0000-0000160F0000}"/>
    <cellStyle name="Normal 65 7" xfId="2822" xr:uid="{00000000-0005-0000-0000-0000170F0000}"/>
    <cellStyle name="Normal 65 7 2" xfId="2823" xr:uid="{00000000-0005-0000-0000-0000180F0000}"/>
    <cellStyle name="Normal 65 7 2 2" xfId="2824" xr:uid="{00000000-0005-0000-0000-0000190F0000}"/>
    <cellStyle name="Normal 65 7 3" xfId="2825" xr:uid="{00000000-0005-0000-0000-00001A0F0000}"/>
    <cellStyle name="Normal 65 8" xfId="2826" xr:uid="{00000000-0005-0000-0000-00001B0F0000}"/>
    <cellStyle name="Normal 65 8 2" xfId="2827" xr:uid="{00000000-0005-0000-0000-00001C0F0000}"/>
    <cellStyle name="Normal 65 9" xfId="2828" xr:uid="{00000000-0005-0000-0000-00001D0F0000}"/>
    <cellStyle name="Normal 65 9 2" xfId="2829" xr:uid="{00000000-0005-0000-0000-00001E0F0000}"/>
    <cellStyle name="Normal 66 2" xfId="2830" xr:uid="{00000000-0005-0000-0000-00001F0F0000}"/>
    <cellStyle name="Normal 66 2 2" xfId="2831" xr:uid="{00000000-0005-0000-0000-0000200F0000}"/>
    <cellStyle name="Normal 66 2 2 2" xfId="2832" xr:uid="{00000000-0005-0000-0000-0000210F0000}"/>
    <cellStyle name="Normal 66 2 3" xfId="2833" xr:uid="{00000000-0005-0000-0000-0000220F0000}"/>
    <cellStyle name="Normal 66 3" xfId="2834" xr:uid="{00000000-0005-0000-0000-0000230F0000}"/>
    <cellStyle name="Normal 66 3 2" xfId="2835" xr:uid="{00000000-0005-0000-0000-0000240F0000}"/>
    <cellStyle name="Normal 66 3 2 2" xfId="2836" xr:uid="{00000000-0005-0000-0000-0000250F0000}"/>
    <cellStyle name="Normal 66 3 3" xfId="2837" xr:uid="{00000000-0005-0000-0000-0000260F0000}"/>
    <cellStyle name="Normal 66 4" xfId="2838" xr:uid="{00000000-0005-0000-0000-0000270F0000}"/>
    <cellStyle name="Normal 66 4 2" xfId="2839" xr:uid="{00000000-0005-0000-0000-0000280F0000}"/>
    <cellStyle name="Normal 66 4 2 2" xfId="2840" xr:uid="{00000000-0005-0000-0000-0000290F0000}"/>
    <cellStyle name="Normal 66 4 3" xfId="2841" xr:uid="{00000000-0005-0000-0000-00002A0F0000}"/>
    <cellStyle name="Normal 66 5" xfId="2842" xr:uid="{00000000-0005-0000-0000-00002B0F0000}"/>
    <cellStyle name="Normal 66 5 2" xfId="2843" xr:uid="{00000000-0005-0000-0000-00002C0F0000}"/>
    <cellStyle name="Normal 66 5 2 2" xfId="2844" xr:uid="{00000000-0005-0000-0000-00002D0F0000}"/>
    <cellStyle name="Normal 66 5 3" xfId="2845" xr:uid="{00000000-0005-0000-0000-00002E0F0000}"/>
    <cellStyle name="Normal 66 6" xfId="2846" xr:uid="{00000000-0005-0000-0000-00002F0F0000}"/>
    <cellStyle name="Normal 66 6 2" xfId="2847" xr:uid="{00000000-0005-0000-0000-0000300F0000}"/>
    <cellStyle name="Normal 66 6 2 2" xfId="2848" xr:uid="{00000000-0005-0000-0000-0000310F0000}"/>
    <cellStyle name="Normal 66 6 3" xfId="2849" xr:uid="{00000000-0005-0000-0000-0000320F0000}"/>
    <cellStyle name="Normal 66 7" xfId="2850" xr:uid="{00000000-0005-0000-0000-0000330F0000}"/>
    <cellStyle name="Normal 66 7 2" xfId="2851" xr:uid="{00000000-0005-0000-0000-0000340F0000}"/>
    <cellStyle name="Normal 66 7 2 2" xfId="2852" xr:uid="{00000000-0005-0000-0000-0000350F0000}"/>
    <cellStyle name="Normal 66 7 3" xfId="2853" xr:uid="{00000000-0005-0000-0000-0000360F0000}"/>
    <cellStyle name="Normal 67 10" xfId="2854" xr:uid="{00000000-0005-0000-0000-0000370F0000}"/>
    <cellStyle name="Normal 67 10 2" xfId="2855" xr:uid="{00000000-0005-0000-0000-0000380F0000}"/>
    <cellStyle name="Normal 67 11" xfId="2856" xr:uid="{00000000-0005-0000-0000-0000390F0000}"/>
    <cellStyle name="Normal 67 11 2" xfId="2857" xr:uid="{00000000-0005-0000-0000-00003A0F0000}"/>
    <cellStyle name="Normal 67 12" xfId="2858" xr:uid="{00000000-0005-0000-0000-00003B0F0000}"/>
    <cellStyle name="Normal 67 12 2" xfId="2859" xr:uid="{00000000-0005-0000-0000-00003C0F0000}"/>
    <cellStyle name="Normal 67 13" xfId="2860" xr:uid="{00000000-0005-0000-0000-00003D0F0000}"/>
    <cellStyle name="Normal 67 13 2" xfId="2861" xr:uid="{00000000-0005-0000-0000-00003E0F0000}"/>
    <cellStyle name="Normal 67 14" xfId="2862" xr:uid="{00000000-0005-0000-0000-00003F0F0000}"/>
    <cellStyle name="Normal 67 14 2" xfId="2863" xr:uid="{00000000-0005-0000-0000-0000400F0000}"/>
    <cellStyle name="Normal 67 2" xfId="2864" xr:uid="{00000000-0005-0000-0000-0000410F0000}"/>
    <cellStyle name="Normal 67 2 2" xfId="2865" xr:uid="{00000000-0005-0000-0000-0000420F0000}"/>
    <cellStyle name="Normal 67 2 2 2" xfId="2866" xr:uid="{00000000-0005-0000-0000-0000430F0000}"/>
    <cellStyle name="Normal 67 2 3" xfId="2867" xr:uid="{00000000-0005-0000-0000-0000440F0000}"/>
    <cellStyle name="Normal 67 3" xfId="2868" xr:uid="{00000000-0005-0000-0000-0000450F0000}"/>
    <cellStyle name="Normal 67 3 2" xfId="2869" xr:uid="{00000000-0005-0000-0000-0000460F0000}"/>
    <cellStyle name="Normal 67 3 2 2" xfId="2870" xr:uid="{00000000-0005-0000-0000-0000470F0000}"/>
    <cellStyle name="Normal 67 3 3" xfId="2871" xr:uid="{00000000-0005-0000-0000-0000480F0000}"/>
    <cellStyle name="Normal 67 4" xfId="2872" xr:uid="{00000000-0005-0000-0000-0000490F0000}"/>
    <cellStyle name="Normal 67 4 2" xfId="2873" xr:uid="{00000000-0005-0000-0000-00004A0F0000}"/>
    <cellStyle name="Normal 67 4 2 2" xfId="2874" xr:uid="{00000000-0005-0000-0000-00004B0F0000}"/>
    <cellStyle name="Normal 67 4 3" xfId="2875" xr:uid="{00000000-0005-0000-0000-00004C0F0000}"/>
    <cellStyle name="Normal 67 5" xfId="2876" xr:uid="{00000000-0005-0000-0000-00004D0F0000}"/>
    <cellStyle name="Normal 67 5 2" xfId="2877" xr:uid="{00000000-0005-0000-0000-00004E0F0000}"/>
    <cellStyle name="Normal 67 5 2 2" xfId="2878" xr:uid="{00000000-0005-0000-0000-00004F0F0000}"/>
    <cellStyle name="Normal 67 5 3" xfId="2879" xr:uid="{00000000-0005-0000-0000-0000500F0000}"/>
    <cellStyle name="Normal 67 6" xfId="2880" xr:uid="{00000000-0005-0000-0000-0000510F0000}"/>
    <cellStyle name="Normal 67 6 2" xfId="2881" xr:uid="{00000000-0005-0000-0000-0000520F0000}"/>
    <cellStyle name="Normal 67 6 2 2" xfId="2882" xr:uid="{00000000-0005-0000-0000-0000530F0000}"/>
    <cellStyle name="Normal 67 6 3" xfId="2883" xr:uid="{00000000-0005-0000-0000-0000540F0000}"/>
    <cellStyle name="Normal 67 7" xfId="2884" xr:uid="{00000000-0005-0000-0000-0000550F0000}"/>
    <cellStyle name="Normal 67 7 2" xfId="2885" xr:uid="{00000000-0005-0000-0000-0000560F0000}"/>
    <cellStyle name="Normal 67 7 2 2" xfId="2886" xr:uid="{00000000-0005-0000-0000-0000570F0000}"/>
    <cellStyle name="Normal 67 7 3" xfId="2887" xr:uid="{00000000-0005-0000-0000-0000580F0000}"/>
    <cellStyle name="Normal 67 8" xfId="2888" xr:uid="{00000000-0005-0000-0000-0000590F0000}"/>
    <cellStyle name="Normal 67 8 2" xfId="2889" xr:uid="{00000000-0005-0000-0000-00005A0F0000}"/>
    <cellStyle name="Normal 67 9" xfId="2890" xr:uid="{00000000-0005-0000-0000-00005B0F0000}"/>
    <cellStyle name="Normal 67 9 2" xfId="2891" xr:uid="{00000000-0005-0000-0000-00005C0F0000}"/>
    <cellStyle name="Normal 68 10" xfId="2892" xr:uid="{00000000-0005-0000-0000-00005D0F0000}"/>
    <cellStyle name="Normal 68 10 2" xfId="2893" xr:uid="{00000000-0005-0000-0000-00005E0F0000}"/>
    <cellStyle name="Normal 68 11" xfId="2894" xr:uid="{00000000-0005-0000-0000-00005F0F0000}"/>
    <cellStyle name="Normal 68 11 2" xfId="2895" xr:uid="{00000000-0005-0000-0000-0000600F0000}"/>
    <cellStyle name="Normal 68 12" xfId="2896" xr:uid="{00000000-0005-0000-0000-0000610F0000}"/>
    <cellStyle name="Normal 68 12 2" xfId="2897" xr:uid="{00000000-0005-0000-0000-0000620F0000}"/>
    <cellStyle name="Normal 68 13" xfId="2898" xr:uid="{00000000-0005-0000-0000-0000630F0000}"/>
    <cellStyle name="Normal 68 13 2" xfId="2899" xr:uid="{00000000-0005-0000-0000-0000640F0000}"/>
    <cellStyle name="Normal 68 14" xfId="2900" xr:uid="{00000000-0005-0000-0000-0000650F0000}"/>
    <cellStyle name="Normal 68 14 2" xfId="2901" xr:uid="{00000000-0005-0000-0000-0000660F0000}"/>
    <cellStyle name="Normal 68 2" xfId="2902" xr:uid="{00000000-0005-0000-0000-0000670F0000}"/>
    <cellStyle name="Normal 68 2 2" xfId="2903" xr:uid="{00000000-0005-0000-0000-0000680F0000}"/>
    <cellStyle name="Normal 68 2 2 2" xfId="2904" xr:uid="{00000000-0005-0000-0000-0000690F0000}"/>
    <cellStyle name="Normal 68 2 3" xfId="2905" xr:uid="{00000000-0005-0000-0000-00006A0F0000}"/>
    <cellStyle name="Normal 68 3" xfId="2906" xr:uid="{00000000-0005-0000-0000-00006B0F0000}"/>
    <cellStyle name="Normal 68 3 2" xfId="2907" xr:uid="{00000000-0005-0000-0000-00006C0F0000}"/>
    <cellStyle name="Normal 68 3 2 2" xfId="2908" xr:uid="{00000000-0005-0000-0000-00006D0F0000}"/>
    <cellStyle name="Normal 68 3 3" xfId="2909" xr:uid="{00000000-0005-0000-0000-00006E0F0000}"/>
    <cellStyle name="Normal 68 4" xfId="2910" xr:uid="{00000000-0005-0000-0000-00006F0F0000}"/>
    <cellStyle name="Normal 68 4 2" xfId="2911" xr:uid="{00000000-0005-0000-0000-0000700F0000}"/>
    <cellStyle name="Normal 68 4 2 2" xfId="2912" xr:uid="{00000000-0005-0000-0000-0000710F0000}"/>
    <cellStyle name="Normal 68 4 3" xfId="2913" xr:uid="{00000000-0005-0000-0000-0000720F0000}"/>
    <cellStyle name="Normal 68 5" xfId="2914" xr:uid="{00000000-0005-0000-0000-0000730F0000}"/>
    <cellStyle name="Normal 68 5 2" xfId="2915" xr:uid="{00000000-0005-0000-0000-0000740F0000}"/>
    <cellStyle name="Normal 68 5 2 2" xfId="2916" xr:uid="{00000000-0005-0000-0000-0000750F0000}"/>
    <cellStyle name="Normal 68 5 3" xfId="2917" xr:uid="{00000000-0005-0000-0000-0000760F0000}"/>
    <cellStyle name="Normal 68 6" xfId="2918" xr:uid="{00000000-0005-0000-0000-0000770F0000}"/>
    <cellStyle name="Normal 68 6 2" xfId="2919" xr:uid="{00000000-0005-0000-0000-0000780F0000}"/>
    <cellStyle name="Normal 68 6 2 2" xfId="2920" xr:uid="{00000000-0005-0000-0000-0000790F0000}"/>
    <cellStyle name="Normal 68 6 3" xfId="2921" xr:uid="{00000000-0005-0000-0000-00007A0F0000}"/>
    <cellStyle name="Normal 68 7" xfId="2922" xr:uid="{00000000-0005-0000-0000-00007B0F0000}"/>
    <cellStyle name="Normal 68 7 2" xfId="2923" xr:uid="{00000000-0005-0000-0000-00007C0F0000}"/>
    <cellStyle name="Normal 68 7 2 2" xfId="2924" xr:uid="{00000000-0005-0000-0000-00007D0F0000}"/>
    <cellStyle name="Normal 68 7 3" xfId="2925" xr:uid="{00000000-0005-0000-0000-00007E0F0000}"/>
    <cellStyle name="Normal 68 8" xfId="2926" xr:uid="{00000000-0005-0000-0000-00007F0F0000}"/>
    <cellStyle name="Normal 68 8 2" xfId="2927" xr:uid="{00000000-0005-0000-0000-0000800F0000}"/>
    <cellStyle name="Normal 68 9" xfId="2928" xr:uid="{00000000-0005-0000-0000-0000810F0000}"/>
    <cellStyle name="Normal 68 9 2" xfId="2929" xr:uid="{00000000-0005-0000-0000-0000820F0000}"/>
    <cellStyle name="Normal 69 10" xfId="2930" xr:uid="{00000000-0005-0000-0000-0000830F0000}"/>
    <cellStyle name="Normal 69 10 2" xfId="2931" xr:uid="{00000000-0005-0000-0000-0000840F0000}"/>
    <cellStyle name="Normal 69 11" xfId="2932" xr:uid="{00000000-0005-0000-0000-0000850F0000}"/>
    <cellStyle name="Normal 69 11 2" xfId="2933" xr:uid="{00000000-0005-0000-0000-0000860F0000}"/>
    <cellStyle name="Normal 69 12" xfId="2934" xr:uid="{00000000-0005-0000-0000-0000870F0000}"/>
    <cellStyle name="Normal 69 12 2" xfId="2935" xr:uid="{00000000-0005-0000-0000-0000880F0000}"/>
    <cellStyle name="Normal 69 13" xfId="2936" xr:uid="{00000000-0005-0000-0000-0000890F0000}"/>
    <cellStyle name="Normal 69 13 2" xfId="2937" xr:uid="{00000000-0005-0000-0000-00008A0F0000}"/>
    <cellStyle name="Normal 69 14" xfId="2938" xr:uid="{00000000-0005-0000-0000-00008B0F0000}"/>
    <cellStyle name="Normal 69 14 2" xfId="2939" xr:uid="{00000000-0005-0000-0000-00008C0F0000}"/>
    <cellStyle name="Normal 69 2" xfId="2940" xr:uid="{00000000-0005-0000-0000-00008D0F0000}"/>
    <cellStyle name="Normal 69 2 2" xfId="2941" xr:uid="{00000000-0005-0000-0000-00008E0F0000}"/>
    <cellStyle name="Normal 69 2 2 2" xfId="2942" xr:uid="{00000000-0005-0000-0000-00008F0F0000}"/>
    <cellStyle name="Normal 69 2 3" xfId="2943" xr:uid="{00000000-0005-0000-0000-0000900F0000}"/>
    <cellStyle name="Normal 69 3" xfId="2944" xr:uid="{00000000-0005-0000-0000-0000910F0000}"/>
    <cellStyle name="Normal 69 3 2" xfId="2945" xr:uid="{00000000-0005-0000-0000-0000920F0000}"/>
    <cellStyle name="Normal 69 3 2 2" xfId="2946" xr:uid="{00000000-0005-0000-0000-0000930F0000}"/>
    <cellStyle name="Normal 69 3 3" xfId="2947" xr:uid="{00000000-0005-0000-0000-0000940F0000}"/>
    <cellStyle name="Normal 69 4" xfId="2948" xr:uid="{00000000-0005-0000-0000-0000950F0000}"/>
    <cellStyle name="Normal 69 4 2" xfId="2949" xr:uid="{00000000-0005-0000-0000-0000960F0000}"/>
    <cellStyle name="Normal 69 4 2 2" xfId="2950" xr:uid="{00000000-0005-0000-0000-0000970F0000}"/>
    <cellStyle name="Normal 69 4 3" xfId="2951" xr:uid="{00000000-0005-0000-0000-0000980F0000}"/>
    <cellStyle name="Normal 69 5" xfId="2952" xr:uid="{00000000-0005-0000-0000-0000990F0000}"/>
    <cellStyle name="Normal 69 5 2" xfId="2953" xr:uid="{00000000-0005-0000-0000-00009A0F0000}"/>
    <cellStyle name="Normal 69 5 2 2" xfId="2954" xr:uid="{00000000-0005-0000-0000-00009B0F0000}"/>
    <cellStyle name="Normal 69 5 3" xfId="2955" xr:uid="{00000000-0005-0000-0000-00009C0F0000}"/>
    <cellStyle name="Normal 69 6" xfId="2956" xr:uid="{00000000-0005-0000-0000-00009D0F0000}"/>
    <cellStyle name="Normal 69 6 2" xfId="2957" xr:uid="{00000000-0005-0000-0000-00009E0F0000}"/>
    <cellStyle name="Normal 69 6 2 2" xfId="2958" xr:uid="{00000000-0005-0000-0000-00009F0F0000}"/>
    <cellStyle name="Normal 69 6 3" xfId="2959" xr:uid="{00000000-0005-0000-0000-0000A00F0000}"/>
    <cellStyle name="Normal 69 7" xfId="2960" xr:uid="{00000000-0005-0000-0000-0000A10F0000}"/>
    <cellStyle name="Normal 69 7 2" xfId="2961" xr:uid="{00000000-0005-0000-0000-0000A20F0000}"/>
    <cellStyle name="Normal 69 7 2 2" xfId="2962" xr:uid="{00000000-0005-0000-0000-0000A30F0000}"/>
    <cellStyle name="Normal 69 7 3" xfId="2963" xr:uid="{00000000-0005-0000-0000-0000A40F0000}"/>
    <cellStyle name="Normal 69 8" xfId="2964" xr:uid="{00000000-0005-0000-0000-0000A50F0000}"/>
    <cellStyle name="Normal 69 8 2" xfId="2965" xr:uid="{00000000-0005-0000-0000-0000A60F0000}"/>
    <cellStyle name="Normal 69 9" xfId="2966" xr:uid="{00000000-0005-0000-0000-0000A70F0000}"/>
    <cellStyle name="Normal 69 9 2" xfId="2967" xr:uid="{00000000-0005-0000-0000-0000A80F0000}"/>
    <cellStyle name="Normal 7" xfId="2968" xr:uid="{00000000-0005-0000-0000-0000A90F0000}"/>
    <cellStyle name="Normal 7 10" xfId="2969" xr:uid="{00000000-0005-0000-0000-0000AA0F0000}"/>
    <cellStyle name="Normal 7 10 2" xfId="2970" xr:uid="{00000000-0005-0000-0000-0000AB0F0000}"/>
    <cellStyle name="Normal 7 10 2 2" xfId="2971" xr:uid="{00000000-0005-0000-0000-0000AC0F0000}"/>
    <cellStyle name="Normal 7 10 3" xfId="2972" xr:uid="{00000000-0005-0000-0000-0000AD0F0000}"/>
    <cellStyle name="Normal 7 11" xfId="2973" xr:uid="{00000000-0005-0000-0000-0000AE0F0000}"/>
    <cellStyle name="Normal 7 11 2" xfId="2974" xr:uid="{00000000-0005-0000-0000-0000AF0F0000}"/>
    <cellStyle name="Normal 7 11 2 2" xfId="2975" xr:uid="{00000000-0005-0000-0000-0000B00F0000}"/>
    <cellStyle name="Normal 7 11 3" xfId="2976" xr:uid="{00000000-0005-0000-0000-0000B10F0000}"/>
    <cellStyle name="Normal 7 12" xfId="2977" xr:uid="{00000000-0005-0000-0000-0000B20F0000}"/>
    <cellStyle name="Normal 7 12 2" xfId="2978" xr:uid="{00000000-0005-0000-0000-0000B30F0000}"/>
    <cellStyle name="Normal 7 12 2 2" xfId="2979" xr:uid="{00000000-0005-0000-0000-0000B40F0000}"/>
    <cellStyle name="Normal 7 12 3" xfId="2980" xr:uid="{00000000-0005-0000-0000-0000B50F0000}"/>
    <cellStyle name="Normal 7 13" xfId="2981" xr:uid="{00000000-0005-0000-0000-0000B60F0000}"/>
    <cellStyle name="Normal 7 13 2" xfId="2982" xr:uid="{00000000-0005-0000-0000-0000B70F0000}"/>
    <cellStyle name="Normal 7 14" xfId="2983" xr:uid="{00000000-0005-0000-0000-0000B80F0000}"/>
    <cellStyle name="Normal 7 14 2" xfId="2984" xr:uid="{00000000-0005-0000-0000-0000B90F0000}"/>
    <cellStyle name="Normal 7 15" xfId="2985" xr:uid="{00000000-0005-0000-0000-0000BA0F0000}"/>
    <cellStyle name="Normal 7 15 2" xfId="2986" xr:uid="{00000000-0005-0000-0000-0000BB0F0000}"/>
    <cellStyle name="Normal 7 16" xfId="2987" xr:uid="{00000000-0005-0000-0000-0000BC0F0000}"/>
    <cellStyle name="Normal 7 16 2" xfId="2988" xr:uid="{00000000-0005-0000-0000-0000BD0F0000}"/>
    <cellStyle name="Normal 7 17" xfId="2989" xr:uid="{00000000-0005-0000-0000-0000BE0F0000}"/>
    <cellStyle name="Normal 7 17 2" xfId="2990" xr:uid="{00000000-0005-0000-0000-0000BF0F0000}"/>
    <cellStyle name="Normal 7 18" xfId="2991" xr:uid="{00000000-0005-0000-0000-0000C00F0000}"/>
    <cellStyle name="Normal 7 18 2" xfId="2992" xr:uid="{00000000-0005-0000-0000-0000C10F0000}"/>
    <cellStyle name="Normal 7 19" xfId="2993" xr:uid="{00000000-0005-0000-0000-0000C20F0000}"/>
    <cellStyle name="Normal 7 19 2" xfId="2994" xr:uid="{00000000-0005-0000-0000-0000C30F0000}"/>
    <cellStyle name="Normal 7 2" xfId="2995" xr:uid="{00000000-0005-0000-0000-0000C40F0000}"/>
    <cellStyle name="Normal 7 2 2" xfId="2996" xr:uid="{00000000-0005-0000-0000-0000C50F0000}"/>
    <cellStyle name="Normal 7 2 2 2" xfId="2997" xr:uid="{00000000-0005-0000-0000-0000C60F0000}"/>
    <cellStyle name="Normal 7 2 2 2 2" xfId="4295" xr:uid="{00000000-0005-0000-0000-0000C70F0000}"/>
    <cellStyle name="Normal 7 2 2 2 2 2" xfId="4859" xr:uid="{00000000-0005-0000-0000-0000C80F0000}"/>
    <cellStyle name="Normal 7 2 2 2 3" xfId="4739" xr:uid="{00000000-0005-0000-0000-0000C90F0000}"/>
    <cellStyle name="Normal 7 2 2 3" xfId="4294" xr:uid="{00000000-0005-0000-0000-0000CA0F0000}"/>
    <cellStyle name="Normal 7 2 2 3 2" xfId="4936" xr:uid="{00000000-0005-0000-0000-0000CB0F0000}"/>
    <cellStyle name="Normal 7 2 2 4" xfId="4738" xr:uid="{00000000-0005-0000-0000-0000CC0F0000}"/>
    <cellStyle name="Normal 7 2 3" xfId="2998" xr:uid="{00000000-0005-0000-0000-0000CD0F0000}"/>
    <cellStyle name="Normal 7 2 3 2" xfId="4296" xr:uid="{00000000-0005-0000-0000-0000CE0F0000}"/>
    <cellStyle name="Normal 7 2 3 2 2" xfId="4897" xr:uid="{00000000-0005-0000-0000-0000CF0F0000}"/>
    <cellStyle name="Normal 7 2 3 3" xfId="4740" xr:uid="{00000000-0005-0000-0000-0000D00F0000}"/>
    <cellStyle name="Normal 7 2 4" xfId="4293" xr:uid="{00000000-0005-0000-0000-0000D10F0000}"/>
    <cellStyle name="Normal 7 2 4 2" xfId="4972" xr:uid="{00000000-0005-0000-0000-0000D20F0000}"/>
    <cellStyle name="Normal 7 2 5" xfId="4737" xr:uid="{00000000-0005-0000-0000-0000D30F0000}"/>
    <cellStyle name="Normal 7 20" xfId="4292" xr:uid="{00000000-0005-0000-0000-0000D40F0000}"/>
    <cellStyle name="Normal 7 20 2" xfId="5173" xr:uid="{00000000-0005-0000-0000-0000D50F0000}"/>
    <cellStyle name="Normal 7 21" xfId="4736" xr:uid="{00000000-0005-0000-0000-0000D60F0000}"/>
    <cellStyle name="Normal 7 3" xfId="2999" xr:uid="{00000000-0005-0000-0000-0000D70F0000}"/>
    <cellStyle name="Normal 7 3 2" xfId="3000" xr:uid="{00000000-0005-0000-0000-0000D80F0000}"/>
    <cellStyle name="Normal 7 3 2 2" xfId="3001" xr:uid="{00000000-0005-0000-0000-0000D90F0000}"/>
    <cellStyle name="Normal 7 3 2 2 2" xfId="4410" xr:uid="{00000000-0005-0000-0000-0000DA0F0000}"/>
    <cellStyle name="Normal 7 3 2 2 2 2" xfId="4872" xr:uid="{00000000-0005-0000-0000-0000DB0F0000}"/>
    <cellStyle name="Normal 7 3 2 3" xfId="4298" xr:uid="{00000000-0005-0000-0000-0000DC0F0000}"/>
    <cellStyle name="Normal 7 3 2 3 2" xfId="5175" xr:uid="{00000000-0005-0000-0000-0000DD0F0000}"/>
    <cellStyle name="Normal 7 3 2 4" xfId="4742" xr:uid="{00000000-0005-0000-0000-0000DE0F0000}"/>
    <cellStyle name="Normal 7 3 3" xfId="3002" xr:uid="{00000000-0005-0000-0000-0000DF0F0000}"/>
    <cellStyle name="Normal 7 3 3 2" xfId="4417" xr:uid="{00000000-0005-0000-0000-0000E00F0000}"/>
    <cellStyle name="Normal 7 3 3 2 2" xfId="4949" xr:uid="{00000000-0005-0000-0000-0000E10F0000}"/>
    <cellStyle name="Normal 7 3 4" xfId="4297" xr:uid="{00000000-0005-0000-0000-0000E20F0000}"/>
    <cellStyle name="Normal 7 3 4 2" xfId="5174" xr:uid="{00000000-0005-0000-0000-0000E30F0000}"/>
    <cellStyle name="Normal 7 3 5" xfId="4741" xr:uid="{00000000-0005-0000-0000-0000E40F0000}"/>
    <cellStyle name="Normal 7 4" xfId="3003" xr:uid="{00000000-0005-0000-0000-0000E50F0000}"/>
    <cellStyle name="Normal 7 4 2" xfId="3004" xr:uid="{00000000-0005-0000-0000-0000E60F0000}"/>
    <cellStyle name="Normal 7 4 2 2" xfId="3005" xr:uid="{00000000-0005-0000-0000-0000E70F0000}"/>
    <cellStyle name="Normal 7 4 2 3" xfId="4412" xr:uid="{00000000-0005-0000-0000-0000E80F0000}"/>
    <cellStyle name="Normal 7 4 2 3 2" xfId="4909" xr:uid="{00000000-0005-0000-0000-0000E90F0000}"/>
    <cellStyle name="Normal 7 4 3" xfId="3006" xr:uid="{00000000-0005-0000-0000-0000EA0F0000}"/>
    <cellStyle name="Normal 7 4 4" xfId="4299" xr:uid="{00000000-0005-0000-0000-0000EB0F0000}"/>
    <cellStyle name="Normal 7 4 4 2" xfId="5176" xr:uid="{00000000-0005-0000-0000-0000EC0F0000}"/>
    <cellStyle name="Normal 7 4 5" xfId="4743" xr:uid="{00000000-0005-0000-0000-0000ED0F0000}"/>
    <cellStyle name="Normal 7 5" xfId="3007" xr:uid="{00000000-0005-0000-0000-0000EE0F0000}"/>
    <cellStyle name="Normal 7 5 2" xfId="3008" xr:uid="{00000000-0005-0000-0000-0000EF0F0000}"/>
    <cellStyle name="Normal 7 5 2 2" xfId="3009" xr:uid="{00000000-0005-0000-0000-0000F00F0000}"/>
    <cellStyle name="Normal 7 5 3" xfId="3010" xr:uid="{00000000-0005-0000-0000-0000F10F0000}"/>
    <cellStyle name="Normal 7 5 4" xfId="4300" xr:uid="{00000000-0005-0000-0000-0000F20F0000}"/>
    <cellStyle name="Normal 7 5 4 2" xfId="5177" xr:uid="{00000000-0005-0000-0000-0000F30F0000}"/>
    <cellStyle name="Normal 7 5 5" xfId="4744" xr:uid="{00000000-0005-0000-0000-0000F40F0000}"/>
    <cellStyle name="Normal 7 6" xfId="3011" xr:uid="{00000000-0005-0000-0000-0000F50F0000}"/>
    <cellStyle name="Normal 7 6 2" xfId="3012" xr:uid="{00000000-0005-0000-0000-0000F60F0000}"/>
    <cellStyle name="Normal 7 6 2 2" xfId="3013" xr:uid="{00000000-0005-0000-0000-0000F70F0000}"/>
    <cellStyle name="Normal 7 6 3" xfId="3014" xr:uid="{00000000-0005-0000-0000-0000F80F0000}"/>
    <cellStyle name="Normal 7 7" xfId="3015" xr:uid="{00000000-0005-0000-0000-0000F90F0000}"/>
    <cellStyle name="Normal 7 7 2" xfId="3016" xr:uid="{00000000-0005-0000-0000-0000FA0F0000}"/>
    <cellStyle name="Normal 7 7 2 2" xfId="3017" xr:uid="{00000000-0005-0000-0000-0000FB0F0000}"/>
    <cellStyle name="Normal 7 7 3" xfId="3018" xr:uid="{00000000-0005-0000-0000-0000FC0F0000}"/>
    <cellStyle name="Normal 7 8" xfId="3019" xr:uid="{00000000-0005-0000-0000-0000FD0F0000}"/>
    <cellStyle name="Normal 7 8 2" xfId="3020" xr:uid="{00000000-0005-0000-0000-0000FE0F0000}"/>
    <cellStyle name="Normal 7 8 2 2" xfId="3021" xr:uid="{00000000-0005-0000-0000-0000FF0F0000}"/>
    <cellStyle name="Normal 7 8 3" xfId="3022" xr:uid="{00000000-0005-0000-0000-000000100000}"/>
    <cellStyle name="Normal 7 9" xfId="3023" xr:uid="{00000000-0005-0000-0000-000001100000}"/>
    <cellStyle name="Normal 7 9 2" xfId="3024" xr:uid="{00000000-0005-0000-0000-000002100000}"/>
    <cellStyle name="Normal 7 9 2 2" xfId="3025" xr:uid="{00000000-0005-0000-0000-000003100000}"/>
    <cellStyle name="Normal 7 9 3" xfId="3026" xr:uid="{00000000-0005-0000-0000-000004100000}"/>
    <cellStyle name="Normal 70 10" xfId="3027" xr:uid="{00000000-0005-0000-0000-000005100000}"/>
    <cellStyle name="Normal 70 10 2" xfId="3028" xr:uid="{00000000-0005-0000-0000-000006100000}"/>
    <cellStyle name="Normal 70 11" xfId="3029" xr:uid="{00000000-0005-0000-0000-000007100000}"/>
    <cellStyle name="Normal 70 11 2" xfId="3030" xr:uid="{00000000-0005-0000-0000-000008100000}"/>
    <cellStyle name="Normal 70 12" xfId="3031" xr:uid="{00000000-0005-0000-0000-000009100000}"/>
    <cellStyle name="Normal 70 12 2" xfId="3032" xr:uid="{00000000-0005-0000-0000-00000A100000}"/>
    <cellStyle name="Normal 70 13" xfId="3033" xr:uid="{00000000-0005-0000-0000-00000B100000}"/>
    <cellStyle name="Normal 70 13 2" xfId="3034" xr:uid="{00000000-0005-0000-0000-00000C100000}"/>
    <cellStyle name="Normal 70 14" xfId="3035" xr:uid="{00000000-0005-0000-0000-00000D100000}"/>
    <cellStyle name="Normal 70 14 2" xfId="3036" xr:uid="{00000000-0005-0000-0000-00000E100000}"/>
    <cellStyle name="Normal 70 2" xfId="3037" xr:uid="{00000000-0005-0000-0000-00000F100000}"/>
    <cellStyle name="Normal 70 2 2" xfId="3038" xr:uid="{00000000-0005-0000-0000-000010100000}"/>
    <cellStyle name="Normal 70 2 2 2" xfId="3039" xr:uid="{00000000-0005-0000-0000-000011100000}"/>
    <cellStyle name="Normal 70 2 3" xfId="3040" xr:uid="{00000000-0005-0000-0000-000012100000}"/>
    <cellStyle name="Normal 70 3" xfId="3041" xr:uid="{00000000-0005-0000-0000-000013100000}"/>
    <cellStyle name="Normal 70 3 2" xfId="3042" xr:uid="{00000000-0005-0000-0000-000014100000}"/>
    <cellStyle name="Normal 70 3 2 2" xfId="3043" xr:uid="{00000000-0005-0000-0000-000015100000}"/>
    <cellStyle name="Normal 70 3 3" xfId="3044" xr:uid="{00000000-0005-0000-0000-000016100000}"/>
    <cellStyle name="Normal 70 4" xfId="3045" xr:uid="{00000000-0005-0000-0000-000017100000}"/>
    <cellStyle name="Normal 70 4 2" xfId="3046" xr:uid="{00000000-0005-0000-0000-000018100000}"/>
    <cellStyle name="Normal 70 4 2 2" xfId="3047" xr:uid="{00000000-0005-0000-0000-000019100000}"/>
    <cellStyle name="Normal 70 4 3" xfId="3048" xr:uid="{00000000-0005-0000-0000-00001A100000}"/>
    <cellStyle name="Normal 70 5" xfId="3049" xr:uid="{00000000-0005-0000-0000-00001B100000}"/>
    <cellStyle name="Normal 70 5 2" xfId="3050" xr:uid="{00000000-0005-0000-0000-00001C100000}"/>
    <cellStyle name="Normal 70 5 2 2" xfId="3051" xr:uid="{00000000-0005-0000-0000-00001D100000}"/>
    <cellStyle name="Normal 70 5 3" xfId="3052" xr:uid="{00000000-0005-0000-0000-00001E100000}"/>
    <cellStyle name="Normal 70 6" xfId="3053" xr:uid="{00000000-0005-0000-0000-00001F100000}"/>
    <cellStyle name="Normal 70 6 2" xfId="3054" xr:uid="{00000000-0005-0000-0000-000020100000}"/>
    <cellStyle name="Normal 70 6 2 2" xfId="3055" xr:uid="{00000000-0005-0000-0000-000021100000}"/>
    <cellStyle name="Normal 70 6 3" xfId="3056" xr:uid="{00000000-0005-0000-0000-000022100000}"/>
    <cellStyle name="Normal 70 7" xfId="3057" xr:uid="{00000000-0005-0000-0000-000023100000}"/>
    <cellStyle name="Normal 70 7 2" xfId="3058" xr:uid="{00000000-0005-0000-0000-000024100000}"/>
    <cellStyle name="Normal 70 7 2 2" xfId="3059" xr:uid="{00000000-0005-0000-0000-000025100000}"/>
    <cellStyle name="Normal 70 7 3" xfId="3060" xr:uid="{00000000-0005-0000-0000-000026100000}"/>
    <cellStyle name="Normal 70 8" xfId="3061" xr:uid="{00000000-0005-0000-0000-000027100000}"/>
    <cellStyle name="Normal 70 8 2" xfId="3062" xr:uid="{00000000-0005-0000-0000-000028100000}"/>
    <cellStyle name="Normal 70 9" xfId="3063" xr:uid="{00000000-0005-0000-0000-000029100000}"/>
    <cellStyle name="Normal 70 9 2" xfId="3064" xr:uid="{00000000-0005-0000-0000-00002A100000}"/>
    <cellStyle name="Normal 71 10" xfId="3065" xr:uid="{00000000-0005-0000-0000-00002B100000}"/>
    <cellStyle name="Normal 71 10 2" xfId="3066" xr:uid="{00000000-0005-0000-0000-00002C100000}"/>
    <cellStyle name="Normal 71 11" xfId="3067" xr:uid="{00000000-0005-0000-0000-00002D100000}"/>
    <cellStyle name="Normal 71 11 2" xfId="3068" xr:uid="{00000000-0005-0000-0000-00002E100000}"/>
    <cellStyle name="Normal 71 12" xfId="3069" xr:uid="{00000000-0005-0000-0000-00002F100000}"/>
    <cellStyle name="Normal 71 12 2" xfId="3070" xr:uid="{00000000-0005-0000-0000-000030100000}"/>
    <cellStyle name="Normal 71 13" xfId="3071" xr:uid="{00000000-0005-0000-0000-000031100000}"/>
    <cellStyle name="Normal 71 13 2" xfId="3072" xr:uid="{00000000-0005-0000-0000-000032100000}"/>
    <cellStyle name="Normal 71 14" xfId="3073" xr:uid="{00000000-0005-0000-0000-000033100000}"/>
    <cellStyle name="Normal 71 14 2" xfId="3074" xr:uid="{00000000-0005-0000-0000-000034100000}"/>
    <cellStyle name="Normal 71 2" xfId="3075" xr:uid="{00000000-0005-0000-0000-000035100000}"/>
    <cellStyle name="Normal 71 2 2" xfId="3076" xr:uid="{00000000-0005-0000-0000-000036100000}"/>
    <cellStyle name="Normal 71 2 2 2" xfId="3077" xr:uid="{00000000-0005-0000-0000-000037100000}"/>
    <cellStyle name="Normal 71 2 3" xfId="3078" xr:uid="{00000000-0005-0000-0000-000038100000}"/>
    <cellStyle name="Normal 71 3" xfId="3079" xr:uid="{00000000-0005-0000-0000-000039100000}"/>
    <cellStyle name="Normal 71 3 2" xfId="3080" xr:uid="{00000000-0005-0000-0000-00003A100000}"/>
    <cellStyle name="Normal 71 3 2 2" xfId="3081" xr:uid="{00000000-0005-0000-0000-00003B100000}"/>
    <cellStyle name="Normal 71 3 3" xfId="3082" xr:uid="{00000000-0005-0000-0000-00003C100000}"/>
    <cellStyle name="Normal 71 4" xfId="3083" xr:uid="{00000000-0005-0000-0000-00003D100000}"/>
    <cellStyle name="Normal 71 4 2" xfId="3084" xr:uid="{00000000-0005-0000-0000-00003E100000}"/>
    <cellStyle name="Normal 71 4 2 2" xfId="3085" xr:uid="{00000000-0005-0000-0000-00003F100000}"/>
    <cellStyle name="Normal 71 4 3" xfId="3086" xr:uid="{00000000-0005-0000-0000-000040100000}"/>
    <cellStyle name="Normal 71 5" xfId="3087" xr:uid="{00000000-0005-0000-0000-000041100000}"/>
    <cellStyle name="Normal 71 5 2" xfId="3088" xr:uid="{00000000-0005-0000-0000-000042100000}"/>
    <cellStyle name="Normal 71 5 2 2" xfId="3089" xr:uid="{00000000-0005-0000-0000-000043100000}"/>
    <cellStyle name="Normal 71 5 3" xfId="3090" xr:uid="{00000000-0005-0000-0000-000044100000}"/>
    <cellStyle name="Normal 71 6" xfId="3091" xr:uid="{00000000-0005-0000-0000-000045100000}"/>
    <cellStyle name="Normal 71 6 2" xfId="3092" xr:uid="{00000000-0005-0000-0000-000046100000}"/>
    <cellStyle name="Normal 71 6 2 2" xfId="3093" xr:uid="{00000000-0005-0000-0000-000047100000}"/>
    <cellStyle name="Normal 71 6 3" xfId="3094" xr:uid="{00000000-0005-0000-0000-000048100000}"/>
    <cellStyle name="Normal 71 7" xfId="3095" xr:uid="{00000000-0005-0000-0000-000049100000}"/>
    <cellStyle name="Normal 71 7 2" xfId="3096" xr:uid="{00000000-0005-0000-0000-00004A100000}"/>
    <cellStyle name="Normal 71 7 2 2" xfId="3097" xr:uid="{00000000-0005-0000-0000-00004B100000}"/>
    <cellStyle name="Normal 71 7 3" xfId="3098" xr:uid="{00000000-0005-0000-0000-00004C100000}"/>
    <cellStyle name="Normal 71 8" xfId="3099" xr:uid="{00000000-0005-0000-0000-00004D100000}"/>
    <cellStyle name="Normal 71 8 2" xfId="3100" xr:uid="{00000000-0005-0000-0000-00004E100000}"/>
    <cellStyle name="Normal 71 9" xfId="3101" xr:uid="{00000000-0005-0000-0000-00004F100000}"/>
    <cellStyle name="Normal 71 9 2" xfId="3102" xr:uid="{00000000-0005-0000-0000-000050100000}"/>
    <cellStyle name="Normal 72 10" xfId="3103" xr:uid="{00000000-0005-0000-0000-000051100000}"/>
    <cellStyle name="Normal 72 10 2" xfId="3104" xr:uid="{00000000-0005-0000-0000-000052100000}"/>
    <cellStyle name="Normal 72 11" xfId="3105" xr:uid="{00000000-0005-0000-0000-000053100000}"/>
    <cellStyle name="Normal 72 11 2" xfId="3106" xr:uid="{00000000-0005-0000-0000-000054100000}"/>
    <cellStyle name="Normal 72 12" xfId="3107" xr:uid="{00000000-0005-0000-0000-000055100000}"/>
    <cellStyle name="Normal 72 12 2" xfId="3108" xr:uid="{00000000-0005-0000-0000-000056100000}"/>
    <cellStyle name="Normal 72 13" xfId="3109" xr:uid="{00000000-0005-0000-0000-000057100000}"/>
    <cellStyle name="Normal 72 13 2" xfId="3110" xr:uid="{00000000-0005-0000-0000-000058100000}"/>
    <cellStyle name="Normal 72 14" xfId="3111" xr:uid="{00000000-0005-0000-0000-000059100000}"/>
    <cellStyle name="Normal 72 14 2" xfId="3112" xr:uid="{00000000-0005-0000-0000-00005A100000}"/>
    <cellStyle name="Normal 72 2" xfId="3113" xr:uid="{00000000-0005-0000-0000-00005B100000}"/>
    <cellStyle name="Normal 72 2 2" xfId="3114" xr:uid="{00000000-0005-0000-0000-00005C100000}"/>
    <cellStyle name="Normal 72 2 2 2" xfId="3115" xr:uid="{00000000-0005-0000-0000-00005D100000}"/>
    <cellStyle name="Normal 72 2 3" xfId="3116" xr:uid="{00000000-0005-0000-0000-00005E100000}"/>
    <cellStyle name="Normal 72 3" xfId="3117" xr:uid="{00000000-0005-0000-0000-00005F100000}"/>
    <cellStyle name="Normal 72 3 2" xfId="3118" xr:uid="{00000000-0005-0000-0000-000060100000}"/>
    <cellStyle name="Normal 72 3 2 2" xfId="3119" xr:uid="{00000000-0005-0000-0000-000061100000}"/>
    <cellStyle name="Normal 72 3 3" xfId="3120" xr:uid="{00000000-0005-0000-0000-000062100000}"/>
    <cellStyle name="Normal 72 4" xfId="3121" xr:uid="{00000000-0005-0000-0000-000063100000}"/>
    <cellStyle name="Normal 72 4 2" xfId="3122" xr:uid="{00000000-0005-0000-0000-000064100000}"/>
    <cellStyle name="Normal 72 4 2 2" xfId="3123" xr:uid="{00000000-0005-0000-0000-000065100000}"/>
    <cellStyle name="Normal 72 4 3" xfId="3124" xr:uid="{00000000-0005-0000-0000-000066100000}"/>
    <cellStyle name="Normal 72 5" xfId="3125" xr:uid="{00000000-0005-0000-0000-000067100000}"/>
    <cellStyle name="Normal 72 5 2" xfId="3126" xr:uid="{00000000-0005-0000-0000-000068100000}"/>
    <cellStyle name="Normal 72 5 2 2" xfId="3127" xr:uid="{00000000-0005-0000-0000-000069100000}"/>
    <cellStyle name="Normal 72 5 3" xfId="3128" xr:uid="{00000000-0005-0000-0000-00006A100000}"/>
    <cellStyle name="Normal 72 6" xfId="3129" xr:uid="{00000000-0005-0000-0000-00006B100000}"/>
    <cellStyle name="Normal 72 6 2" xfId="3130" xr:uid="{00000000-0005-0000-0000-00006C100000}"/>
    <cellStyle name="Normal 72 6 2 2" xfId="3131" xr:uid="{00000000-0005-0000-0000-00006D100000}"/>
    <cellStyle name="Normal 72 6 3" xfId="3132" xr:uid="{00000000-0005-0000-0000-00006E100000}"/>
    <cellStyle name="Normal 72 7" xfId="3133" xr:uid="{00000000-0005-0000-0000-00006F100000}"/>
    <cellStyle name="Normal 72 7 2" xfId="3134" xr:uid="{00000000-0005-0000-0000-000070100000}"/>
    <cellStyle name="Normal 72 7 2 2" xfId="3135" xr:uid="{00000000-0005-0000-0000-000071100000}"/>
    <cellStyle name="Normal 72 7 3" xfId="3136" xr:uid="{00000000-0005-0000-0000-000072100000}"/>
    <cellStyle name="Normal 72 8" xfId="3137" xr:uid="{00000000-0005-0000-0000-000073100000}"/>
    <cellStyle name="Normal 72 8 2" xfId="3138" xr:uid="{00000000-0005-0000-0000-000074100000}"/>
    <cellStyle name="Normal 72 9" xfId="3139" xr:uid="{00000000-0005-0000-0000-000075100000}"/>
    <cellStyle name="Normal 72 9 2" xfId="3140" xr:uid="{00000000-0005-0000-0000-000076100000}"/>
    <cellStyle name="Normal 73 10" xfId="3141" xr:uid="{00000000-0005-0000-0000-000077100000}"/>
    <cellStyle name="Normal 73 10 2" xfId="3142" xr:uid="{00000000-0005-0000-0000-000078100000}"/>
    <cellStyle name="Normal 73 11" xfId="3143" xr:uid="{00000000-0005-0000-0000-000079100000}"/>
    <cellStyle name="Normal 73 11 2" xfId="3144" xr:uid="{00000000-0005-0000-0000-00007A100000}"/>
    <cellStyle name="Normal 73 12" xfId="3145" xr:uid="{00000000-0005-0000-0000-00007B100000}"/>
    <cellStyle name="Normal 73 12 2" xfId="3146" xr:uid="{00000000-0005-0000-0000-00007C100000}"/>
    <cellStyle name="Normal 73 13" xfId="3147" xr:uid="{00000000-0005-0000-0000-00007D100000}"/>
    <cellStyle name="Normal 73 13 2" xfId="3148" xr:uid="{00000000-0005-0000-0000-00007E100000}"/>
    <cellStyle name="Normal 73 14" xfId="3149" xr:uid="{00000000-0005-0000-0000-00007F100000}"/>
    <cellStyle name="Normal 73 14 2" xfId="3150" xr:uid="{00000000-0005-0000-0000-000080100000}"/>
    <cellStyle name="Normal 73 2" xfId="3151" xr:uid="{00000000-0005-0000-0000-000081100000}"/>
    <cellStyle name="Normal 73 2 2" xfId="3152" xr:uid="{00000000-0005-0000-0000-000082100000}"/>
    <cellStyle name="Normal 73 2 2 2" xfId="3153" xr:uid="{00000000-0005-0000-0000-000083100000}"/>
    <cellStyle name="Normal 73 2 3" xfId="3154" xr:uid="{00000000-0005-0000-0000-000084100000}"/>
    <cellStyle name="Normal 73 3" xfId="3155" xr:uid="{00000000-0005-0000-0000-000085100000}"/>
    <cellStyle name="Normal 73 3 2" xfId="3156" xr:uid="{00000000-0005-0000-0000-000086100000}"/>
    <cellStyle name="Normal 73 3 2 2" xfId="3157" xr:uid="{00000000-0005-0000-0000-000087100000}"/>
    <cellStyle name="Normal 73 3 3" xfId="3158" xr:uid="{00000000-0005-0000-0000-000088100000}"/>
    <cellStyle name="Normal 73 4" xfId="3159" xr:uid="{00000000-0005-0000-0000-000089100000}"/>
    <cellStyle name="Normal 73 4 2" xfId="3160" xr:uid="{00000000-0005-0000-0000-00008A100000}"/>
    <cellStyle name="Normal 73 4 2 2" xfId="3161" xr:uid="{00000000-0005-0000-0000-00008B100000}"/>
    <cellStyle name="Normal 73 4 3" xfId="3162" xr:uid="{00000000-0005-0000-0000-00008C100000}"/>
    <cellStyle name="Normal 73 5" xfId="3163" xr:uid="{00000000-0005-0000-0000-00008D100000}"/>
    <cellStyle name="Normal 73 5 2" xfId="3164" xr:uid="{00000000-0005-0000-0000-00008E100000}"/>
    <cellStyle name="Normal 73 5 2 2" xfId="3165" xr:uid="{00000000-0005-0000-0000-00008F100000}"/>
    <cellStyle name="Normal 73 5 3" xfId="3166" xr:uid="{00000000-0005-0000-0000-000090100000}"/>
    <cellStyle name="Normal 73 6" xfId="3167" xr:uid="{00000000-0005-0000-0000-000091100000}"/>
    <cellStyle name="Normal 73 6 2" xfId="3168" xr:uid="{00000000-0005-0000-0000-000092100000}"/>
    <cellStyle name="Normal 73 6 2 2" xfId="3169" xr:uid="{00000000-0005-0000-0000-000093100000}"/>
    <cellStyle name="Normal 73 6 3" xfId="3170" xr:uid="{00000000-0005-0000-0000-000094100000}"/>
    <cellStyle name="Normal 73 7" xfId="3171" xr:uid="{00000000-0005-0000-0000-000095100000}"/>
    <cellStyle name="Normal 73 7 2" xfId="3172" xr:uid="{00000000-0005-0000-0000-000096100000}"/>
    <cellStyle name="Normal 73 7 2 2" xfId="3173" xr:uid="{00000000-0005-0000-0000-000097100000}"/>
    <cellStyle name="Normal 73 7 3" xfId="3174" xr:uid="{00000000-0005-0000-0000-000098100000}"/>
    <cellStyle name="Normal 73 8" xfId="3175" xr:uid="{00000000-0005-0000-0000-000099100000}"/>
    <cellStyle name="Normal 73 8 2" xfId="3176" xr:uid="{00000000-0005-0000-0000-00009A100000}"/>
    <cellStyle name="Normal 73 9" xfId="3177" xr:uid="{00000000-0005-0000-0000-00009B100000}"/>
    <cellStyle name="Normal 73 9 2" xfId="3178" xr:uid="{00000000-0005-0000-0000-00009C100000}"/>
    <cellStyle name="Normal 74 10" xfId="3179" xr:uid="{00000000-0005-0000-0000-00009D100000}"/>
    <cellStyle name="Normal 74 10 2" xfId="3180" xr:uid="{00000000-0005-0000-0000-00009E100000}"/>
    <cellStyle name="Normal 74 11" xfId="3181" xr:uid="{00000000-0005-0000-0000-00009F100000}"/>
    <cellStyle name="Normal 74 11 2" xfId="3182" xr:uid="{00000000-0005-0000-0000-0000A0100000}"/>
    <cellStyle name="Normal 74 12" xfId="3183" xr:uid="{00000000-0005-0000-0000-0000A1100000}"/>
    <cellStyle name="Normal 74 12 2" xfId="3184" xr:uid="{00000000-0005-0000-0000-0000A2100000}"/>
    <cellStyle name="Normal 74 13" xfId="3185" xr:uid="{00000000-0005-0000-0000-0000A3100000}"/>
    <cellStyle name="Normal 74 13 2" xfId="3186" xr:uid="{00000000-0005-0000-0000-0000A4100000}"/>
    <cellStyle name="Normal 74 14" xfId="3187" xr:uid="{00000000-0005-0000-0000-0000A5100000}"/>
    <cellStyle name="Normal 74 14 2" xfId="3188" xr:uid="{00000000-0005-0000-0000-0000A6100000}"/>
    <cellStyle name="Normal 74 2" xfId="3189" xr:uid="{00000000-0005-0000-0000-0000A7100000}"/>
    <cellStyle name="Normal 74 2 2" xfId="3190" xr:uid="{00000000-0005-0000-0000-0000A8100000}"/>
    <cellStyle name="Normal 74 2 2 2" xfId="3191" xr:uid="{00000000-0005-0000-0000-0000A9100000}"/>
    <cellStyle name="Normal 74 2 3" xfId="3192" xr:uid="{00000000-0005-0000-0000-0000AA100000}"/>
    <cellStyle name="Normal 74 3" xfId="3193" xr:uid="{00000000-0005-0000-0000-0000AB100000}"/>
    <cellStyle name="Normal 74 3 2" xfId="3194" xr:uid="{00000000-0005-0000-0000-0000AC100000}"/>
    <cellStyle name="Normal 74 3 2 2" xfId="3195" xr:uid="{00000000-0005-0000-0000-0000AD100000}"/>
    <cellStyle name="Normal 74 3 3" xfId="3196" xr:uid="{00000000-0005-0000-0000-0000AE100000}"/>
    <cellStyle name="Normal 74 4" xfId="3197" xr:uid="{00000000-0005-0000-0000-0000AF100000}"/>
    <cellStyle name="Normal 74 4 2" xfId="3198" xr:uid="{00000000-0005-0000-0000-0000B0100000}"/>
    <cellStyle name="Normal 74 4 2 2" xfId="3199" xr:uid="{00000000-0005-0000-0000-0000B1100000}"/>
    <cellStyle name="Normal 74 4 3" xfId="3200" xr:uid="{00000000-0005-0000-0000-0000B2100000}"/>
    <cellStyle name="Normal 74 5" xfId="3201" xr:uid="{00000000-0005-0000-0000-0000B3100000}"/>
    <cellStyle name="Normal 74 5 2" xfId="3202" xr:uid="{00000000-0005-0000-0000-0000B4100000}"/>
    <cellStyle name="Normal 74 5 2 2" xfId="3203" xr:uid="{00000000-0005-0000-0000-0000B5100000}"/>
    <cellStyle name="Normal 74 5 3" xfId="3204" xr:uid="{00000000-0005-0000-0000-0000B6100000}"/>
    <cellStyle name="Normal 74 6" xfId="3205" xr:uid="{00000000-0005-0000-0000-0000B7100000}"/>
    <cellStyle name="Normal 74 6 2" xfId="3206" xr:uid="{00000000-0005-0000-0000-0000B8100000}"/>
    <cellStyle name="Normal 74 6 2 2" xfId="3207" xr:uid="{00000000-0005-0000-0000-0000B9100000}"/>
    <cellStyle name="Normal 74 6 3" xfId="3208" xr:uid="{00000000-0005-0000-0000-0000BA100000}"/>
    <cellStyle name="Normal 74 7" xfId="3209" xr:uid="{00000000-0005-0000-0000-0000BB100000}"/>
    <cellStyle name="Normal 74 7 2" xfId="3210" xr:uid="{00000000-0005-0000-0000-0000BC100000}"/>
    <cellStyle name="Normal 74 7 2 2" xfId="3211" xr:uid="{00000000-0005-0000-0000-0000BD100000}"/>
    <cellStyle name="Normal 74 7 3" xfId="3212" xr:uid="{00000000-0005-0000-0000-0000BE100000}"/>
    <cellStyle name="Normal 74 8" xfId="3213" xr:uid="{00000000-0005-0000-0000-0000BF100000}"/>
    <cellStyle name="Normal 74 8 2" xfId="3214" xr:uid="{00000000-0005-0000-0000-0000C0100000}"/>
    <cellStyle name="Normal 74 9" xfId="3215" xr:uid="{00000000-0005-0000-0000-0000C1100000}"/>
    <cellStyle name="Normal 74 9 2" xfId="3216" xr:uid="{00000000-0005-0000-0000-0000C2100000}"/>
    <cellStyle name="Normal 75 10" xfId="3217" xr:uid="{00000000-0005-0000-0000-0000C3100000}"/>
    <cellStyle name="Normal 75 10 2" xfId="3218" xr:uid="{00000000-0005-0000-0000-0000C4100000}"/>
    <cellStyle name="Normal 75 11" xfId="3219" xr:uid="{00000000-0005-0000-0000-0000C5100000}"/>
    <cellStyle name="Normal 75 11 2" xfId="3220" xr:uid="{00000000-0005-0000-0000-0000C6100000}"/>
    <cellStyle name="Normal 75 12" xfId="3221" xr:uid="{00000000-0005-0000-0000-0000C7100000}"/>
    <cellStyle name="Normal 75 12 2" xfId="3222" xr:uid="{00000000-0005-0000-0000-0000C8100000}"/>
    <cellStyle name="Normal 75 13" xfId="3223" xr:uid="{00000000-0005-0000-0000-0000C9100000}"/>
    <cellStyle name="Normal 75 13 2" xfId="3224" xr:uid="{00000000-0005-0000-0000-0000CA100000}"/>
    <cellStyle name="Normal 75 14" xfId="3225" xr:uid="{00000000-0005-0000-0000-0000CB100000}"/>
    <cellStyle name="Normal 75 14 2" xfId="3226" xr:uid="{00000000-0005-0000-0000-0000CC100000}"/>
    <cellStyle name="Normal 75 2" xfId="3227" xr:uid="{00000000-0005-0000-0000-0000CD100000}"/>
    <cellStyle name="Normal 75 2 2" xfId="3228" xr:uid="{00000000-0005-0000-0000-0000CE100000}"/>
    <cellStyle name="Normal 75 2 2 2" xfId="3229" xr:uid="{00000000-0005-0000-0000-0000CF100000}"/>
    <cellStyle name="Normal 75 2 3" xfId="3230" xr:uid="{00000000-0005-0000-0000-0000D0100000}"/>
    <cellStyle name="Normal 75 3" xfId="3231" xr:uid="{00000000-0005-0000-0000-0000D1100000}"/>
    <cellStyle name="Normal 75 3 2" xfId="3232" xr:uid="{00000000-0005-0000-0000-0000D2100000}"/>
    <cellStyle name="Normal 75 3 2 2" xfId="3233" xr:uid="{00000000-0005-0000-0000-0000D3100000}"/>
    <cellStyle name="Normal 75 3 3" xfId="3234" xr:uid="{00000000-0005-0000-0000-0000D4100000}"/>
    <cellStyle name="Normal 75 4" xfId="3235" xr:uid="{00000000-0005-0000-0000-0000D5100000}"/>
    <cellStyle name="Normal 75 4 2" xfId="3236" xr:uid="{00000000-0005-0000-0000-0000D6100000}"/>
    <cellStyle name="Normal 75 4 2 2" xfId="3237" xr:uid="{00000000-0005-0000-0000-0000D7100000}"/>
    <cellStyle name="Normal 75 4 3" xfId="3238" xr:uid="{00000000-0005-0000-0000-0000D8100000}"/>
    <cellStyle name="Normal 75 5" xfId="3239" xr:uid="{00000000-0005-0000-0000-0000D9100000}"/>
    <cellStyle name="Normal 75 5 2" xfId="3240" xr:uid="{00000000-0005-0000-0000-0000DA100000}"/>
    <cellStyle name="Normal 75 5 2 2" xfId="3241" xr:uid="{00000000-0005-0000-0000-0000DB100000}"/>
    <cellStyle name="Normal 75 5 3" xfId="3242" xr:uid="{00000000-0005-0000-0000-0000DC100000}"/>
    <cellStyle name="Normal 75 6" xfId="3243" xr:uid="{00000000-0005-0000-0000-0000DD100000}"/>
    <cellStyle name="Normal 75 6 2" xfId="3244" xr:uid="{00000000-0005-0000-0000-0000DE100000}"/>
    <cellStyle name="Normal 75 6 2 2" xfId="3245" xr:uid="{00000000-0005-0000-0000-0000DF100000}"/>
    <cellStyle name="Normal 75 6 3" xfId="3246" xr:uid="{00000000-0005-0000-0000-0000E0100000}"/>
    <cellStyle name="Normal 75 7" xfId="3247" xr:uid="{00000000-0005-0000-0000-0000E1100000}"/>
    <cellStyle name="Normal 75 7 2" xfId="3248" xr:uid="{00000000-0005-0000-0000-0000E2100000}"/>
    <cellStyle name="Normal 75 7 2 2" xfId="3249" xr:uid="{00000000-0005-0000-0000-0000E3100000}"/>
    <cellStyle name="Normal 75 7 3" xfId="3250" xr:uid="{00000000-0005-0000-0000-0000E4100000}"/>
    <cellStyle name="Normal 75 8" xfId="3251" xr:uid="{00000000-0005-0000-0000-0000E5100000}"/>
    <cellStyle name="Normal 75 8 2" xfId="3252" xr:uid="{00000000-0005-0000-0000-0000E6100000}"/>
    <cellStyle name="Normal 75 9" xfId="3253" xr:uid="{00000000-0005-0000-0000-0000E7100000}"/>
    <cellStyle name="Normal 75 9 2" xfId="3254" xr:uid="{00000000-0005-0000-0000-0000E8100000}"/>
    <cellStyle name="Normal 76 10" xfId="3255" xr:uid="{00000000-0005-0000-0000-0000E9100000}"/>
    <cellStyle name="Normal 76 10 2" xfId="3256" xr:uid="{00000000-0005-0000-0000-0000EA100000}"/>
    <cellStyle name="Normal 76 11" xfId="3257" xr:uid="{00000000-0005-0000-0000-0000EB100000}"/>
    <cellStyle name="Normal 76 11 2" xfId="3258" xr:uid="{00000000-0005-0000-0000-0000EC100000}"/>
    <cellStyle name="Normal 76 12" xfId="3259" xr:uid="{00000000-0005-0000-0000-0000ED100000}"/>
    <cellStyle name="Normal 76 12 2" xfId="3260" xr:uid="{00000000-0005-0000-0000-0000EE100000}"/>
    <cellStyle name="Normal 76 13" xfId="3261" xr:uid="{00000000-0005-0000-0000-0000EF100000}"/>
    <cellStyle name="Normal 76 13 2" xfId="3262" xr:uid="{00000000-0005-0000-0000-0000F0100000}"/>
    <cellStyle name="Normal 76 14" xfId="3263" xr:uid="{00000000-0005-0000-0000-0000F1100000}"/>
    <cellStyle name="Normal 76 14 2" xfId="3264" xr:uid="{00000000-0005-0000-0000-0000F2100000}"/>
    <cellStyle name="Normal 76 2" xfId="3265" xr:uid="{00000000-0005-0000-0000-0000F3100000}"/>
    <cellStyle name="Normal 76 2 2" xfId="3266" xr:uid="{00000000-0005-0000-0000-0000F4100000}"/>
    <cellStyle name="Normal 76 2 2 2" xfId="3267" xr:uid="{00000000-0005-0000-0000-0000F5100000}"/>
    <cellStyle name="Normal 76 2 3" xfId="3268" xr:uid="{00000000-0005-0000-0000-0000F6100000}"/>
    <cellStyle name="Normal 76 3" xfId="3269" xr:uid="{00000000-0005-0000-0000-0000F7100000}"/>
    <cellStyle name="Normal 76 3 2" xfId="3270" xr:uid="{00000000-0005-0000-0000-0000F8100000}"/>
    <cellStyle name="Normal 76 3 2 2" xfId="3271" xr:uid="{00000000-0005-0000-0000-0000F9100000}"/>
    <cellStyle name="Normal 76 3 3" xfId="3272" xr:uid="{00000000-0005-0000-0000-0000FA100000}"/>
    <cellStyle name="Normal 76 4" xfId="3273" xr:uid="{00000000-0005-0000-0000-0000FB100000}"/>
    <cellStyle name="Normal 76 4 2" xfId="3274" xr:uid="{00000000-0005-0000-0000-0000FC100000}"/>
    <cellStyle name="Normal 76 4 2 2" xfId="3275" xr:uid="{00000000-0005-0000-0000-0000FD100000}"/>
    <cellStyle name="Normal 76 4 3" xfId="3276" xr:uid="{00000000-0005-0000-0000-0000FE100000}"/>
    <cellStyle name="Normal 76 5" xfId="3277" xr:uid="{00000000-0005-0000-0000-0000FF100000}"/>
    <cellStyle name="Normal 76 5 2" xfId="3278" xr:uid="{00000000-0005-0000-0000-000000110000}"/>
    <cellStyle name="Normal 76 5 2 2" xfId="3279" xr:uid="{00000000-0005-0000-0000-000001110000}"/>
    <cellStyle name="Normal 76 5 3" xfId="3280" xr:uid="{00000000-0005-0000-0000-000002110000}"/>
    <cellStyle name="Normal 76 6" xfId="3281" xr:uid="{00000000-0005-0000-0000-000003110000}"/>
    <cellStyle name="Normal 76 6 2" xfId="3282" xr:uid="{00000000-0005-0000-0000-000004110000}"/>
    <cellStyle name="Normal 76 6 2 2" xfId="3283" xr:uid="{00000000-0005-0000-0000-000005110000}"/>
    <cellStyle name="Normal 76 6 3" xfId="3284" xr:uid="{00000000-0005-0000-0000-000006110000}"/>
    <cellStyle name="Normal 76 7" xfId="3285" xr:uid="{00000000-0005-0000-0000-000007110000}"/>
    <cellStyle name="Normal 76 7 2" xfId="3286" xr:uid="{00000000-0005-0000-0000-000008110000}"/>
    <cellStyle name="Normal 76 7 2 2" xfId="3287" xr:uid="{00000000-0005-0000-0000-000009110000}"/>
    <cellStyle name="Normal 76 7 3" xfId="3288" xr:uid="{00000000-0005-0000-0000-00000A110000}"/>
    <cellStyle name="Normal 76 8" xfId="3289" xr:uid="{00000000-0005-0000-0000-00000B110000}"/>
    <cellStyle name="Normal 76 8 2" xfId="3290" xr:uid="{00000000-0005-0000-0000-00000C110000}"/>
    <cellStyle name="Normal 76 9" xfId="3291" xr:uid="{00000000-0005-0000-0000-00000D110000}"/>
    <cellStyle name="Normal 76 9 2" xfId="3292" xr:uid="{00000000-0005-0000-0000-00000E110000}"/>
    <cellStyle name="Normal 77 10" xfId="3293" xr:uid="{00000000-0005-0000-0000-00000F110000}"/>
    <cellStyle name="Normal 77 10 2" xfId="3294" xr:uid="{00000000-0005-0000-0000-000010110000}"/>
    <cellStyle name="Normal 77 11" xfId="3295" xr:uid="{00000000-0005-0000-0000-000011110000}"/>
    <cellStyle name="Normal 77 11 2" xfId="3296" xr:uid="{00000000-0005-0000-0000-000012110000}"/>
    <cellStyle name="Normal 77 12" xfId="3297" xr:uid="{00000000-0005-0000-0000-000013110000}"/>
    <cellStyle name="Normal 77 12 2" xfId="3298" xr:uid="{00000000-0005-0000-0000-000014110000}"/>
    <cellStyle name="Normal 77 13" xfId="3299" xr:uid="{00000000-0005-0000-0000-000015110000}"/>
    <cellStyle name="Normal 77 13 2" xfId="3300" xr:uid="{00000000-0005-0000-0000-000016110000}"/>
    <cellStyle name="Normal 77 14" xfId="3301" xr:uid="{00000000-0005-0000-0000-000017110000}"/>
    <cellStyle name="Normal 77 14 2" xfId="3302" xr:uid="{00000000-0005-0000-0000-000018110000}"/>
    <cellStyle name="Normal 77 2" xfId="3303" xr:uid="{00000000-0005-0000-0000-000019110000}"/>
    <cellStyle name="Normal 77 2 2" xfId="3304" xr:uid="{00000000-0005-0000-0000-00001A110000}"/>
    <cellStyle name="Normal 77 2 2 2" xfId="3305" xr:uid="{00000000-0005-0000-0000-00001B110000}"/>
    <cellStyle name="Normal 77 2 3" xfId="3306" xr:uid="{00000000-0005-0000-0000-00001C110000}"/>
    <cellStyle name="Normal 77 3" xfId="3307" xr:uid="{00000000-0005-0000-0000-00001D110000}"/>
    <cellStyle name="Normal 77 3 2" xfId="3308" xr:uid="{00000000-0005-0000-0000-00001E110000}"/>
    <cellStyle name="Normal 77 3 2 2" xfId="3309" xr:uid="{00000000-0005-0000-0000-00001F110000}"/>
    <cellStyle name="Normal 77 3 3" xfId="3310" xr:uid="{00000000-0005-0000-0000-000020110000}"/>
    <cellStyle name="Normal 77 4" xfId="3311" xr:uid="{00000000-0005-0000-0000-000021110000}"/>
    <cellStyle name="Normal 77 4 2" xfId="3312" xr:uid="{00000000-0005-0000-0000-000022110000}"/>
    <cellStyle name="Normal 77 4 2 2" xfId="3313" xr:uid="{00000000-0005-0000-0000-000023110000}"/>
    <cellStyle name="Normal 77 4 3" xfId="3314" xr:uid="{00000000-0005-0000-0000-000024110000}"/>
    <cellStyle name="Normal 77 5" xfId="3315" xr:uid="{00000000-0005-0000-0000-000025110000}"/>
    <cellStyle name="Normal 77 5 2" xfId="3316" xr:uid="{00000000-0005-0000-0000-000026110000}"/>
    <cellStyle name="Normal 77 5 2 2" xfId="3317" xr:uid="{00000000-0005-0000-0000-000027110000}"/>
    <cellStyle name="Normal 77 5 3" xfId="3318" xr:uid="{00000000-0005-0000-0000-000028110000}"/>
    <cellStyle name="Normal 77 6" xfId="3319" xr:uid="{00000000-0005-0000-0000-000029110000}"/>
    <cellStyle name="Normal 77 6 2" xfId="3320" xr:uid="{00000000-0005-0000-0000-00002A110000}"/>
    <cellStyle name="Normal 77 6 2 2" xfId="3321" xr:uid="{00000000-0005-0000-0000-00002B110000}"/>
    <cellStyle name="Normal 77 6 3" xfId="3322" xr:uid="{00000000-0005-0000-0000-00002C110000}"/>
    <cellStyle name="Normal 77 7" xfId="3323" xr:uid="{00000000-0005-0000-0000-00002D110000}"/>
    <cellStyle name="Normal 77 7 2" xfId="3324" xr:uid="{00000000-0005-0000-0000-00002E110000}"/>
    <cellStyle name="Normal 77 7 2 2" xfId="3325" xr:uid="{00000000-0005-0000-0000-00002F110000}"/>
    <cellStyle name="Normal 77 7 3" xfId="3326" xr:uid="{00000000-0005-0000-0000-000030110000}"/>
    <cellStyle name="Normal 77 8" xfId="3327" xr:uid="{00000000-0005-0000-0000-000031110000}"/>
    <cellStyle name="Normal 77 8 2" xfId="3328" xr:uid="{00000000-0005-0000-0000-000032110000}"/>
    <cellStyle name="Normal 77 9" xfId="3329" xr:uid="{00000000-0005-0000-0000-000033110000}"/>
    <cellStyle name="Normal 77 9 2" xfId="3330" xr:uid="{00000000-0005-0000-0000-000034110000}"/>
    <cellStyle name="Normal 78 10" xfId="3331" xr:uid="{00000000-0005-0000-0000-000035110000}"/>
    <cellStyle name="Normal 78 10 2" xfId="3332" xr:uid="{00000000-0005-0000-0000-000036110000}"/>
    <cellStyle name="Normal 78 11" xfId="3333" xr:uid="{00000000-0005-0000-0000-000037110000}"/>
    <cellStyle name="Normal 78 11 2" xfId="3334" xr:uid="{00000000-0005-0000-0000-000038110000}"/>
    <cellStyle name="Normal 78 12" xfId="3335" xr:uid="{00000000-0005-0000-0000-000039110000}"/>
    <cellStyle name="Normal 78 12 2" xfId="3336" xr:uid="{00000000-0005-0000-0000-00003A110000}"/>
    <cellStyle name="Normal 78 13" xfId="3337" xr:uid="{00000000-0005-0000-0000-00003B110000}"/>
    <cellStyle name="Normal 78 13 2" xfId="3338" xr:uid="{00000000-0005-0000-0000-00003C110000}"/>
    <cellStyle name="Normal 78 14" xfId="3339" xr:uid="{00000000-0005-0000-0000-00003D110000}"/>
    <cellStyle name="Normal 78 14 2" xfId="3340" xr:uid="{00000000-0005-0000-0000-00003E110000}"/>
    <cellStyle name="Normal 78 2" xfId="3341" xr:uid="{00000000-0005-0000-0000-00003F110000}"/>
    <cellStyle name="Normal 78 2 2" xfId="3342" xr:uid="{00000000-0005-0000-0000-000040110000}"/>
    <cellStyle name="Normal 78 2 2 2" xfId="3343" xr:uid="{00000000-0005-0000-0000-000041110000}"/>
    <cellStyle name="Normal 78 2 3" xfId="3344" xr:uid="{00000000-0005-0000-0000-000042110000}"/>
    <cellStyle name="Normal 78 3" xfId="3345" xr:uid="{00000000-0005-0000-0000-000043110000}"/>
    <cellStyle name="Normal 78 3 2" xfId="3346" xr:uid="{00000000-0005-0000-0000-000044110000}"/>
    <cellStyle name="Normal 78 3 2 2" xfId="3347" xr:uid="{00000000-0005-0000-0000-000045110000}"/>
    <cellStyle name="Normal 78 3 3" xfId="3348" xr:uid="{00000000-0005-0000-0000-000046110000}"/>
    <cellStyle name="Normal 78 4" xfId="3349" xr:uid="{00000000-0005-0000-0000-000047110000}"/>
    <cellStyle name="Normal 78 4 2" xfId="3350" xr:uid="{00000000-0005-0000-0000-000048110000}"/>
    <cellStyle name="Normal 78 4 2 2" xfId="3351" xr:uid="{00000000-0005-0000-0000-000049110000}"/>
    <cellStyle name="Normal 78 4 3" xfId="3352" xr:uid="{00000000-0005-0000-0000-00004A110000}"/>
    <cellStyle name="Normal 78 5" xfId="3353" xr:uid="{00000000-0005-0000-0000-00004B110000}"/>
    <cellStyle name="Normal 78 5 2" xfId="3354" xr:uid="{00000000-0005-0000-0000-00004C110000}"/>
    <cellStyle name="Normal 78 5 2 2" xfId="3355" xr:uid="{00000000-0005-0000-0000-00004D110000}"/>
    <cellStyle name="Normal 78 5 3" xfId="3356" xr:uid="{00000000-0005-0000-0000-00004E110000}"/>
    <cellStyle name="Normal 78 6" xfId="3357" xr:uid="{00000000-0005-0000-0000-00004F110000}"/>
    <cellStyle name="Normal 78 6 2" xfId="3358" xr:uid="{00000000-0005-0000-0000-000050110000}"/>
    <cellStyle name="Normal 78 6 2 2" xfId="3359" xr:uid="{00000000-0005-0000-0000-000051110000}"/>
    <cellStyle name="Normal 78 6 3" xfId="3360" xr:uid="{00000000-0005-0000-0000-000052110000}"/>
    <cellStyle name="Normal 78 7" xfId="3361" xr:uid="{00000000-0005-0000-0000-000053110000}"/>
    <cellStyle name="Normal 78 7 2" xfId="3362" xr:uid="{00000000-0005-0000-0000-000054110000}"/>
    <cellStyle name="Normal 78 7 2 2" xfId="3363" xr:uid="{00000000-0005-0000-0000-000055110000}"/>
    <cellStyle name="Normal 78 7 3" xfId="3364" xr:uid="{00000000-0005-0000-0000-000056110000}"/>
    <cellStyle name="Normal 78 8" xfId="3365" xr:uid="{00000000-0005-0000-0000-000057110000}"/>
    <cellStyle name="Normal 78 8 2" xfId="3366" xr:uid="{00000000-0005-0000-0000-000058110000}"/>
    <cellStyle name="Normal 78 9" xfId="3367" xr:uid="{00000000-0005-0000-0000-000059110000}"/>
    <cellStyle name="Normal 78 9 2" xfId="3368" xr:uid="{00000000-0005-0000-0000-00005A110000}"/>
    <cellStyle name="Normal 79 10" xfId="3369" xr:uid="{00000000-0005-0000-0000-00005B110000}"/>
    <cellStyle name="Normal 79 10 2" xfId="3370" xr:uid="{00000000-0005-0000-0000-00005C110000}"/>
    <cellStyle name="Normal 79 11" xfId="3371" xr:uid="{00000000-0005-0000-0000-00005D110000}"/>
    <cellStyle name="Normal 79 11 2" xfId="3372" xr:uid="{00000000-0005-0000-0000-00005E110000}"/>
    <cellStyle name="Normal 79 12" xfId="3373" xr:uid="{00000000-0005-0000-0000-00005F110000}"/>
    <cellStyle name="Normal 79 12 2" xfId="3374" xr:uid="{00000000-0005-0000-0000-000060110000}"/>
    <cellStyle name="Normal 79 13" xfId="3375" xr:uid="{00000000-0005-0000-0000-000061110000}"/>
    <cellStyle name="Normal 79 13 2" xfId="3376" xr:uid="{00000000-0005-0000-0000-000062110000}"/>
    <cellStyle name="Normal 79 14" xfId="3377" xr:uid="{00000000-0005-0000-0000-000063110000}"/>
    <cellStyle name="Normal 79 14 2" xfId="3378" xr:uid="{00000000-0005-0000-0000-000064110000}"/>
    <cellStyle name="Normal 79 2" xfId="3379" xr:uid="{00000000-0005-0000-0000-000065110000}"/>
    <cellStyle name="Normal 79 2 2" xfId="3380" xr:uid="{00000000-0005-0000-0000-000066110000}"/>
    <cellStyle name="Normal 79 2 2 2" xfId="3381" xr:uid="{00000000-0005-0000-0000-000067110000}"/>
    <cellStyle name="Normal 79 2 3" xfId="3382" xr:uid="{00000000-0005-0000-0000-000068110000}"/>
    <cellStyle name="Normal 79 3" xfId="3383" xr:uid="{00000000-0005-0000-0000-000069110000}"/>
    <cellStyle name="Normal 79 3 2" xfId="3384" xr:uid="{00000000-0005-0000-0000-00006A110000}"/>
    <cellStyle name="Normal 79 3 2 2" xfId="3385" xr:uid="{00000000-0005-0000-0000-00006B110000}"/>
    <cellStyle name="Normal 79 3 3" xfId="3386" xr:uid="{00000000-0005-0000-0000-00006C110000}"/>
    <cellStyle name="Normal 79 4" xfId="3387" xr:uid="{00000000-0005-0000-0000-00006D110000}"/>
    <cellStyle name="Normal 79 4 2" xfId="3388" xr:uid="{00000000-0005-0000-0000-00006E110000}"/>
    <cellStyle name="Normal 79 4 2 2" xfId="3389" xr:uid="{00000000-0005-0000-0000-00006F110000}"/>
    <cellStyle name="Normal 79 4 3" xfId="3390" xr:uid="{00000000-0005-0000-0000-000070110000}"/>
    <cellStyle name="Normal 79 5" xfId="3391" xr:uid="{00000000-0005-0000-0000-000071110000}"/>
    <cellStyle name="Normal 79 5 2" xfId="3392" xr:uid="{00000000-0005-0000-0000-000072110000}"/>
    <cellStyle name="Normal 79 5 2 2" xfId="3393" xr:uid="{00000000-0005-0000-0000-000073110000}"/>
    <cellStyle name="Normal 79 5 3" xfId="3394" xr:uid="{00000000-0005-0000-0000-000074110000}"/>
    <cellStyle name="Normal 79 6" xfId="3395" xr:uid="{00000000-0005-0000-0000-000075110000}"/>
    <cellStyle name="Normal 79 6 2" xfId="3396" xr:uid="{00000000-0005-0000-0000-000076110000}"/>
    <cellStyle name="Normal 79 6 2 2" xfId="3397" xr:uid="{00000000-0005-0000-0000-000077110000}"/>
    <cellStyle name="Normal 79 6 3" xfId="3398" xr:uid="{00000000-0005-0000-0000-000078110000}"/>
    <cellStyle name="Normal 79 7" xfId="3399" xr:uid="{00000000-0005-0000-0000-000079110000}"/>
    <cellStyle name="Normal 79 7 2" xfId="3400" xr:uid="{00000000-0005-0000-0000-00007A110000}"/>
    <cellStyle name="Normal 79 7 2 2" xfId="3401" xr:uid="{00000000-0005-0000-0000-00007B110000}"/>
    <cellStyle name="Normal 79 7 3" xfId="3402" xr:uid="{00000000-0005-0000-0000-00007C110000}"/>
    <cellStyle name="Normal 79 8" xfId="3403" xr:uid="{00000000-0005-0000-0000-00007D110000}"/>
    <cellStyle name="Normal 79 8 2" xfId="3404" xr:uid="{00000000-0005-0000-0000-00007E110000}"/>
    <cellStyle name="Normal 79 9" xfId="3405" xr:uid="{00000000-0005-0000-0000-00007F110000}"/>
    <cellStyle name="Normal 79 9 2" xfId="3406" xr:uid="{00000000-0005-0000-0000-000080110000}"/>
    <cellStyle name="Normal 8" xfId="3407" xr:uid="{00000000-0005-0000-0000-000081110000}"/>
    <cellStyle name="Normal 8 2" xfId="3408" xr:uid="{00000000-0005-0000-0000-000082110000}"/>
    <cellStyle name="Normal 8 2 2" xfId="3409" xr:uid="{00000000-0005-0000-0000-000083110000}"/>
    <cellStyle name="Normal 8 2 2 2" xfId="3410" xr:uid="{00000000-0005-0000-0000-000084110000}"/>
    <cellStyle name="Normal 8 2 2 2 2" xfId="4304" xr:uid="{00000000-0005-0000-0000-000085110000}"/>
    <cellStyle name="Normal 8 2 2 2 2 2" xfId="4857" xr:uid="{00000000-0005-0000-0000-000086110000}"/>
    <cellStyle name="Normal 8 2 2 2 3" xfId="4748" xr:uid="{00000000-0005-0000-0000-000087110000}"/>
    <cellStyle name="Normal 8 2 2 3" xfId="4303" xr:uid="{00000000-0005-0000-0000-000088110000}"/>
    <cellStyle name="Normal 8 2 2 3 2" xfId="4934" xr:uid="{00000000-0005-0000-0000-000089110000}"/>
    <cellStyle name="Normal 8 2 2 4" xfId="4747" xr:uid="{00000000-0005-0000-0000-00008A110000}"/>
    <cellStyle name="Normal 8 2 3" xfId="3411" xr:uid="{00000000-0005-0000-0000-00008B110000}"/>
    <cellStyle name="Normal 8 2 3 2" xfId="4305" xr:uid="{00000000-0005-0000-0000-00008C110000}"/>
    <cellStyle name="Normal 8 2 3 2 2" xfId="4895" xr:uid="{00000000-0005-0000-0000-00008D110000}"/>
    <cellStyle name="Normal 8 2 3 3" xfId="4749" xr:uid="{00000000-0005-0000-0000-00008E110000}"/>
    <cellStyle name="Normal 8 2 4" xfId="4302" xr:uid="{00000000-0005-0000-0000-00008F110000}"/>
    <cellStyle name="Normal 8 2 4 2" xfId="4970" xr:uid="{00000000-0005-0000-0000-000090110000}"/>
    <cellStyle name="Normal 8 2 5" xfId="4746" xr:uid="{00000000-0005-0000-0000-000091110000}"/>
    <cellStyle name="Normal 8 3" xfId="3412" xr:uid="{00000000-0005-0000-0000-000092110000}"/>
    <cellStyle name="Normal 8 3 2" xfId="3413" xr:uid="{00000000-0005-0000-0000-000093110000}"/>
    <cellStyle name="Normal 8 3 2 2" xfId="4307" xr:uid="{00000000-0005-0000-0000-000094110000}"/>
    <cellStyle name="Normal 8 3 2 2 2" xfId="4870" xr:uid="{00000000-0005-0000-0000-000095110000}"/>
    <cellStyle name="Normal 8 3 2 3" xfId="4751" xr:uid="{00000000-0005-0000-0000-000096110000}"/>
    <cellStyle name="Normal 8 3 3" xfId="4306" xr:uid="{00000000-0005-0000-0000-000097110000}"/>
    <cellStyle name="Normal 8 3 3 2" xfId="4947" xr:uid="{00000000-0005-0000-0000-000098110000}"/>
    <cellStyle name="Normal 8 3 4" xfId="4750" xr:uid="{00000000-0005-0000-0000-000099110000}"/>
    <cellStyle name="Normal 8 4" xfId="3414" xr:uid="{00000000-0005-0000-0000-00009A110000}"/>
    <cellStyle name="Normal 8 4 2" xfId="4308" xr:uid="{00000000-0005-0000-0000-00009B110000}"/>
    <cellStyle name="Normal 8 4 2 2" xfId="4907" xr:uid="{00000000-0005-0000-0000-00009C110000}"/>
    <cellStyle name="Normal 8 4 3" xfId="4752" xr:uid="{00000000-0005-0000-0000-00009D110000}"/>
    <cellStyle name="Normal 8 5" xfId="3415" xr:uid="{00000000-0005-0000-0000-00009E110000}"/>
    <cellStyle name="Normal 8 5 2" xfId="4425" xr:uid="{00000000-0005-0000-0000-00009F110000}"/>
    <cellStyle name="Normal 8 5 2 2" xfId="4982" xr:uid="{00000000-0005-0000-0000-0000A0110000}"/>
    <cellStyle name="Normal 8 6" xfId="4301" xr:uid="{00000000-0005-0000-0000-0000A1110000}"/>
    <cellStyle name="Normal 8 6 2" xfId="5178" xr:uid="{00000000-0005-0000-0000-0000A2110000}"/>
    <cellStyle name="Normal 8 7" xfId="4745" xr:uid="{00000000-0005-0000-0000-0000A3110000}"/>
    <cellStyle name="Normal 80 10" xfId="3416" xr:uid="{00000000-0005-0000-0000-0000A4110000}"/>
    <cellStyle name="Normal 80 10 2" xfId="3417" xr:uid="{00000000-0005-0000-0000-0000A5110000}"/>
    <cellStyle name="Normal 80 11" xfId="3418" xr:uid="{00000000-0005-0000-0000-0000A6110000}"/>
    <cellStyle name="Normal 80 11 2" xfId="3419" xr:uid="{00000000-0005-0000-0000-0000A7110000}"/>
    <cellStyle name="Normal 80 12" xfId="3420" xr:uid="{00000000-0005-0000-0000-0000A8110000}"/>
    <cellStyle name="Normal 80 12 2" xfId="3421" xr:uid="{00000000-0005-0000-0000-0000A9110000}"/>
    <cellStyle name="Normal 80 13" xfId="3422" xr:uid="{00000000-0005-0000-0000-0000AA110000}"/>
    <cellStyle name="Normal 80 13 2" xfId="3423" xr:uid="{00000000-0005-0000-0000-0000AB110000}"/>
    <cellStyle name="Normal 80 14" xfId="3424" xr:uid="{00000000-0005-0000-0000-0000AC110000}"/>
    <cellStyle name="Normal 80 14 2" xfId="3425" xr:uid="{00000000-0005-0000-0000-0000AD110000}"/>
    <cellStyle name="Normal 80 2" xfId="3426" xr:uid="{00000000-0005-0000-0000-0000AE110000}"/>
    <cellStyle name="Normal 80 2 2" xfId="3427" xr:uid="{00000000-0005-0000-0000-0000AF110000}"/>
    <cellStyle name="Normal 80 2 2 2" xfId="3428" xr:uid="{00000000-0005-0000-0000-0000B0110000}"/>
    <cellStyle name="Normal 80 2 3" xfId="3429" xr:uid="{00000000-0005-0000-0000-0000B1110000}"/>
    <cellStyle name="Normal 80 3" xfId="3430" xr:uid="{00000000-0005-0000-0000-0000B2110000}"/>
    <cellStyle name="Normal 80 3 2" xfId="3431" xr:uid="{00000000-0005-0000-0000-0000B3110000}"/>
    <cellStyle name="Normal 80 3 2 2" xfId="3432" xr:uid="{00000000-0005-0000-0000-0000B4110000}"/>
    <cellStyle name="Normal 80 3 3" xfId="3433" xr:uid="{00000000-0005-0000-0000-0000B5110000}"/>
    <cellStyle name="Normal 80 4" xfId="3434" xr:uid="{00000000-0005-0000-0000-0000B6110000}"/>
    <cellStyle name="Normal 80 4 2" xfId="3435" xr:uid="{00000000-0005-0000-0000-0000B7110000}"/>
    <cellStyle name="Normal 80 4 2 2" xfId="3436" xr:uid="{00000000-0005-0000-0000-0000B8110000}"/>
    <cellStyle name="Normal 80 4 3" xfId="3437" xr:uid="{00000000-0005-0000-0000-0000B9110000}"/>
    <cellStyle name="Normal 80 5" xfId="3438" xr:uid="{00000000-0005-0000-0000-0000BA110000}"/>
    <cellStyle name="Normal 80 5 2" xfId="3439" xr:uid="{00000000-0005-0000-0000-0000BB110000}"/>
    <cellStyle name="Normal 80 5 2 2" xfId="3440" xr:uid="{00000000-0005-0000-0000-0000BC110000}"/>
    <cellStyle name="Normal 80 5 3" xfId="3441" xr:uid="{00000000-0005-0000-0000-0000BD110000}"/>
    <cellStyle name="Normal 80 6" xfId="3442" xr:uid="{00000000-0005-0000-0000-0000BE110000}"/>
    <cellStyle name="Normal 80 6 2" xfId="3443" xr:uid="{00000000-0005-0000-0000-0000BF110000}"/>
    <cellStyle name="Normal 80 6 2 2" xfId="3444" xr:uid="{00000000-0005-0000-0000-0000C0110000}"/>
    <cellStyle name="Normal 80 6 3" xfId="3445" xr:uid="{00000000-0005-0000-0000-0000C1110000}"/>
    <cellStyle name="Normal 80 7" xfId="3446" xr:uid="{00000000-0005-0000-0000-0000C2110000}"/>
    <cellStyle name="Normal 80 7 2" xfId="3447" xr:uid="{00000000-0005-0000-0000-0000C3110000}"/>
    <cellStyle name="Normal 80 7 2 2" xfId="3448" xr:uid="{00000000-0005-0000-0000-0000C4110000}"/>
    <cellStyle name="Normal 80 7 3" xfId="3449" xr:uid="{00000000-0005-0000-0000-0000C5110000}"/>
    <cellStyle name="Normal 80 8" xfId="3450" xr:uid="{00000000-0005-0000-0000-0000C6110000}"/>
    <cellStyle name="Normal 80 8 2" xfId="3451" xr:uid="{00000000-0005-0000-0000-0000C7110000}"/>
    <cellStyle name="Normal 80 9" xfId="3452" xr:uid="{00000000-0005-0000-0000-0000C8110000}"/>
    <cellStyle name="Normal 80 9 2" xfId="3453" xr:uid="{00000000-0005-0000-0000-0000C9110000}"/>
    <cellStyle name="Normal 81 10" xfId="3454" xr:uid="{00000000-0005-0000-0000-0000CA110000}"/>
    <cellStyle name="Normal 81 10 2" xfId="3455" xr:uid="{00000000-0005-0000-0000-0000CB110000}"/>
    <cellStyle name="Normal 81 11" xfId="3456" xr:uid="{00000000-0005-0000-0000-0000CC110000}"/>
    <cellStyle name="Normal 81 11 2" xfId="3457" xr:uid="{00000000-0005-0000-0000-0000CD110000}"/>
    <cellStyle name="Normal 81 12" xfId="3458" xr:uid="{00000000-0005-0000-0000-0000CE110000}"/>
    <cellStyle name="Normal 81 12 2" xfId="3459" xr:uid="{00000000-0005-0000-0000-0000CF110000}"/>
    <cellStyle name="Normal 81 13" xfId="3460" xr:uid="{00000000-0005-0000-0000-0000D0110000}"/>
    <cellStyle name="Normal 81 13 2" xfId="3461" xr:uid="{00000000-0005-0000-0000-0000D1110000}"/>
    <cellStyle name="Normal 81 14" xfId="3462" xr:uid="{00000000-0005-0000-0000-0000D2110000}"/>
    <cellStyle name="Normal 81 14 2" xfId="3463" xr:uid="{00000000-0005-0000-0000-0000D3110000}"/>
    <cellStyle name="Normal 81 2" xfId="3464" xr:uid="{00000000-0005-0000-0000-0000D4110000}"/>
    <cellStyle name="Normal 81 2 2" xfId="3465" xr:uid="{00000000-0005-0000-0000-0000D5110000}"/>
    <cellStyle name="Normal 81 2 2 2" xfId="3466" xr:uid="{00000000-0005-0000-0000-0000D6110000}"/>
    <cellStyle name="Normal 81 2 3" xfId="3467" xr:uid="{00000000-0005-0000-0000-0000D7110000}"/>
    <cellStyle name="Normal 81 3" xfId="3468" xr:uid="{00000000-0005-0000-0000-0000D8110000}"/>
    <cellStyle name="Normal 81 3 2" xfId="3469" xr:uid="{00000000-0005-0000-0000-0000D9110000}"/>
    <cellStyle name="Normal 81 3 2 2" xfId="3470" xr:uid="{00000000-0005-0000-0000-0000DA110000}"/>
    <cellStyle name="Normal 81 3 3" xfId="3471" xr:uid="{00000000-0005-0000-0000-0000DB110000}"/>
    <cellStyle name="Normal 81 4" xfId="3472" xr:uid="{00000000-0005-0000-0000-0000DC110000}"/>
    <cellStyle name="Normal 81 4 2" xfId="3473" xr:uid="{00000000-0005-0000-0000-0000DD110000}"/>
    <cellStyle name="Normal 81 4 2 2" xfId="3474" xr:uid="{00000000-0005-0000-0000-0000DE110000}"/>
    <cellStyle name="Normal 81 4 3" xfId="3475" xr:uid="{00000000-0005-0000-0000-0000DF110000}"/>
    <cellStyle name="Normal 81 5" xfId="3476" xr:uid="{00000000-0005-0000-0000-0000E0110000}"/>
    <cellStyle name="Normal 81 5 2" xfId="3477" xr:uid="{00000000-0005-0000-0000-0000E1110000}"/>
    <cellStyle name="Normal 81 5 2 2" xfId="3478" xr:uid="{00000000-0005-0000-0000-0000E2110000}"/>
    <cellStyle name="Normal 81 5 3" xfId="3479" xr:uid="{00000000-0005-0000-0000-0000E3110000}"/>
    <cellStyle name="Normal 81 6" xfId="3480" xr:uid="{00000000-0005-0000-0000-0000E4110000}"/>
    <cellStyle name="Normal 81 6 2" xfId="3481" xr:uid="{00000000-0005-0000-0000-0000E5110000}"/>
    <cellStyle name="Normal 81 6 2 2" xfId="3482" xr:uid="{00000000-0005-0000-0000-0000E6110000}"/>
    <cellStyle name="Normal 81 6 3" xfId="3483" xr:uid="{00000000-0005-0000-0000-0000E7110000}"/>
    <cellStyle name="Normal 81 7" xfId="3484" xr:uid="{00000000-0005-0000-0000-0000E8110000}"/>
    <cellStyle name="Normal 81 7 2" xfId="3485" xr:uid="{00000000-0005-0000-0000-0000E9110000}"/>
    <cellStyle name="Normal 81 7 2 2" xfId="3486" xr:uid="{00000000-0005-0000-0000-0000EA110000}"/>
    <cellStyle name="Normal 81 7 3" xfId="3487" xr:uid="{00000000-0005-0000-0000-0000EB110000}"/>
    <cellStyle name="Normal 81 8" xfId="3488" xr:uid="{00000000-0005-0000-0000-0000EC110000}"/>
    <cellStyle name="Normal 81 8 2" xfId="3489" xr:uid="{00000000-0005-0000-0000-0000ED110000}"/>
    <cellStyle name="Normal 81 9" xfId="3490" xr:uid="{00000000-0005-0000-0000-0000EE110000}"/>
    <cellStyle name="Normal 81 9 2" xfId="3491" xr:uid="{00000000-0005-0000-0000-0000EF110000}"/>
    <cellStyle name="Normal 82 2" xfId="3492" xr:uid="{00000000-0005-0000-0000-0000F0110000}"/>
    <cellStyle name="Normal 82 2 2" xfId="3493" xr:uid="{00000000-0005-0000-0000-0000F1110000}"/>
    <cellStyle name="Normal 82 2 2 2" xfId="3494" xr:uid="{00000000-0005-0000-0000-0000F2110000}"/>
    <cellStyle name="Normal 82 2 3" xfId="3495" xr:uid="{00000000-0005-0000-0000-0000F3110000}"/>
    <cellStyle name="Normal 82 3" xfId="3496" xr:uid="{00000000-0005-0000-0000-0000F4110000}"/>
    <cellStyle name="Normal 82 3 2" xfId="3497" xr:uid="{00000000-0005-0000-0000-0000F5110000}"/>
    <cellStyle name="Normal 82 3 2 2" xfId="3498" xr:uid="{00000000-0005-0000-0000-0000F6110000}"/>
    <cellStyle name="Normal 82 3 3" xfId="3499" xr:uid="{00000000-0005-0000-0000-0000F7110000}"/>
    <cellStyle name="Normal 82 4" xfId="3500" xr:uid="{00000000-0005-0000-0000-0000F8110000}"/>
    <cellStyle name="Normal 82 4 2" xfId="3501" xr:uid="{00000000-0005-0000-0000-0000F9110000}"/>
    <cellStyle name="Normal 82 4 2 2" xfId="3502" xr:uid="{00000000-0005-0000-0000-0000FA110000}"/>
    <cellStyle name="Normal 82 4 3" xfId="3503" xr:uid="{00000000-0005-0000-0000-0000FB110000}"/>
    <cellStyle name="Normal 82 5" xfId="3504" xr:uid="{00000000-0005-0000-0000-0000FC110000}"/>
    <cellStyle name="Normal 82 5 2" xfId="3505" xr:uid="{00000000-0005-0000-0000-0000FD110000}"/>
    <cellStyle name="Normal 82 5 2 2" xfId="3506" xr:uid="{00000000-0005-0000-0000-0000FE110000}"/>
    <cellStyle name="Normal 82 5 3" xfId="3507" xr:uid="{00000000-0005-0000-0000-0000FF110000}"/>
    <cellStyle name="Normal 83 10" xfId="3508" xr:uid="{00000000-0005-0000-0000-000000120000}"/>
    <cellStyle name="Normal 83 10 2" xfId="3509" xr:uid="{00000000-0005-0000-0000-000001120000}"/>
    <cellStyle name="Normal 83 11" xfId="3510" xr:uid="{00000000-0005-0000-0000-000002120000}"/>
    <cellStyle name="Normal 83 11 2" xfId="3511" xr:uid="{00000000-0005-0000-0000-000003120000}"/>
    <cellStyle name="Normal 83 12" xfId="3512" xr:uid="{00000000-0005-0000-0000-000004120000}"/>
    <cellStyle name="Normal 83 12 2" xfId="3513" xr:uid="{00000000-0005-0000-0000-000005120000}"/>
    <cellStyle name="Normal 83 2" xfId="3514" xr:uid="{00000000-0005-0000-0000-000006120000}"/>
    <cellStyle name="Normal 83 2 2" xfId="3515" xr:uid="{00000000-0005-0000-0000-000007120000}"/>
    <cellStyle name="Normal 83 2 2 2" xfId="3516" xr:uid="{00000000-0005-0000-0000-000008120000}"/>
    <cellStyle name="Normal 83 2 3" xfId="3517" xr:uid="{00000000-0005-0000-0000-000009120000}"/>
    <cellStyle name="Normal 83 3" xfId="3518" xr:uid="{00000000-0005-0000-0000-00000A120000}"/>
    <cellStyle name="Normal 83 3 2" xfId="3519" xr:uid="{00000000-0005-0000-0000-00000B120000}"/>
    <cellStyle name="Normal 83 3 2 2" xfId="3520" xr:uid="{00000000-0005-0000-0000-00000C120000}"/>
    <cellStyle name="Normal 83 3 3" xfId="3521" xr:uid="{00000000-0005-0000-0000-00000D120000}"/>
    <cellStyle name="Normal 83 4" xfId="3522" xr:uid="{00000000-0005-0000-0000-00000E120000}"/>
    <cellStyle name="Normal 83 4 2" xfId="3523" xr:uid="{00000000-0005-0000-0000-00000F120000}"/>
    <cellStyle name="Normal 83 4 2 2" xfId="3524" xr:uid="{00000000-0005-0000-0000-000010120000}"/>
    <cellStyle name="Normal 83 4 3" xfId="3525" xr:uid="{00000000-0005-0000-0000-000011120000}"/>
    <cellStyle name="Normal 83 5" xfId="3526" xr:uid="{00000000-0005-0000-0000-000012120000}"/>
    <cellStyle name="Normal 83 5 2" xfId="3527" xr:uid="{00000000-0005-0000-0000-000013120000}"/>
    <cellStyle name="Normal 83 5 2 2" xfId="3528" xr:uid="{00000000-0005-0000-0000-000014120000}"/>
    <cellStyle name="Normal 83 5 3" xfId="3529" xr:uid="{00000000-0005-0000-0000-000015120000}"/>
    <cellStyle name="Normal 83 6" xfId="3530" xr:uid="{00000000-0005-0000-0000-000016120000}"/>
    <cellStyle name="Normal 83 6 2" xfId="3531" xr:uid="{00000000-0005-0000-0000-000017120000}"/>
    <cellStyle name="Normal 83 7" xfId="3532" xr:uid="{00000000-0005-0000-0000-000018120000}"/>
    <cellStyle name="Normal 83 7 2" xfId="3533" xr:uid="{00000000-0005-0000-0000-000019120000}"/>
    <cellStyle name="Normal 83 8" xfId="3534" xr:uid="{00000000-0005-0000-0000-00001A120000}"/>
    <cellStyle name="Normal 83 8 2" xfId="3535" xr:uid="{00000000-0005-0000-0000-00001B120000}"/>
    <cellStyle name="Normal 83 9" xfId="3536" xr:uid="{00000000-0005-0000-0000-00001C120000}"/>
    <cellStyle name="Normal 83 9 2" xfId="3537" xr:uid="{00000000-0005-0000-0000-00001D120000}"/>
    <cellStyle name="Normal 84 10" xfId="3538" xr:uid="{00000000-0005-0000-0000-00001E120000}"/>
    <cellStyle name="Normal 84 10 2" xfId="3539" xr:uid="{00000000-0005-0000-0000-00001F120000}"/>
    <cellStyle name="Normal 84 11" xfId="3540" xr:uid="{00000000-0005-0000-0000-000020120000}"/>
    <cellStyle name="Normal 84 11 2" xfId="3541" xr:uid="{00000000-0005-0000-0000-000021120000}"/>
    <cellStyle name="Normal 84 12" xfId="3542" xr:uid="{00000000-0005-0000-0000-000022120000}"/>
    <cellStyle name="Normal 84 12 2" xfId="3543" xr:uid="{00000000-0005-0000-0000-000023120000}"/>
    <cellStyle name="Normal 84 2" xfId="3544" xr:uid="{00000000-0005-0000-0000-000024120000}"/>
    <cellStyle name="Normal 84 2 2" xfId="3545" xr:uid="{00000000-0005-0000-0000-000025120000}"/>
    <cellStyle name="Normal 84 2 2 2" xfId="3546" xr:uid="{00000000-0005-0000-0000-000026120000}"/>
    <cellStyle name="Normal 84 2 3" xfId="3547" xr:uid="{00000000-0005-0000-0000-000027120000}"/>
    <cellStyle name="Normal 84 3" xfId="3548" xr:uid="{00000000-0005-0000-0000-000028120000}"/>
    <cellStyle name="Normal 84 3 2" xfId="3549" xr:uid="{00000000-0005-0000-0000-000029120000}"/>
    <cellStyle name="Normal 84 3 2 2" xfId="3550" xr:uid="{00000000-0005-0000-0000-00002A120000}"/>
    <cellStyle name="Normal 84 3 3" xfId="3551" xr:uid="{00000000-0005-0000-0000-00002B120000}"/>
    <cellStyle name="Normal 84 4" xfId="3552" xr:uid="{00000000-0005-0000-0000-00002C120000}"/>
    <cellStyle name="Normal 84 4 2" xfId="3553" xr:uid="{00000000-0005-0000-0000-00002D120000}"/>
    <cellStyle name="Normal 84 4 2 2" xfId="3554" xr:uid="{00000000-0005-0000-0000-00002E120000}"/>
    <cellStyle name="Normal 84 4 3" xfId="3555" xr:uid="{00000000-0005-0000-0000-00002F120000}"/>
    <cellStyle name="Normal 84 5" xfId="3556" xr:uid="{00000000-0005-0000-0000-000030120000}"/>
    <cellStyle name="Normal 84 5 2" xfId="3557" xr:uid="{00000000-0005-0000-0000-000031120000}"/>
    <cellStyle name="Normal 84 5 2 2" xfId="3558" xr:uid="{00000000-0005-0000-0000-000032120000}"/>
    <cellStyle name="Normal 84 5 3" xfId="3559" xr:uid="{00000000-0005-0000-0000-000033120000}"/>
    <cellStyle name="Normal 84 6" xfId="3560" xr:uid="{00000000-0005-0000-0000-000034120000}"/>
    <cellStyle name="Normal 84 6 2" xfId="3561" xr:uid="{00000000-0005-0000-0000-000035120000}"/>
    <cellStyle name="Normal 84 7" xfId="3562" xr:uid="{00000000-0005-0000-0000-000036120000}"/>
    <cellStyle name="Normal 84 7 2" xfId="3563" xr:uid="{00000000-0005-0000-0000-000037120000}"/>
    <cellStyle name="Normal 84 8" xfId="3564" xr:uid="{00000000-0005-0000-0000-000038120000}"/>
    <cellStyle name="Normal 84 8 2" xfId="3565" xr:uid="{00000000-0005-0000-0000-000039120000}"/>
    <cellStyle name="Normal 84 9" xfId="3566" xr:uid="{00000000-0005-0000-0000-00003A120000}"/>
    <cellStyle name="Normal 84 9 2" xfId="3567" xr:uid="{00000000-0005-0000-0000-00003B120000}"/>
    <cellStyle name="Normal 85 2" xfId="3568" xr:uid="{00000000-0005-0000-0000-00003C120000}"/>
    <cellStyle name="Normal 85 2 2" xfId="3569" xr:uid="{00000000-0005-0000-0000-00003D120000}"/>
    <cellStyle name="Normal 85 2 2 2" xfId="3570" xr:uid="{00000000-0005-0000-0000-00003E120000}"/>
    <cellStyle name="Normal 85 2 3" xfId="3571" xr:uid="{00000000-0005-0000-0000-00003F120000}"/>
    <cellStyle name="Normal 85 3" xfId="3572" xr:uid="{00000000-0005-0000-0000-000040120000}"/>
    <cellStyle name="Normal 85 3 2" xfId="3573" xr:uid="{00000000-0005-0000-0000-000041120000}"/>
    <cellStyle name="Normal 85 3 2 2" xfId="3574" xr:uid="{00000000-0005-0000-0000-000042120000}"/>
    <cellStyle name="Normal 85 3 3" xfId="3575" xr:uid="{00000000-0005-0000-0000-000043120000}"/>
    <cellStyle name="Normal 86 10" xfId="3576" xr:uid="{00000000-0005-0000-0000-000044120000}"/>
    <cellStyle name="Normal 86 10 2" xfId="3577" xr:uid="{00000000-0005-0000-0000-000045120000}"/>
    <cellStyle name="Normal 86 2" xfId="3578" xr:uid="{00000000-0005-0000-0000-000046120000}"/>
    <cellStyle name="Normal 86 2 2" xfId="3579" xr:uid="{00000000-0005-0000-0000-000047120000}"/>
    <cellStyle name="Normal 86 2 2 2" xfId="3580" xr:uid="{00000000-0005-0000-0000-000048120000}"/>
    <cellStyle name="Normal 86 2 3" xfId="3581" xr:uid="{00000000-0005-0000-0000-000049120000}"/>
    <cellStyle name="Normal 86 3" xfId="3582" xr:uid="{00000000-0005-0000-0000-00004A120000}"/>
    <cellStyle name="Normal 86 3 2" xfId="3583" xr:uid="{00000000-0005-0000-0000-00004B120000}"/>
    <cellStyle name="Normal 86 3 2 2" xfId="3584" xr:uid="{00000000-0005-0000-0000-00004C120000}"/>
    <cellStyle name="Normal 86 3 3" xfId="3585" xr:uid="{00000000-0005-0000-0000-00004D120000}"/>
    <cellStyle name="Normal 86 4" xfId="3586" xr:uid="{00000000-0005-0000-0000-00004E120000}"/>
    <cellStyle name="Normal 86 4 2" xfId="3587" xr:uid="{00000000-0005-0000-0000-00004F120000}"/>
    <cellStyle name="Normal 86 5" xfId="3588" xr:uid="{00000000-0005-0000-0000-000050120000}"/>
    <cellStyle name="Normal 86 5 2" xfId="3589" xr:uid="{00000000-0005-0000-0000-000051120000}"/>
    <cellStyle name="Normal 86 6" xfId="3590" xr:uid="{00000000-0005-0000-0000-000052120000}"/>
    <cellStyle name="Normal 86 6 2" xfId="3591" xr:uid="{00000000-0005-0000-0000-000053120000}"/>
    <cellStyle name="Normal 86 7" xfId="3592" xr:uid="{00000000-0005-0000-0000-000054120000}"/>
    <cellStyle name="Normal 86 7 2" xfId="3593" xr:uid="{00000000-0005-0000-0000-000055120000}"/>
    <cellStyle name="Normal 86 8" xfId="3594" xr:uid="{00000000-0005-0000-0000-000056120000}"/>
    <cellStyle name="Normal 86 8 2" xfId="3595" xr:uid="{00000000-0005-0000-0000-000057120000}"/>
    <cellStyle name="Normal 86 9" xfId="3596" xr:uid="{00000000-0005-0000-0000-000058120000}"/>
    <cellStyle name="Normal 86 9 2" xfId="3597" xr:uid="{00000000-0005-0000-0000-000059120000}"/>
    <cellStyle name="Normal 87 10" xfId="3598" xr:uid="{00000000-0005-0000-0000-00005A120000}"/>
    <cellStyle name="Normal 87 10 2" xfId="3599" xr:uid="{00000000-0005-0000-0000-00005B120000}"/>
    <cellStyle name="Normal 87 2" xfId="3600" xr:uid="{00000000-0005-0000-0000-00005C120000}"/>
    <cellStyle name="Normal 87 2 2" xfId="3601" xr:uid="{00000000-0005-0000-0000-00005D120000}"/>
    <cellStyle name="Normal 87 2 2 2" xfId="3602" xr:uid="{00000000-0005-0000-0000-00005E120000}"/>
    <cellStyle name="Normal 87 2 3" xfId="3603" xr:uid="{00000000-0005-0000-0000-00005F120000}"/>
    <cellStyle name="Normal 87 3" xfId="3604" xr:uid="{00000000-0005-0000-0000-000060120000}"/>
    <cellStyle name="Normal 87 3 2" xfId="3605" xr:uid="{00000000-0005-0000-0000-000061120000}"/>
    <cellStyle name="Normal 87 3 2 2" xfId="3606" xr:uid="{00000000-0005-0000-0000-000062120000}"/>
    <cellStyle name="Normal 87 3 3" xfId="3607" xr:uid="{00000000-0005-0000-0000-000063120000}"/>
    <cellStyle name="Normal 87 4" xfId="3608" xr:uid="{00000000-0005-0000-0000-000064120000}"/>
    <cellStyle name="Normal 87 4 2" xfId="3609" xr:uid="{00000000-0005-0000-0000-000065120000}"/>
    <cellStyle name="Normal 87 5" xfId="3610" xr:uid="{00000000-0005-0000-0000-000066120000}"/>
    <cellStyle name="Normal 87 5 2" xfId="3611" xr:uid="{00000000-0005-0000-0000-000067120000}"/>
    <cellStyle name="Normal 87 6" xfId="3612" xr:uid="{00000000-0005-0000-0000-000068120000}"/>
    <cellStyle name="Normal 87 6 2" xfId="3613" xr:uid="{00000000-0005-0000-0000-000069120000}"/>
    <cellStyle name="Normal 87 7" xfId="3614" xr:uid="{00000000-0005-0000-0000-00006A120000}"/>
    <cellStyle name="Normal 87 7 2" xfId="3615" xr:uid="{00000000-0005-0000-0000-00006B120000}"/>
    <cellStyle name="Normal 87 8" xfId="3616" xr:uid="{00000000-0005-0000-0000-00006C120000}"/>
    <cellStyle name="Normal 87 8 2" xfId="3617" xr:uid="{00000000-0005-0000-0000-00006D120000}"/>
    <cellStyle name="Normal 87 9" xfId="3618" xr:uid="{00000000-0005-0000-0000-00006E120000}"/>
    <cellStyle name="Normal 87 9 2" xfId="3619" xr:uid="{00000000-0005-0000-0000-00006F120000}"/>
    <cellStyle name="Normal 88 10" xfId="3620" xr:uid="{00000000-0005-0000-0000-000070120000}"/>
    <cellStyle name="Normal 88 10 2" xfId="3621" xr:uid="{00000000-0005-0000-0000-000071120000}"/>
    <cellStyle name="Normal 88 2" xfId="3622" xr:uid="{00000000-0005-0000-0000-000072120000}"/>
    <cellStyle name="Normal 88 2 2" xfId="3623" xr:uid="{00000000-0005-0000-0000-000073120000}"/>
    <cellStyle name="Normal 88 2 2 2" xfId="3624" xr:uid="{00000000-0005-0000-0000-000074120000}"/>
    <cellStyle name="Normal 88 2 3" xfId="3625" xr:uid="{00000000-0005-0000-0000-000075120000}"/>
    <cellStyle name="Normal 88 3" xfId="3626" xr:uid="{00000000-0005-0000-0000-000076120000}"/>
    <cellStyle name="Normal 88 3 2" xfId="3627" xr:uid="{00000000-0005-0000-0000-000077120000}"/>
    <cellStyle name="Normal 88 3 2 2" xfId="3628" xr:uid="{00000000-0005-0000-0000-000078120000}"/>
    <cellStyle name="Normal 88 3 3" xfId="3629" xr:uid="{00000000-0005-0000-0000-000079120000}"/>
    <cellStyle name="Normal 88 4" xfId="3630" xr:uid="{00000000-0005-0000-0000-00007A120000}"/>
    <cellStyle name="Normal 88 4 2" xfId="3631" xr:uid="{00000000-0005-0000-0000-00007B120000}"/>
    <cellStyle name="Normal 88 5" xfId="3632" xr:uid="{00000000-0005-0000-0000-00007C120000}"/>
    <cellStyle name="Normal 88 5 2" xfId="3633" xr:uid="{00000000-0005-0000-0000-00007D120000}"/>
    <cellStyle name="Normal 88 6" xfId="3634" xr:uid="{00000000-0005-0000-0000-00007E120000}"/>
    <cellStyle name="Normal 88 6 2" xfId="3635" xr:uid="{00000000-0005-0000-0000-00007F120000}"/>
    <cellStyle name="Normal 88 7" xfId="3636" xr:uid="{00000000-0005-0000-0000-000080120000}"/>
    <cellStyle name="Normal 88 7 2" xfId="3637" xr:uid="{00000000-0005-0000-0000-000081120000}"/>
    <cellStyle name="Normal 88 8" xfId="3638" xr:uid="{00000000-0005-0000-0000-000082120000}"/>
    <cellStyle name="Normal 88 8 2" xfId="3639" xr:uid="{00000000-0005-0000-0000-000083120000}"/>
    <cellStyle name="Normal 88 9" xfId="3640" xr:uid="{00000000-0005-0000-0000-000084120000}"/>
    <cellStyle name="Normal 88 9 2" xfId="3641" xr:uid="{00000000-0005-0000-0000-000085120000}"/>
    <cellStyle name="Normal 89 10" xfId="3642" xr:uid="{00000000-0005-0000-0000-000086120000}"/>
    <cellStyle name="Normal 89 10 2" xfId="3643" xr:uid="{00000000-0005-0000-0000-000087120000}"/>
    <cellStyle name="Normal 89 2" xfId="3644" xr:uid="{00000000-0005-0000-0000-000088120000}"/>
    <cellStyle name="Normal 89 2 2" xfId="3645" xr:uid="{00000000-0005-0000-0000-000089120000}"/>
    <cellStyle name="Normal 89 2 2 2" xfId="3646" xr:uid="{00000000-0005-0000-0000-00008A120000}"/>
    <cellStyle name="Normal 89 2 3" xfId="3647" xr:uid="{00000000-0005-0000-0000-00008B120000}"/>
    <cellStyle name="Normal 89 3" xfId="3648" xr:uid="{00000000-0005-0000-0000-00008C120000}"/>
    <cellStyle name="Normal 89 3 2" xfId="3649" xr:uid="{00000000-0005-0000-0000-00008D120000}"/>
    <cellStyle name="Normal 89 3 2 2" xfId="3650" xr:uid="{00000000-0005-0000-0000-00008E120000}"/>
    <cellStyle name="Normal 89 3 3" xfId="3651" xr:uid="{00000000-0005-0000-0000-00008F120000}"/>
    <cellStyle name="Normal 89 4" xfId="3652" xr:uid="{00000000-0005-0000-0000-000090120000}"/>
    <cellStyle name="Normal 89 4 2" xfId="3653" xr:uid="{00000000-0005-0000-0000-000091120000}"/>
    <cellStyle name="Normal 89 5" xfId="3654" xr:uid="{00000000-0005-0000-0000-000092120000}"/>
    <cellStyle name="Normal 89 5 2" xfId="3655" xr:uid="{00000000-0005-0000-0000-000093120000}"/>
    <cellStyle name="Normal 89 6" xfId="3656" xr:uid="{00000000-0005-0000-0000-000094120000}"/>
    <cellStyle name="Normal 89 6 2" xfId="3657" xr:uid="{00000000-0005-0000-0000-000095120000}"/>
    <cellStyle name="Normal 89 7" xfId="3658" xr:uid="{00000000-0005-0000-0000-000096120000}"/>
    <cellStyle name="Normal 89 7 2" xfId="3659" xr:uid="{00000000-0005-0000-0000-000097120000}"/>
    <cellStyle name="Normal 89 8" xfId="3660" xr:uid="{00000000-0005-0000-0000-000098120000}"/>
    <cellStyle name="Normal 89 8 2" xfId="3661" xr:uid="{00000000-0005-0000-0000-000099120000}"/>
    <cellStyle name="Normal 89 9" xfId="3662" xr:uid="{00000000-0005-0000-0000-00009A120000}"/>
    <cellStyle name="Normal 89 9 2" xfId="3663" xr:uid="{00000000-0005-0000-0000-00009B120000}"/>
    <cellStyle name="Normal 9" xfId="3664" xr:uid="{00000000-0005-0000-0000-00009C120000}"/>
    <cellStyle name="Normal 9 10" xfId="3665" xr:uid="{00000000-0005-0000-0000-00009D120000}"/>
    <cellStyle name="Normal 9 10 2" xfId="3666" xr:uid="{00000000-0005-0000-0000-00009E120000}"/>
    <cellStyle name="Normal 9 10 2 2" xfId="3667" xr:uid="{00000000-0005-0000-0000-00009F120000}"/>
    <cellStyle name="Normal 9 10 3" xfId="3668" xr:uid="{00000000-0005-0000-0000-0000A0120000}"/>
    <cellStyle name="Normal 9 11" xfId="3669" xr:uid="{00000000-0005-0000-0000-0000A1120000}"/>
    <cellStyle name="Normal 9 11 2" xfId="3670" xr:uid="{00000000-0005-0000-0000-0000A2120000}"/>
    <cellStyle name="Normal 9 11 2 2" xfId="3671" xr:uid="{00000000-0005-0000-0000-0000A3120000}"/>
    <cellStyle name="Normal 9 11 3" xfId="3672" xr:uid="{00000000-0005-0000-0000-0000A4120000}"/>
    <cellStyle name="Normal 9 12" xfId="3673" xr:uid="{00000000-0005-0000-0000-0000A5120000}"/>
    <cellStyle name="Normal 9 12 2" xfId="3674" xr:uid="{00000000-0005-0000-0000-0000A6120000}"/>
    <cellStyle name="Normal 9 12 2 2" xfId="3675" xr:uid="{00000000-0005-0000-0000-0000A7120000}"/>
    <cellStyle name="Normal 9 12 3" xfId="3676" xr:uid="{00000000-0005-0000-0000-0000A8120000}"/>
    <cellStyle name="Normal 9 13" xfId="3677" xr:uid="{00000000-0005-0000-0000-0000A9120000}"/>
    <cellStyle name="Normal 9 13 2" xfId="3678" xr:uid="{00000000-0005-0000-0000-0000AA120000}"/>
    <cellStyle name="Normal 9 14" xfId="3679" xr:uid="{00000000-0005-0000-0000-0000AB120000}"/>
    <cellStyle name="Normal 9 14 2" xfId="3680" xr:uid="{00000000-0005-0000-0000-0000AC120000}"/>
    <cellStyle name="Normal 9 15" xfId="3681" xr:uid="{00000000-0005-0000-0000-0000AD120000}"/>
    <cellStyle name="Normal 9 15 2" xfId="3682" xr:uid="{00000000-0005-0000-0000-0000AE120000}"/>
    <cellStyle name="Normal 9 16" xfId="3683" xr:uid="{00000000-0005-0000-0000-0000AF120000}"/>
    <cellStyle name="Normal 9 16 2" xfId="3684" xr:uid="{00000000-0005-0000-0000-0000B0120000}"/>
    <cellStyle name="Normal 9 17" xfId="3685" xr:uid="{00000000-0005-0000-0000-0000B1120000}"/>
    <cellStyle name="Normal 9 17 2" xfId="3686" xr:uid="{00000000-0005-0000-0000-0000B2120000}"/>
    <cellStyle name="Normal 9 18" xfId="3687" xr:uid="{00000000-0005-0000-0000-0000B3120000}"/>
    <cellStyle name="Normal 9 18 2" xfId="3688" xr:uid="{00000000-0005-0000-0000-0000B4120000}"/>
    <cellStyle name="Normal 9 19" xfId="3689" xr:uid="{00000000-0005-0000-0000-0000B5120000}"/>
    <cellStyle name="Normal 9 19 2" xfId="3690" xr:uid="{00000000-0005-0000-0000-0000B6120000}"/>
    <cellStyle name="Normal 9 2" xfId="3691" xr:uid="{00000000-0005-0000-0000-0000B7120000}"/>
    <cellStyle name="Normal 9 2 2" xfId="3692" xr:uid="{00000000-0005-0000-0000-0000B8120000}"/>
    <cellStyle name="Normal 9 2 2 2" xfId="3693" xr:uid="{00000000-0005-0000-0000-0000B9120000}"/>
    <cellStyle name="Normal 9 2 3" xfId="3694" xr:uid="{00000000-0005-0000-0000-0000BA120000}"/>
    <cellStyle name="Normal 9 2 4" xfId="4384" xr:uid="{00000000-0005-0000-0000-0000BB120000}"/>
    <cellStyle name="Normal 9 3" xfId="3695" xr:uid="{00000000-0005-0000-0000-0000BC120000}"/>
    <cellStyle name="Normal 9 3 2" xfId="3696" xr:uid="{00000000-0005-0000-0000-0000BD120000}"/>
    <cellStyle name="Normal 9 3 2 2" xfId="3697" xr:uid="{00000000-0005-0000-0000-0000BE120000}"/>
    <cellStyle name="Normal 9 3 3" xfId="3698" xr:uid="{00000000-0005-0000-0000-0000BF120000}"/>
    <cellStyle name="Normal 9 4" xfId="3699" xr:uid="{00000000-0005-0000-0000-0000C0120000}"/>
    <cellStyle name="Normal 9 4 2" xfId="3700" xr:uid="{00000000-0005-0000-0000-0000C1120000}"/>
    <cellStyle name="Normal 9 4 2 2" xfId="3701" xr:uid="{00000000-0005-0000-0000-0000C2120000}"/>
    <cellStyle name="Normal 9 4 3" xfId="3702" xr:uid="{00000000-0005-0000-0000-0000C3120000}"/>
    <cellStyle name="Normal 9 5" xfId="3703" xr:uid="{00000000-0005-0000-0000-0000C4120000}"/>
    <cellStyle name="Normal 9 5 2" xfId="3704" xr:uid="{00000000-0005-0000-0000-0000C5120000}"/>
    <cellStyle name="Normal 9 5 2 2" xfId="3705" xr:uid="{00000000-0005-0000-0000-0000C6120000}"/>
    <cellStyle name="Normal 9 5 3" xfId="3706" xr:uid="{00000000-0005-0000-0000-0000C7120000}"/>
    <cellStyle name="Normal 9 6" xfId="3707" xr:uid="{00000000-0005-0000-0000-0000C8120000}"/>
    <cellStyle name="Normal 9 6 2" xfId="3708" xr:uid="{00000000-0005-0000-0000-0000C9120000}"/>
    <cellStyle name="Normal 9 6 2 2" xfId="3709" xr:uid="{00000000-0005-0000-0000-0000CA120000}"/>
    <cellStyle name="Normal 9 6 3" xfId="3710" xr:uid="{00000000-0005-0000-0000-0000CB120000}"/>
    <cellStyle name="Normal 9 7" xfId="3711" xr:uid="{00000000-0005-0000-0000-0000CC120000}"/>
    <cellStyle name="Normal 9 7 2" xfId="3712" xr:uid="{00000000-0005-0000-0000-0000CD120000}"/>
    <cellStyle name="Normal 9 7 2 2" xfId="3713" xr:uid="{00000000-0005-0000-0000-0000CE120000}"/>
    <cellStyle name="Normal 9 7 3" xfId="3714" xr:uid="{00000000-0005-0000-0000-0000CF120000}"/>
    <cellStyle name="Normal 9 8" xfId="3715" xr:uid="{00000000-0005-0000-0000-0000D0120000}"/>
    <cellStyle name="Normal 9 8 2" xfId="3716" xr:uid="{00000000-0005-0000-0000-0000D1120000}"/>
    <cellStyle name="Normal 9 8 2 2" xfId="3717" xr:uid="{00000000-0005-0000-0000-0000D2120000}"/>
    <cellStyle name="Normal 9 8 3" xfId="3718" xr:uid="{00000000-0005-0000-0000-0000D3120000}"/>
    <cellStyle name="Normal 9 9" xfId="3719" xr:uid="{00000000-0005-0000-0000-0000D4120000}"/>
    <cellStyle name="Normal 9 9 2" xfId="3720" xr:uid="{00000000-0005-0000-0000-0000D5120000}"/>
    <cellStyle name="Normal 9 9 2 2" xfId="3721" xr:uid="{00000000-0005-0000-0000-0000D6120000}"/>
    <cellStyle name="Normal 9 9 3" xfId="3722" xr:uid="{00000000-0005-0000-0000-0000D7120000}"/>
    <cellStyle name="Normal 90 2" xfId="3723" xr:uid="{00000000-0005-0000-0000-0000D8120000}"/>
    <cellStyle name="Normal 90 2 2" xfId="3724" xr:uid="{00000000-0005-0000-0000-0000D9120000}"/>
    <cellStyle name="Normal 90 2 2 2" xfId="3725" xr:uid="{00000000-0005-0000-0000-0000DA120000}"/>
    <cellStyle name="Normal 90 2 3" xfId="3726" xr:uid="{00000000-0005-0000-0000-0000DB120000}"/>
    <cellStyle name="Normal 90 3" xfId="3727" xr:uid="{00000000-0005-0000-0000-0000DC120000}"/>
    <cellStyle name="Normal 90 3 2" xfId="3728" xr:uid="{00000000-0005-0000-0000-0000DD120000}"/>
    <cellStyle name="Normal 90 4" xfId="3729" xr:uid="{00000000-0005-0000-0000-0000DE120000}"/>
    <cellStyle name="Normal 90 4 2" xfId="3730" xr:uid="{00000000-0005-0000-0000-0000DF120000}"/>
    <cellStyle name="Normal 90 5" xfId="3731" xr:uid="{00000000-0005-0000-0000-0000E0120000}"/>
    <cellStyle name="Normal 90 5 2" xfId="3732" xr:uid="{00000000-0005-0000-0000-0000E1120000}"/>
    <cellStyle name="Normal 90 6" xfId="3733" xr:uid="{00000000-0005-0000-0000-0000E2120000}"/>
    <cellStyle name="Normal 90 6 2" xfId="3734" xr:uid="{00000000-0005-0000-0000-0000E3120000}"/>
    <cellStyle name="Normal 90 7" xfId="3735" xr:uid="{00000000-0005-0000-0000-0000E4120000}"/>
    <cellStyle name="Normal 90 7 2" xfId="3736" xr:uid="{00000000-0005-0000-0000-0000E5120000}"/>
    <cellStyle name="Normal 90 8" xfId="3737" xr:uid="{00000000-0005-0000-0000-0000E6120000}"/>
    <cellStyle name="Normal 90 8 2" xfId="3738" xr:uid="{00000000-0005-0000-0000-0000E7120000}"/>
    <cellStyle name="Normal 90 9" xfId="3739" xr:uid="{00000000-0005-0000-0000-0000E8120000}"/>
    <cellStyle name="Normal 90 9 2" xfId="3740" xr:uid="{00000000-0005-0000-0000-0000E9120000}"/>
    <cellStyle name="Normal 91 2" xfId="3741" xr:uid="{00000000-0005-0000-0000-0000EA120000}"/>
    <cellStyle name="Normal 91 2 2" xfId="3742" xr:uid="{00000000-0005-0000-0000-0000EB120000}"/>
    <cellStyle name="Normal 91 2 2 2" xfId="3743" xr:uid="{00000000-0005-0000-0000-0000EC120000}"/>
    <cellStyle name="Normal 91 2 3" xfId="3744" xr:uid="{00000000-0005-0000-0000-0000ED120000}"/>
    <cellStyle name="Normal 91 3" xfId="3745" xr:uid="{00000000-0005-0000-0000-0000EE120000}"/>
    <cellStyle name="Normal 91 3 2" xfId="3746" xr:uid="{00000000-0005-0000-0000-0000EF120000}"/>
    <cellStyle name="Normal 91 4" xfId="3747" xr:uid="{00000000-0005-0000-0000-0000F0120000}"/>
    <cellStyle name="Normal 91 4 2" xfId="3748" xr:uid="{00000000-0005-0000-0000-0000F1120000}"/>
    <cellStyle name="Normal 91 5" xfId="3749" xr:uid="{00000000-0005-0000-0000-0000F2120000}"/>
    <cellStyle name="Normal 91 5 2" xfId="3750" xr:uid="{00000000-0005-0000-0000-0000F3120000}"/>
    <cellStyle name="Normal 91 6" xfId="3751" xr:uid="{00000000-0005-0000-0000-0000F4120000}"/>
    <cellStyle name="Normal 91 6 2" xfId="3752" xr:uid="{00000000-0005-0000-0000-0000F5120000}"/>
    <cellStyle name="Normal 91 7" xfId="3753" xr:uid="{00000000-0005-0000-0000-0000F6120000}"/>
    <cellStyle name="Normal 91 7 2" xfId="3754" xr:uid="{00000000-0005-0000-0000-0000F7120000}"/>
    <cellStyle name="Normal 91 8" xfId="3755" xr:uid="{00000000-0005-0000-0000-0000F8120000}"/>
    <cellStyle name="Normal 91 8 2" xfId="3756" xr:uid="{00000000-0005-0000-0000-0000F9120000}"/>
    <cellStyle name="Normal 91 9" xfId="3757" xr:uid="{00000000-0005-0000-0000-0000FA120000}"/>
    <cellStyle name="Normal 91 9 2" xfId="3758" xr:uid="{00000000-0005-0000-0000-0000FB120000}"/>
    <cellStyle name="Normal 92 2" xfId="3759" xr:uid="{00000000-0005-0000-0000-0000FC120000}"/>
    <cellStyle name="Normal 92 2 2" xfId="3760" xr:uid="{00000000-0005-0000-0000-0000FD120000}"/>
    <cellStyle name="Normal 92 2 2 2" xfId="3761" xr:uid="{00000000-0005-0000-0000-0000FE120000}"/>
    <cellStyle name="Normal 92 2 3" xfId="3762" xr:uid="{00000000-0005-0000-0000-0000FF120000}"/>
    <cellStyle name="Normal 92 3" xfId="3763" xr:uid="{00000000-0005-0000-0000-000000130000}"/>
    <cellStyle name="Normal 92 3 2" xfId="3764" xr:uid="{00000000-0005-0000-0000-000001130000}"/>
    <cellStyle name="Normal 92 4" xfId="3765" xr:uid="{00000000-0005-0000-0000-000002130000}"/>
    <cellStyle name="Normal 92 4 2" xfId="3766" xr:uid="{00000000-0005-0000-0000-000003130000}"/>
    <cellStyle name="Normal 92 5" xfId="3767" xr:uid="{00000000-0005-0000-0000-000004130000}"/>
    <cellStyle name="Normal 92 5 2" xfId="3768" xr:uid="{00000000-0005-0000-0000-000005130000}"/>
    <cellStyle name="Normal 92 6" xfId="3769" xr:uid="{00000000-0005-0000-0000-000006130000}"/>
    <cellStyle name="Normal 92 6 2" xfId="3770" xr:uid="{00000000-0005-0000-0000-000007130000}"/>
    <cellStyle name="Normal 92 7" xfId="3771" xr:uid="{00000000-0005-0000-0000-000008130000}"/>
    <cellStyle name="Normal 92 7 2" xfId="3772" xr:uid="{00000000-0005-0000-0000-000009130000}"/>
    <cellStyle name="Normal 92 8" xfId="3773" xr:uid="{00000000-0005-0000-0000-00000A130000}"/>
    <cellStyle name="Normal 92 8 2" xfId="3774" xr:uid="{00000000-0005-0000-0000-00000B130000}"/>
    <cellStyle name="Normal 92 9" xfId="3775" xr:uid="{00000000-0005-0000-0000-00000C130000}"/>
    <cellStyle name="Normal 92 9 2" xfId="3776" xr:uid="{00000000-0005-0000-0000-00000D130000}"/>
    <cellStyle name="Normal 93 2" xfId="3777" xr:uid="{00000000-0005-0000-0000-00000E130000}"/>
    <cellStyle name="Normal 93 2 2" xfId="3778" xr:uid="{00000000-0005-0000-0000-00000F130000}"/>
    <cellStyle name="Normal 93 2 2 2" xfId="3779" xr:uid="{00000000-0005-0000-0000-000010130000}"/>
    <cellStyle name="Normal 93 2 3" xfId="3780" xr:uid="{00000000-0005-0000-0000-000011130000}"/>
    <cellStyle name="Normal 93 3" xfId="3781" xr:uid="{00000000-0005-0000-0000-000012130000}"/>
    <cellStyle name="Normal 93 3 2" xfId="3782" xr:uid="{00000000-0005-0000-0000-000013130000}"/>
    <cellStyle name="Normal 93 4" xfId="3783" xr:uid="{00000000-0005-0000-0000-000014130000}"/>
    <cellStyle name="Normal 93 4 2" xfId="3784" xr:uid="{00000000-0005-0000-0000-000015130000}"/>
    <cellStyle name="Normal 93 5" xfId="3785" xr:uid="{00000000-0005-0000-0000-000016130000}"/>
    <cellStyle name="Normal 93 5 2" xfId="3786" xr:uid="{00000000-0005-0000-0000-000017130000}"/>
    <cellStyle name="Normal 93 6" xfId="3787" xr:uid="{00000000-0005-0000-0000-000018130000}"/>
    <cellStyle name="Normal 93 6 2" xfId="3788" xr:uid="{00000000-0005-0000-0000-000019130000}"/>
    <cellStyle name="Normal 93 7" xfId="3789" xr:uid="{00000000-0005-0000-0000-00001A130000}"/>
    <cellStyle name="Normal 93 7 2" xfId="3790" xr:uid="{00000000-0005-0000-0000-00001B130000}"/>
    <cellStyle name="Normal 93 8" xfId="3791" xr:uid="{00000000-0005-0000-0000-00001C130000}"/>
    <cellStyle name="Normal 93 8 2" xfId="3792" xr:uid="{00000000-0005-0000-0000-00001D130000}"/>
    <cellStyle name="Normal 93 9" xfId="3793" xr:uid="{00000000-0005-0000-0000-00001E130000}"/>
    <cellStyle name="Normal 93 9 2" xfId="3794" xr:uid="{00000000-0005-0000-0000-00001F130000}"/>
    <cellStyle name="Normal 94 2" xfId="3795" xr:uid="{00000000-0005-0000-0000-000020130000}"/>
    <cellStyle name="Normal 94 2 2" xfId="3796" xr:uid="{00000000-0005-0000-0000-000021130000}"/>
    <cellStyle name="Normal 94 2 2 2" xfId="3797" xr:uid="{00000000-0005-0000-0000-000022130000}"/>
    <cellStyle name="Normal 94 2 3" xfId="3798" xr:uid="{00000000-0005-0000-0000-000023130000}"/>
    <cellStyle name="Normal 94 3" xfId="3799" xr:uid="{00000000-0005-0000-0000-000024130000}"/>
    <cellStyle name="Normal 94 3 2" xfId="3800" xr:uid="{00000000-0005-0000-0000-000025130000}"/>
    <cellStyle name="Normal 94 4" xfId="3801" xr:uid="{00000000-0005-0000-0000-000026130000}"/>
    <cellStyle name="Normal 94 4 2" xfId="3802" xr:uid="{00000000-0005-0000-0000-000027130000}"/>
    <cellStyle name="Normal 94 5" xfId="3803" xr:uid="{00000000-0005-0000-0000-000028130000}"/>
    <cellStyle name="Normal 94 5 2" xfId="3804" xr:uid="{00000000-0005-0000-0000-000029130000}"/>
    <cellStyle name="Normal 94 6" xfId="3805" xr:uid="{00000000-0005-0000-0000-00002A130000}"/>
    <cellStyle name="Normal 94 6 2" xfId="3806" xr:uid="{00000000-0005-0000-0000-00002B130000}"/>
    <cellStyle name="Normal 94 7" xfId="3807" xr:uid="{00000000-0005-0000-0000-00002C130000}"/>
    <cellStyle name="Normal 94 7 2" xfId="3808" xr:uid="{00000000-0005-0000-0000-00002D130000}"/>
    <cellStyle name="Normal 94 8" xfId="3809" xr:uid="{00000000-0005-0000-0000-00002E130000}"/>
    <cellStyle name="Normal 94 8 2" xfId="3810" xr:uid="{00000000-0005-0000-0000-00002F130000}"/>
    <cellStyle name="Normal 94 9" xfId="3811" xr:uid="{00000000-0005-0000-0000-000030130000}"/>
    <cellStyle name="Normal 94 9 2" xfId="3812" xr:uid="{00000000-0005-0000-0000-000031130000}"/>
    <cellStyle name="Normal 95 2" xfId="3813" xr:uid="{00000000-0005-0000-0000-000032130000}"/>
    <cellStyle name="Normal 95 2 2" xfId="3814" xr:uid="{00000000-0005-0000-0000-000033130000}"/>
    <cellStyle name="Normal 95 2 2 2" xfId="3815" xr:uid="{00000000-0005-0000-0000-000034130000}"/>
    <cellStyle name="Normal 95 2 3" xfId="3816" xr:uid="{00000000-0005-0000-0000-000035130000}"/>
    <cellStyle name="Normal 95 3" xfId="3817" xr:uid="{00000000-0005-0000-0000-000036130000}"/>
    <cellStyle name="Normal 95 3 2" xfId="3818" xr:uid="{00000000-0005-0000-0000-000037130000}"/>
    <cellStyle name="Normal 95 4" xfId="3819" xr:uid="{00000000-0005-0000-0000-000038130000}"/>
    <cellStyle name="Normal 95 4 2" xfId="3820" xr:uid="{00000000-0005-0000-0000-000039130000}"/>
    <cellStyle name="Normal 95 5" xfId="3821" xr:uid="{00000000-0005-0000-0000-00003A130000}"/>
    <cellStyle name="Normal 95 5 2" xfId="3822" xr:uid="{00000000-0005-0000-0000-00003B130000}"/>
    <cellStyle name="Normal 95 6" xfId="3823" xr:uid="{00000000-0005-0000-0000-00003C130000}"/>
    <cellStyle name="Normal 95 6 2" xfId="3824" xr:uid="{00000000-0005-0000-0000-00003D130000}"/>
    <cellStyle name="Normal 95 7" xfId="3825" xr:uid="{00000000-0005-0000-0000-00003E130000}"/>
    <cellStyle name="Normal 95 7 2" xfId="3826" xr:uid="{00000000-0005-0000-0000-00003F130000}"/>
    <cellStyle name="Normal 95 8" xfId="3827" xr:uid="{00000000-0005-0000-0000-000040130000}"/>
    <cellStyle name="Normal 95 8 2" xfId="3828" xr:uid="{00000000-0005-0000-0000-000041130000}"/>
    <cellStyle name="Normal 95 9" xfId="3829" xr:uid="{00000000-0005-0000-0000-000042130000}"/>
    <cellStyle name="Normal 95 9 2" xfId="3830" xr:uid="{00000000-0005-0000-0000-000043130000}"/>
    <cellStyle name="Normal 96 2" xfId="3831" xr:uid="{00000000-0005-0000-0000-000044130000}"/>
    <cellStyle name="Normal 96 2 2" xfId="3832" xr:uid="{00000000-0005-0000-0000-000045130000}"/>
    <cellStyle name="Normal 96 2 2 2" xfId="3833" xr:uid="{00000000-0005-0000-0000-000046130000}"/>
    <cellStyle name="Normal 96 2 3" xfId="3834" xr:uid="{00000000-0005-0000-0000-000047130000}"/>
    <cellStyle name="Normal 96 3" xfId="3835" xr:uid="{00000000-0005-0000-0000-000048130000}"/>
    <cellStyle name="Normal 96 3 2" xfId="3836" xr:uid="{00000000-0005-0000-0000-000049130000}"/>
    <cellStyle name="Normal 96 4" xfId="3837" xr:uid="{00000000-0005-0000-0000-00004A130000}"/>
    <cellStyle name="Normal 96 4 2" xfId="3838" xr:uid="{00000000-0005-0000-0000-00004B130000}"/>
    <cellStyle name="Normal 96 5" xfId="3839" xr:uid="{00000000-0005-0000-0000-00004C130000}"/>
    <cellStyle name="Normal 96 5 2" xfId="3840" xr:uid="{00000000-0005-0000-0000-00004D130000}"/>
    <cellStyle name="Normal 96 6" xfId="3841" xr:uid="{00000000-0005-0000-0000-00004E130000}"/>
    <cellStyle name="Normal 96 6 2" xfId="3842" xr:uid="{00000000-0005-0000-0000-00004F130000}"/>
    <cellStyle name="Normal 96 7" xfId="3843" xr:uid="{00000000-0005-0000-0000-000050130000}"/>
    <cellStyle name="Normal 96 7 2" xfId="3844" xr:uid="{00000000-0005-0000-0000-000051130000}"/>
    <cellStyle name="Normal 96 8" xfId="3845" xr:uid="{00000000-0005-0000-0000-000052130000}"/>
    <cellStyle name="Normal 96 8 2" xfId="3846" xr:uid="{00000000-0005-0000-0000-000053130000}"/>
    <cellStyle name="Normal 96 9" xfId="3847" xr:uid="{00000000-0005-0000-0000-000054130000}"/>
    <cellStyle name="Normal 96 9 2" xfId="3848" xr:uid="{00000000-0005-0000-0000-000055130000}"/>
    <cellStyle name="Normal 97 2" xfId="3849" xr:uid="{00000000-0005-0000-0000-000056130000}"/>
    <cellStyle name="Normal 97 2 2" xfId="3850" xr:uid="{00000000-0005-0000-0000-000057130000}"/>
    <cellStyle name="Normal 97 2 2 2" xfId="3851" xr:uid="{00000000-0005-0000-0000-000058130000}"/>
    <cellStyle name="Normal 97 2 3" xfId="3852" xr:uid="{00000000-0005-0000-0000-000059130000}"/>
    <cellStyle name="Normal 97 3" xfId="3853" xr:uid="{00000000-0005-0000-0000-00005A130000}"/>
    <cellStyle name="Normal 97 3 2" xfId="3854" xr:uid="{00000000-0005-0000-0000-00005B130000}"/>
    <cellStyle name="Normal 97 4" xfId="3855" xr:uid="{00000000-0005-0000-0000-00005C130000}"/>
    <cellStyle name="Normal 97 4 2" xfId="3856" xr:uid="{00000000-0005-0000-0000-00005D130000}"/>
    <cellStyle name="Normal 97 5" xfId="3857" xr:uid="{00000000-0005-0000-0000-00005E130000}"/>
    <cellStyle name="Normal 97 5 2" xfId="3858" xr:uid="{00000000-0005-0000-0000-00005F130000}"/>
    <cellStyle name="Normal 97 6" xfId="3859" xr:uid="{00000000-0005-0000-0000-000060130000}"/>
    <cellStyle name="Normal 97 6 2" xfId="3860" xr:uid="{00000000-0005-0000-0000-000061130000}"/>
    <cellStyle name="Normal 97 7" xfId="3861" xr:uid="{00000000-0005-0000-0000-000062130000}"/>
    <cellStyle name="Normal 97 7 2" xfId="3862" xr:uid="{00000000-0005-0000-0000-000063130000}"/>
    <cellStyle name="Normal 97 8" xfId="3863" xr:uid="{00000000-0005-0000-0000-000064130000}"/>
    <cellStyle name="Normal 97 8 2" xfId="3864" xr:uid="{00000000-0005-0000-0000-000065130000}"/>
    <cellStyle name="Normal 97 9" xfId="3865" xr:uid="{00000000-0005-0000-0000-000066130000}"/>
    <cellStyle name="Normal 97 9 2" xfId="3866" xr:uid="{00000000-0005-0000-0000-000067130000}"/>
    <cellStyle name="Normal 98 2" xfId="3867" xr:uid="{00000000-0005-0000-0000-000068130000}"/>
    <cellStyle name="Normal 98 2 2" xfId="3868" xr:uid="{00000000-0005-0000-0000-000069130000}"/>
    <cellStyle name="Normal 98 2 2 2" xfId="3869" xr:uid="{00000000-0005-0000-0000-00006A130000}"/>
    <cellStyle name="Normal 98 2 3" xfId="3870" xr:uid="{00000000-0005-0000-0000-00006B130000}"/>
    <cellStyle name="Normal 98 3" xfId="3871" xr:uid="{00000000-0005-0000-0000-00006C130000}"/>
    <cellStyle name="Normal 98 3 2" xfId="3872" xr:uid="{00000000-0005-0000-0000-00006D130000}"/>
    <cellStyle name="Normal 98 4" xfId="3873" xr:uid="{00000000-0005-0000-0000-00006E130000}"/>
    <cellStyle name="Normal 98 4 2" xfId="3874" xr:uid="{00000000-0005-0000-0000-00006F130000}"/>
    <cellStyle name="Normal 98 5" xfId="3875" xr:uid="{00000000-0005-0000-0000-000070130000}"/>
    <cellStyle name="Normal 98 5 2" xfId="3876" xr:uid="{00000000-0005-0000-0000-000071130000}"/>
    <cellStyle name="Normal 98 6" xfId="3877" xr:uid="{00000000-0005-0000-0000-000072130000}"/>
    <cellStyle name="Normal 98 6 2" xfId="3878" xr:uid="{00000000-0005-0000-0000-000073130000}"/>
    <cellStyle name="Normal 98 7" xfId="3879" xr:uid="{00000000-0005-0000-0000-000074130000}"/>
    <cellStyle name="Normal 98 7 2" xfId="3880" xr:uid="{00000000-0005-0000-0000-000075130000}"/>
    <cellStyle name="Normal 98 8" xfId="3881" xr:uid="{00000000-0005-0000-0000-000076130000}"/>
    <cellStyle name="Normal 98 8 2" xfId="3882" xr:uid="{00000000-0005-0000-0000-000077130000}"/>
    <cellStyle name="Normal 98 9" xfId="3883" xr:uid="{00000000-0005-0000-0000-000078130000}"/>
    <cellStyle name="Normal 98 9 2" xfId="3884" xr:uid="{00000000-0005-0000-0000-000079130000}"/>
    <cellStyle name="Normal 99 2" xfId="3885" xr:uid="{00000000-0005-0000-0000-00007A130000}"/>
    <cellStyle name="Normal 99 2 2" xfId="3886" xr:uid="{00000000-0005-0000-0000-00007B130000}"/>
    <cellStyle name="Normal 99 2 2 2" xfId="3887" xr:uid="{00000000-0005-0000-0000-00007C130000}"/>
    <cellStyle name="Normal 99 2 3" xfId="3888" xr:uid="{00000000-0005-0000-0000-00007D130000}"/>
    <cellStyle name="Normal 99 3" xfId="3889" xr:uid="{00000000-0005-0000-0000-00007E130000}"/>
    <cellStyle name="Normal 99 3 2" xfId="3890" xr:uid="{00000000-0005-0000-0000-00007F130000}"/>
    <cellStyle name="Normal 99 4" xfId="3891" xr:uid="{00000000-0005-0000-0000-000080130000}"/>
    <cellStyle name="Normal 99 4 2" xfId="3892" xr:uid="{00000000-0005-0000-0000-000081130000}"/>
    <cellStyle name="Normal 99 5" xfId="3893" xr:uid="{00000000-0005-0000-0000-000082130000}"/>
    <cellStyle name="Normal 99 5 2" xfId="3894" xr:uid="{00000000-0005-0000-0000-000083130000}"/>
    <cellStyle name="Normal 99 6" xfId="3895" xr:uid="{00000000-0005-0000-0000-000084130000}"/>
    <cellStyle name="Normal 99 6 2" xfId="3896" xr:uid="{00000000-0005-0000-0000-000085130000}"/>
    <cellStyle name="Normal 99 7" xfId="3897" xr:uid="{00000000-0005-0000-0000-000086130000}"/>
    <cellStyle name="Normal 99 7 2" xfId="3898" xr:uid="{00000000-0005-0000-0000-000087130000}"/>
    <cellStyle name="Normal 99 8" xfId="3899" xr:uid="{00000000-0005-0000-0000-000088130000}"/>
    <cellStyle name="Normal 99 8 2" xfId="3900" xr:uid="{00000000-0005-0000-0000-000089130000}"/>
    <cellStyle name="Normal 99 9" xfId="3901" xr:uid="{00000000-0005-0000-0000-00008A130000}"/>
    <cellStyle name="Normal 99 9 2" xfId="3902" xr:uid="{00000000-0005-0000-0000-00008B130000}"/>
    <cellStyle name="Normal^àسه2_FITUP (2)_GHOLAM" xfId="3903" xr:uid="{00000000-0005-0000-0000-00008C130000}"/>
    <cellStyle name="Normal^DAYREP.F" xfId="3904" xr:uid="{00000000-0005-0000-0000-00008D130000}"/>
    <cellStyle name="Normal^KA_1_KF_ØèÓéçÓ78 (2)_ØèÓéçÓ 78 (2)" xfId="3905" xr:uid="{00000000-0005-0000-0000-00008E130000}"/>
    <cellStyle name="Normal^KB_àÓå2 (2)_FAB DAY 78" xfId="3906" xr:uid="{00000000-0005-0000-0000-00008F130000}"/>
    <cellStyle name="NormalWKA_1_KD_àسه2 (2)_FITUP (2)_daily~33" xfId="3907" xr:uid="{00000000-0005-0000-0000-000090130000}"/>
    <cellStyle name="Note 2" xfId="3908" xr:uid="{00000000-0005-0000-0000-000091130000}"/>
    <cellStyle name="NTH (2)" xfId="3909" xr:uid="{00000000-0005-0000-0000-000092130000}"/>
    <cellStyle name="Output 2" xfId="3910" xr:uid="{00000000-0005-0000-0000-000093130000}"/>
    <cellStyle name="Percent" xfId="2" builtinId="5"/>
    <cellStyle name="Percent 2" xfId="12" xr:uid="{00000000-0005-0000-0000-000095130000}"/>
    <cellStyle name="Percent 2 10" xfId="4443" xr:uid="{00000000-0005-0000-0000-000096130000}"/>
    <cellStyle name="Percent 2 2" xfId="3911" xr:uid="{00000000-0005-0000-0000-000097130000}"/>
    <cellStyle name="Percent 2 2 10" xfId="4311" xr:uid="{00000000-0005-0000-0000-000098130000}"/>
    <cellStyle name="Percent 2 2 10 2" xfId="4377" xr:uid="{00000000-0005-0000-0000-000099130000}"/>
    <cellStyle name="Percent 2 2 10 3" xfId="5181" xr:uid="{00000000-0005-0000-0000-00009A130000}"/>
    <cellStyle name="Percent 2 2 11" xfId="4754" xr:uid="{00000000-0005-0000-0000-00009B130000}"/>
    <cellStyle name="Percent 2 2 2" xfId="3912" xr:uid="{00000000-0005-0000-0000-00009C130000}"/>
    <cellStyle name="Percent 2 2 2 2" xfId="3913" xr:uid="{00000000-0005-0000-0000-00009D130000}"/>
    <cellStyle name="Percent 2 2 2 2 2" xfId="4313" xr:uid="{00000000-0005-0000-0000-00009E130000}"/>
    <cellStyle name="Percent 2 2 2 2 2 2" xfId="5183" xr:uid="{00000000-0005-0000-0000-00009F130000}"/>
    <cellStyle name="Percent 2 2 2 2 3" xfId="4756" xr:uid="{00000000-0005-0000-0000-0000A0130000}"/>
    <cellStyle name="Percent 2 2 2 3" xfId="3914" xr:uid="{00000000-0005-0000-0000-0000A1130000}"/>
    <cellStyle name="Percent 2 2 2 3 2" xfId="4314" xr:uid="{00000000-0005-0000-0000-0000A2130000}"/>
    <cellStyle name="Percent 2 2 2 3 2 2" xfId="5184" xr:uid="{00000000-0005-0000-0000-0000A3130000}"/>
    <cellStyle name="Percent 2 2 2 3 3" xfId="4757" xr:uid="{00000000-0005-0000-0000-0000A4130000}"/>
    <cellStyle name="Percent 2 2 2 4" xfId="3915" xr:uid="{00000000-0005-0000-0000-0000A5130000}"/>
    <cellStyle name="Percent 2 2 2 4 2" xfId="4315" xr:uid="{00000000-0005-0000-0000-0000A6130000}"/>
    <cellStyle name="Percent 2 2 2 4 2 2" xfId="5185" xr:uid="{00000000-0005-0000-0000-0000A7130000}"/>
    <cellStyle name="Percent 2 2 2 4 3" xfId="4758" xr:uid="{00000000-0005-0000-0000-0000A8130000}"/>
    <cellStyle name="Percent 2 2 2 5" xfId="3916" xr:uid="{00000000-0005-0000-0000-0000A9130000}"/>
    <cellStyle name="Percent 2 2 2 5 2" xfId="4316" xr:uid="{00000000-0005-0000-0000-0000AA130000}"/>
    <cellStyle name="Percent 2 2 2 5 2 2" xfId="5186" xr:uid="{00000000-0005-0000-0000-0000AB130000}"/>
    <cellStyle name="Percent 2 2 2 5 3" xfId="4759" xr:uid="{00000000-0005-0000-0000-0000AC130000}"/>
    <cellStyle name="Percent 2 2 2 6" xfId="3917" xr:uid="{00000000-0005-0000-0000-0000AD130000}"/>
    <cellStyle name="Percent 2 2 2 6 2" xfId="4317" xr:uid="{00000000-0005-0000-0000-0000AE130000}"/>
    <cellStyle name="Percent 2 2 2 6 2 2" xfId="5187" xr:uid="{00000000-0005-0000-0000-0000AF130000}"/>
    <cellStyle name="Percent 2 2 2 6 3" xfId="4760" xr:uid="{00000000-0005-0000-0000-0000B0130000}"/>
    <cellStyle name="Percent 2 2 2 7" xfId="4312" xr:uid="{00000000-0005-0000-0000-0000B1130000}"/>
    <cellStyle name="Percent 2 2 2 7 2" xfId="5182" xr:uid="{00000000-0005-0000-0000-0000B2130000}"/>
    <cellStyle name="Percent 2 2 2 8" xfId="4755" xr:uid="{00000000-0005-0000-0000-0000B3130000}"/>
    <cellStyle name="Percent 2 2 3" xfId="3918" xr:uid="{00000000-0005-0000-0000-0000B4130000}"/>
    <cellStyle name="Percent 2 2 3 2" xfId="3919" xr:uid="{00000000-0005-0000-0000-0000B5130000}"/>
    <cellStyle name="Percent 2 2 3 2 2" xfId="4319" xr:uid="{00000000-0005-0000-0000-0000B6130000}"/>
    <cellStyle name="Percent 2 2 3 2 2 2" xfId="5189" xr:uid="{00000000-0005-0000-0000-0000B7130000}"/>
    <cellStyle name="Percent 2 2 3 2 3" xfId="4762" xr:uid="{00000000-0005-0000-0000-0000B8130000}"/>
    <cellStyle name="Percent 2 2 3 3" xfId="3920" xr:uid="{00000000-0005-0000-0000-0000B9130000}"/>
    <cellStyle name="Percent 2 2 3 3 2" xfId="4320" xr:uid="{00000000-0005-0000-0000-0000BA130000}"/>
    <cellStyle name="Percent 2 2 3 3 2 2" xfId="5190" xr:uid="{00000000-0005-0000-0000-0000BB130000}"/>
    <cellStyle name="Percent 2 2 3 3 3" xfId="4763" xr:uid="{00000000-0005-0000-0000-0000BC130000}"/>
    <cellStyle name="Percent 2 2 3 4" xfId="3921" xr:uid="{00000000-0005-0000-0000-0000BD130000}"/>
    <cellStyle name="Percent 2 2 3 4 2" xfId="4321" xr:uid="{00000000-0005-0000-0000-0000BE130000}"/>
    <cellStyle name="Percent 2 2 3 4 2 2" xfId="5191" xr:uid="{00000000-0005-0000-0000-0000BF130000}"/>
    <cellStyle name="Percent 2 2 3 4 3" xfId="4764" xr:uid="{00000000-0005-0000-0000-0000C0130000}"/>
    <cellStyle name="Percent 2 2 3 5" xfId="3922" xr:uid="{00000000-0005-0000-0000-0000C1130000}"/>
    <cellStyle name="Percent 2 2 3 5 2" xfId="4322" xr:uid="{00000000-0005-0000-0000-0000C2130000}"/>
    <cellStyle name="Percent 2 2 3 5 2 2" xfId="5192" xr:uid="{00000000-0005-0000-0000-0000C3130000}"/>
    <cellStyle name="Percent 2 2 3 5 3" xfId="4765" xr:uid="{00000000-0005-0000-0000-0000C4130000}"/>
    <cellStyle name="Percent 2 2 3 6" xfId="3923" xr:uid="{00000000-0005-0000-0000-0000C5130000}"/>
    <cellStyle name="Percent 2 2 3 6 2" xfId="4323" xr:uid="{00000000-0005-0000-0000-0000C6130000}"/>
    <cellStyle name="Percent 2 2 3 6 2 2" xfId="5193" xr:uid="{00000000-0005-0000-0000-0000C7130000}"/>
    <cellStyle name="Percent 2 2 3 6 3" xfId="4766" xr:uid="{00000000-0005-0000-0000-0000C8130000}"/>
    <cellStyle name="Percent 2 2 3 7" xfId="4318" xr:uid="{00000000-0005-0000-0000-0000C9130000}"/>
    <cellStyle name="Percent 2 2 3 7 2" xfId="5188" xr:uid="{00000000-0005-0000-0000-0000CA130000}"/>
    <cellStyle name="Percent 2 2 3 8" xfId="4761" xr:uid="{00000000-0005-0000-0000-0000CB130000}"/>
    <cellStyle name="Percent 2 2 4" xfId="3924" xr:uid="{00000000-0005-0000-0000-0000CC130000}"/>
    <cellStyle name="Percent 2 2 4 2" xfId="3925" xr:uid="{00000000-0005-0000-0000-0000CD130000}"/>
    <cellStyle name="Percent 2 2 4 2 2" xfId="4325" xr:uid="{00000000-0005-0000-0000-0000CE130000}"/>
    <cellStyle name="Percent 2 2 4 2 2 2" xfId="5195" xr:uid="{00000000-0005-0000-0000-0000CF130000}"/>
    <cellStyle name="Percent 2 2 4 2 3" xfId="4768" xr:uid="{00000000-0005-0000-0000-0000D0130000}"/>
    <cellStyle name="Percent 2 2 4 3" xfId="3926" xr:uid="{00000000-0005-0000-0000-0000D1130000}"/>
    <cellStyle name="Percent 2 2 4 3 2" xfId="4326" xr:uid="{00000000-0005-0000-0000-0000D2130000}"/>
    <cellStyle name="Percent 2 2 4 3 2 2" xfId="5196" xr:uid="{00000000-0005-0000-0000-0000D3130000}"/>
    <cellStyle name="Percent 2 2 4 3 3" xfId="4769" xr:uid="{00000000-0005-0000-0000-0000D4130000}"/>
    <cellStyle name="Percent 2 2 4 4" xfId="3927" xr:uid="{00000000-0005-0000-0000-0000D5130000}"/>
    <cellStyle name="Percent 2 2 4 4 2" xfId="4327" xr:uid="{00000000-0005-0000-0000-0000D6130000}"/>
    <cellStyle name="Percent 2 2 4 4 2 2" xfId="5197" xr:uid="{00000000-0005-0000-0000-0000D7130000}"/>
    <cellStyle name="Percent 2 2 4 4 3" xfId="4770" xr:uid="{00000000-0005-0000-0000-0000D8130000}"/>
    <cellStyle name="Percent 2 2 4 5" xfId="3928" xr:uid="{00000000-0005-0000-0000-0000D9130000}"/>
    <cellStyle name="Percent 2 2 4 5 2" xfId="4328" xr:uid="{00000000-0005-0000-0000-0000DA130000}"/>
    <cellStyle name="Percent 2 2 4 5 2 2" xfId="5198" xr:uid="{00000000-0005-0000-0000-0000DB130000}"/>
    <cellStyle name="Percent 2 2 4 5 3" xfId="4771" xr:uid="{00000000-0005-0000-0000-0000DC130000}"/>
    <cellStyle name="Percent 2 2 4 6" xfId="3929" xr:uid="{00000000-0005-0000-0000-0000DD130000}"/>
    <cellStyle name="Percent 2 2 4 6 2" xfId="4329" xr:uid="{00000000-0005-0000-0000-0000DE130000}"/>
    <cellStyle name="Percent 2 2 4 6 2 2" xfId="5199" xr:uid="{00000000-0005-0000-0000-0000DF130000}"/>
    <cellStyle name="Percent 2 2 4 6 3" xfId="4772" xr:uid="{00000000-0005-0000-0000-0000E0130000}"/>
    <cellStyle name="Percent 2 2 4 7" xfId="4324" xr:uid="{00000000-0005-0000-0000-0000E1130000}"/>
    <cellStyle name="Percent 2 2 4 7 2" xfId="5194" xr:uid="{00000000-0005-0000-0000-0000E2130000}"/>
    <cellStyle name="Percent 2 2 4 8" xfId="4767" xr:uid="{00000000-0005-0000-0000-0000E3130000}"/>
    <cellStyle name="Percent 2 2 5" xfId="3930" xr:uid="{00000000-0005-0000-0000-0000E4130000}"/>
    <cellStyle name="Percent 2 2 5 2" xfId="4330" xr:uid="{00000000-0005-0000-0000-0000E5130000}"/>
    <cellStyle name="Percent 2 2 5 2 2" xfId="5200" xr:uid="{00000000-0005-0000-0000-0000E6130000}"/>
    <cellStyle name="Percent 2 2 5 3" xfId="4773" xr:uid="{00000000-0005-0000-0000-0000E7130000}"/>
    <cellStyle name="Percent 2 2 6" xfId="3931" xr:uid="{00000000-0005-0000-0000-0000E8130000}"/>
    <cellStyle name="Percent 2 2 6 2" xfId="4331" xr:uid="{00000000-0005-0000-0000-0000E9130000}"/>
    <cellStyle name="Percent 2 2 6 2 2" xfId="5201" xr:uid="{00000000-0005-0000-0000-0000EA130000}"/>
    <cellStyle name="Percent 2 2 6 3" xfId="4774" xr:uid="{00000000-0005-0000-0000-0000EB130000}"/>
    <cellStyle name="Percent 2 2 7" xfId="3932" xr:uid="{00000000-0005-0000-0000-0000EC130000}"/>
    <cellStyle name="Percent 2 2 7 2" xfId="4332" xr:uid="{00000000-0005-0000-0000-0000ED130000}"/>
    <cellStyle name="Percent 2 2 7 2 2" xfId="5202" xr:uid="{00000000-0005-0000-0000-0000EE130000}"/>
    <cellStyle name="Percent 2 2 7 3" xfId="4775" xr:uid="{00000000-0005-0000-0000-0000EF130000}"/>
    <cellStyle name="Percent 2 2 8" xfId="3933" xr:uid="{00000000-0005-0000-0000-0000F0130000}"/>
    <cellStyle name="Percent 2 2 8 2" xfId="4333" xr:uid="{00000000-0005-0000-0000-0000F1130000}"/>
    <cellStyle name="Percent 2 2 8 2 2" xfId="5203" xr:uid="{00000000-0005-0000-0000-0000F2130000}"/>
    <cellStyle name="Percent 2 2 8 3" xfId="4776" xr:uid="{00000000-0005-0000-0000-0000F3130000}"/>
    <cellStyle name="Percent 2 2 9" xfId="3934" xr:uid="{00000000-0005-0000-0000-0000F4130000}"/>
    <cellStyle name="Percent 2 2 9 2" xfId="4334" xr:uid="{00000000-0005-0000-0000-0000F5130000}"/>
    <cellStyle name="Percent 2 2 9 2 2" xfId="5204" xr:uid="{00000000-0005-0000-0000-0000F6130000}"/>
    <cellStyle name="Percent 2 2 9 3" xfId="4777" xr:uid="{00000000-0005-0000-0000-0000F7130000}"/>
    <cellStyle name="Percent 2 3" xfId="3935" xr:uid="{00000000-0005-0000-0000-0000F8130000}"/>
    <cellStyle name="Percent 2 3 2" xfId="3936" xr:uid="{00000000-0005-0000-0000-0000F9130000}"/>
    <cellStyle name="Percent 2 3 2 2" xfId="3937" xr:uid="{00000000-0005-0000-0000-0000FA130000}"/>
    <cellStyle name="Percent 2 3 2 2 2" xfId="4336" xr:uid="{00000000-0005-0000-0000-0000FB130000}"/>
    <cellStyle name="Percent 2 3 2 2 2 2" xfId="5206" xr:uid="{00000000-0005-0000-0000-0000FC130000}"/>
    <cellStyle name="Percent 2 3 2 2 3" xfId="4779" xr:uid="{00000000-0005-0000-0000-0000FD130000}"/>
    <cellStyle name="Percent 2 3 2 3" xfId="3938" xr:uid="{00000000-0005-0000-0000-0000FE130000}"/>
    <cellStyle name="Percent 2 3 2 3 2" xfId="4337" xr:uid="{00000000-0005-0000-0000-0000FF130000}"/>
    <cellStyle name="Percent 2 3 2 3 2 2" xfId="5207" xr:uid="{00000000-0005-0000-0000-000000140000}"/>
    <cellStyle name="Percent 2 3 2 3 3" xfId="4780" xr:uid="{00000000-0005-0000-0000-000001140000}"/>
    <cellStyle name="Percent 2 3 2 4" xfId="3939" xr:uid="{00000000-0005-0000-0000-000002140000}"/>
    <cellStyle name="Percent 2 3 2 4 2" xfId="4338" xr:uid="{00000000-0005-0000-0000-000003140000}"/>
    <cellStyle name="Percent 2 3 2 4 2 2" xfId="5208" xr:uid="{00000000-0005-0000-0000-000004140000}"/>
    <cellStyle name="Percent 2 3 2 4 3" xfId="4781" xr:uid="{00000000-0005-0000-0000-000005140000}"/>
    <cellStyle name="Percent 2 3 2 5" xfId="3940" xr:uid="{00000000-0005-0000-0000-000006140000}"/>
    <cellStyle name="Percent 2 3 2 5 2" xfId="4339" xr:uid="{00000000-0005-0000-0000-000007140000}"/>
    <cellStyle name="Percent 2 3 2 5 2 2" xfId="5209" xr:uid="{00000000-0005-0000-0000-000008140000}"/>
    <cellStyle name="Percent 2 3 2 5 3" xfId="4782" xr:uid="{00000000-0005-0000-0000-000009140000}"/>
    <cellStyle name="Percent 2 3 2 6" xfId="3941" xr:uid="{00000000-0005-0000-0000-00000A140000}"/>
    <cellStyle name="Percent 2 3 2 6 2" xfId="4340" xr:uid="{00000000-0005-0000-0000-00000B140000}"/>
    <cellStyle name="Percent 2 3 2 6 2 2" xfId="5210" xr:uid="{00000000-0005-0000-0000-00000C140000}"/>
    <cellStyle name="Percent 2 3 2 6 3" xfId="4783" xr:uid="{00000000-0005-0000-0000-00000D140000}"/>
    <cellStyle name="Percent 2 3 2 7" xfId="4335" xr:uid="{00000000-0005-0000-0000-00000E140000}"/>
    <cellStyle name="Percent 2 3 2 7 2" xfId="5205" xr:uid="{00000000-0005-0000-0000-00000F140000}"/>
    <cellStyle name="Percent 2 3 2 8" xfId="4778" xr:uid="{00000000-0005-0000-0000-000010140000}"/>
    <cellStyle name="Percent 2 3 3" xfId="3942" xr:uid="{00000000-0005-0000-0000-000011140000}"/>
    <cellStyle name="Percent 2 3 3 2" xfId="3943" xr:uid="{00000000-0005-0000-0000-000012140000}"/>
    <cellStyle name="Percent 2 3 3 2 2" xfId="4342" xr:uid="{00000000-0005-0000-0000-000013140000}"/>
    <cellStyle name="Percent 2 3 3 2 2 2" xfId="5212" xr:uid="{00000000-0005-0000-0000-000014140000}"/>
    <cellStyle name="Percent 2 3 3 2 3" xfId="4785" xr:uid="{00000000-0005-0000-0000-000015140000}"/>
    <cellStyle name="Percent 2 3 3 3" xfId="3944" xr:uid="{00000000-0005-0000-0000-000016140000}"/>
    <cellStyle name="Percent 2 3 3 3 2" xfId="4343" xr:uid="{00000000-0005-0000-0000-000017140000}"/>
    <cellStyle name="Percent 2 3 3 3 2 2" xfId="5213" xr:uid="{00000000-0005-0000-0000-000018140000}"/>
    <cellStyle name="Percent 2 3 3 3 3" xfId="4786" xr:uid="{00000000-0005-0000-0000-000019140000}"/>
    <cellStyle name="Percent 2 3 3 4" xfId="3945" xr:uid="{00000000-0005-0000-0000-00001A140000}"/>
    <cellStyle name="Percent 2 3 3 4 2" xfId="4344" xr:uid="{00000000-0005-0000-0000-00001B140000}"/>
    <cellStyle name="Percent 2 3 3 4 2 2" xfId="5214" xr:uid="{00000000-0005-0000-0000-00001C140000}"/>
    <cellStyle name="Percent 2 3 3 4 3" xfId="4787" xr:uid="{00000000-0005-0000-0000-00001D140000}"/>
    <cellStyle name="Percent 2 3 3 5" xfId="3946" xr:uid="{00000000-0005-0000-0000-00001E140000}"/>
    <cellStyle name="Percent 2 3 3 5 2" xfId="4345" xr:uid="{00000000-0005-0000-0000-00001F140000}"/>
    <cellStyle name="Percent 2 3 3 5 2 2" xfId="5215" xr:uid="{00000000-0005-0000-0000-000020140000}"/>
    <cellStyle name="Percent 2 3 3 5 3" xfId="4788" xr:uid="{00000000-0005-0000-0000-000021140000}"/>
    <cellStyle name="Percent 2 3 3 6" xfId="3947" xr:uid="{00000000-0005-0000-0000-000022140000}"/>
    <cellStyle name="Percent 2 3 3 6 2" xfId="4346" xr:uid="{00000000-0005-0000-0000-000023140000}"/>
    <cellStyle name="Percent 2 3 3 6 2 2" xfId="5216" xr:uid="{00000000-0005-0000-0000-000024140000}"/>
    <cellStyle name="Percent 2 3 3 6 3" xfId="4789" xr:uid="{00000000-0005-0000-0000-000025140000}"/>
    <cellStyle name="Percent 2 3 3 7" xfId="4341" xr:uid="{00000000-0005-0000-0000-000026140000}"/>
    <cellStyle name="Percent 2 3 3 7 2" xfId="5211" xr:uid="{00000000-0005-0000-0000-000027140000}"/>
    <cellStyle name="Percent 2 3 3 8" xfId="4784" xr:uid="{00000000-0005-0000-0000-000028140000}"/>
    <cellStyle name="Percent 2 3 4" xfId="3948" xr:uid="{00000000-0005-0000-0000-000029140000}"/>
    <cellStyle name="Percent 2 3 4 2" xfId="3949" xr:uid="{00000000-0005-0000-0000-00002A140000}"/>
    <cellStyle name="Percent 2 3 4 2 2" xfId="4348" xr:uid="{00000000-0005-0000-0000-00002B140000}"/>
    <cellStyle name="Percent 2 3 4 2 2 2" xfId="5218" xr:uid="{00000000-0005-0000-0000-00002C140000}"/>
    <cellStyle name="Percent 2 3 4 2 3" xfId="4791" xr:uid="{00000000-0005-0000-0000-00002D140000}"/>
    <cellStyle name="Percent 2 3 4 3" xfId="3950" xr:uid="{00000000-0005-0000-0000-00002E140000}"/>
    <cellStyle name="Percent 2 3 4 3 2" xfId="4349" xr:uid="{00000000-0005-0000-0000-00002F140000}"/>
    <cellStyle name="Percent 2 3 4 3 2 2" xfId="5219" xr:uid="{00000000-0005-0000-0000-000030140000}"/>
    <cellStyle name="Percent 2 3 4 3 3" xfId="4792" xr:uid="{00000000-0005-0000-0000-000031140000}"/>
    <cellStyle name="Percent 2 3 4 4" xfId="3951" xr:uid="{00000000-0005-0000-0000-000032140000}"/>
    <cellStyle name="Percent 2 3 4 4 2" xfId="4350" xr:uid="{00000000-0005-0000-0000-000033140000}"/>
    <cellStyle name="Percent 2 3 4 4 2 2" xfId="5220" xr:uid="{00000000-0005-0000-0000-000034140000}"/>
    <cellStyle name="Percent 2 3 4 4 3" xfId="4793" xr:uid="{00000000-0005-0000-0000-000035140000}"/>
    <cellStyle name="Percent 2 3 4 5" xfId="3952" xr:uid="{00000000-0005-0000-0000-000036140000}"/>
    <cellStyle name="Percent 2 3 4 5 2" xfId="4351" xr:uid="{00000000-0005-0000-0000-000037140000}"/>
    <cellStyle name="Percent 2 3 4 5 2 2" xfId="5221" xr:uid="{00000000-0005-0000-0000-000038140000}"/>
    <cellStyle name="Percent 2 3 4 5 3" xfId="4794" xr:uid="{00000000-0005-0000-0000-000039140000}"/>
    <cellStyle name="Percent 2 3 4 6" xfId="3953" xr:uid="{00000000-0005-0000-0000-00003A140000}"/>
    <cellStyle name="Percent 2 3 4 6 2" xfId="4352" xr:uid="{00000000-0005-0000-0000-00003B140000}"/>
    <cellStyle name="Percent 2 3 4 6 2 2" xfId="5222" xr:uid="{00000000-0005-0000-0000-00003C140000}"/>
    <cellStyle name="Percent 2 3 4 6 3" xfId="4795" xr:uid="{00000000-0005-0000-0000-00003D140000}"/>
    <cellStyle name="Percent 2 3 4 7" xfId="4347" xr:uid="{00000000-0005-0000-0000-00003E140000}"/>
    <cellStyle name="Percent 2 3 4 7 2" xfId="5217" xr:uid="{00000000-0005-0000-0000-00003F140000}"/>
    <cellStyle name="Percent 2 3 4 8" xfId="4790" xr:uid="{00000000-0005-0000-0000-000040140000}"/>
    <cellStyle name="Percent 2 3 5" xfId="3954" xr:uid="{00000000-0005-0000-0000-000041140000}"/>
    <cellStyle name="Percent 2 3 5 2" xfId="4353" xr:uid="{00000000-0005-0000-0000-000042140000}"/>
    <cellStyle name="Percent 2 3 5 2 2" xfId="5223" xr:uid="{00000000-0005-0000-0000-000043140000}"/>
    <cellStyle name="Percent 2 3 5 3" xfId="4796" xr:uid="{00000000-0005-0000-0000-000044140000}"/>
    <cellStyle name="Percent 2 3 6" xfId="3955" xr:uid="{00000000-0005-0000-0000-000045140000}"/>
    <cellStyle name="Percent 2 3 6 2" xfId="4354" xr:uid="{00000000-0005-0000-0000-000046140000}"/>
    <cellStyle name="Percent 2 3 6 2 2" xfId="5224" xr:uid="{00000000-0005-0000-0000-000047140000}"/>
    <cellStyle name="Percent 2 3 6 3" xfId="4797" xr:uid="{00000000-0005-0000-0000-000048140000}"/>
    <cellStyle name="Percent 2 3 7" xfId="3956" xr:uid="{00000000-0005-0000-0000-000049140000}"/>
    <cellStyle name="Percent 2 3 7 2" xfId="4355" xr:uid="{00000000-0005-0000-0000-00004A140000}"/>
    <cellStyle name="Percent 2 3 7 2 2" xfId="5225" xr:uid="{00000000-0005-0000-0000-00004B140000}"/>
    <cellStyle name="Percent 2 3 7 3" xfId="4798" xr:uid="{00000000-0005-0000-0000-00004C140000}"/>
    <cellStyle name="Percent 2 3 8" xfId="3957" xr:uid="{00000000-0005-0000-0000-00004D140000}"/>
    <cellStyle name="Percent 2 3 8 2" xfId="4356" xr:uid="{00000000-0005-0000-0000-00004E140000}"/>
    <cellStyle name="Percent 2 3 8 2 2" xfId="5226" xr:uid="{00000000-0005-0000-0000-00004F140000}"/>
    <cellStyle name="Percent 2 3 8 3" xfId="4799" xr:uid="{00000000-0005-0000-0000-000050140000}"/>
    <cellStyle name="Percent 2 3 9" xfId="3958" xr:uid="{00000000-0005-0000-0000-000051140000}"/>
    <cellStyle name="Percent 2 3 9 2" xfId="4357" xr:uid="{00000000-0005-0000-0000-000052140000}"/>
    <cellStyle name="Percent 2 3 9 2 2" xfId="5227" xr:uid="{00000000-0005-0000-0000-000053140000}"/>
    <cellStyle name="Percent 2 3 9 3" xfId="4800" xr:uid="{00000000-0005-0000-0000-000054140000}"/>
    <cellStyle name="Percent 2 4" xfId="3959" xr:uid="{00000000-0005-0000-0000-000055140000}"/>
    <cellStyle name="Percent 2 4 2" xfId="4358" xr:uid="{00000000-0005-0000-0000-000056140000}"/>
    <cellStyle name="Percent 2 4 2 2" xfId="5228" xr:uid="{00000000-0005-0000-0000-000057140000}"/>
    <cellStyle name="Percent 2 4 3" xfId="4801" xr:uid="{00000000-0005-0000-0000-000058140000}"/>
    <cellStyle name="Percent 2 5" xfId="3960" xr:uid="{00000000-0005-0000-0000-000059140000}"/>
    <cellStyle name="Percent 2 5 2" xfId="4359" xr:uid="{00000000-0005-0000-0000-00005A140000}"/>
    <cellStyle name="Percent 2 5 2 2" xfId="5229" xr:uid="{00000000-0005-0000-0000-00005B140000}"/>
    <cellStyle name="Percent 2 5 3" xfId="4802" xr:uid="{00000000-0005-0000-0000-00005C140000}"/>
    <cellStyle name="Percent 2 6" xfId="3961" xr:uid="{00000000-0005-0000-0000-00005D140000}"/>
    <cellStyle name="Percent 2 6 2" xfId="4360" xr:uid="{00000000-0005-0000-0000-00005E140000}"/>
    <cellStyle name="Percent 2 6 2 2" xfId="5230" xr:uid="{00000000-0005-0000-0000-00005F140000}"/>
    <cellStyle name="Percent 2 6 3" xfId="4803" xr:uid="{00000000-0005-0000-0000-000060140000}"/>
    <cellStyle name="Percent 2 7" xfId="3962" xr:uid="{00000000-0005-0000-0000-000061140000}"/>
    <cellStyle name="Percent 2 7 2" xfId="4361" xr:uid="{00000000-0005-0000-0000-000062140000}"/>
    <cellStyle name="Percent 2 7 2 2" xfId="5231" xr:uid="{00000000-0005-0000-0000-000063140000}"/>
    <cellStyle name="Percent 2 7 3" xfId="4804" xr:uid="{00000000-0005-0000-0000-000064140000}"/>
    <cellStyle name="Percent 2 8" xfId="3963" xr:uid="{00000000-0005-0000-0000-000065140000}"/>
    <cellStyle name="Percent 2 8 2" xfId="4362" xr:uid="{00000000-0005-0000-0000-000066140000}"/>
    <cellStyle name="Percent 2 8 2 2" xfId="5232" xr:uid="{00000000-0005-0000-0000-000067140000}"/>
    <cellStyle name="Percent 2 8 3" xfId="4805" xr:uid="{00000000-0005-0000-0000-000068140000}"/>
    <cellStyle name="Percent 2 9" xfId="3999" xr:uid="{00000000-0005-0000-0000-000069140000}"/>
    <cellStyle name="Percent 2 9 2" xfId="5000" xr:uid="{00000000-0005-0000-0000-00006A140000}"/>
    <cellStyle name="Percent 3" xfId="3964" xr:uid="{00000000-0005-0000-0000-00006B140000}"/>
    <cellStyle name="Percent 3 2" xfId="3965" xr:uid="{00000000-0005-0000-0000-00006C140000}"/>
    <cellStyle name="Percent 4" xfId="3966" xr:uid="{00000000-0005-0000-0000-00006D140000}"/>
    <cellStyle name="Percent 4 2" xfId="3967" xr:uid="{00000000-0005-0000-0000-00006E140000}"/>
    <cellStyle name="Percent 5" xfId="3968" xr:uid="{00000000-0005-0000-0000-00006F140000}"/>
    <cellStyle name="Percent 6" xfId="3997" xr:uid="{00000000-0005-0000-0000-000070140000}"/>
    <cellStyle name="Percent 7" xfId="5250" xr:uid="{CDCFBBB5-4B17-4C13-99B1-C289D5038CB6}"/>
    <cellStyle name="rabic_S12M (2)" xfId="3969" xr:uid="{00000000-0005-0000-0000-000071140000}"/>
    <cellStyle name="Sheet Title" xfId="3970" xr:uid="{00000000-0005-0000-0000-000072140000}"/>
    <cellStyle name="Standard_Balance Sheet AscoTec GmbH" xfId="3982" xr:uid="{00000000-0005-0000-0000-000073140000}"/>
    <cellStyle name="Style 1" xfId="3971" xr:uid="{00000000-0005-0000-0000-000074140000}"/>
    <cellStyle name="Title 2" xfId="3972" xr:uid="{00000000-0005-0000-0000-000075140000}"/>
    <cellStyle name="Total 2" xfId="3973" xr:uid="{00000000-0005-0000-0000-000076140000}"/>
    <cellStyle name="ver_Bar2M  (2)" xfId="3974" xr:uid="{00000000-0005-0000-0000-000077140000}"/>
    <cellStyle name="ver2 (4)" xfId="3975" xr:uid="{00000000-0005-0000-0000-000078140000}"/>
    <cellStyle name="Warning Text 2" xfId="3976" xr:uid="{00000000-0005-0000-0000-000079140000}"/>
    <cellStyle name="ولی" xfId="13" xr:uid="{00000000-0005-0000-0000-00007A140000}"/>
    <cellStyle name="표준_17-4-2000" xfId="3977" xr:uid="{00000000-0005-0000-0000-00007B140000}"/>
    <cellStyle name="常规 2" xfId="3978" xr:uid="{00000000-0005-0000-0000-00007C140000}"/>
    <cellStyle name="桁区切り [0.00]_RFP003A" xfId="3979" xr:uid="{00000000-0005-0000-0000-00007D140000}"/>
    <cellStyle name="桁区切り_RFP003B" xfId="3980" xr:uid="{00000000-0005-0000-0000-00007E140000}"/>
    <cellStyle name="標準_ANX3A12" xfId="3981" xr:uid="{00000000-0005-0000-0000-00007F140000}"/>
  </cellStyles>
  <dxfs count="0"/>
  <tableStyles count="0" defaultTableStyle="TableStyleMedium9" defaultPivotStyle="PivotStyleLight16"/>
  <colors>
    <mruColors>
      <color rgb="FFFF6600"/>
      <color rgb="FFFF99FF"/>
      <color rgb="FFFFFF99"/>
      <color rgb="FFF6F9FC"/>
      <color rgb="FF000066"/>
      <color rgb="FFF1F1AD"/>
      <color rgb="FFEAF0F6"/>
      <color rgb="FFD3DF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0</xdr:rowOff>
    </xdr:from>
    <xdr:to>
      <xdr:col>12</xdr:col>
      <xdr:colOff>0</xdr:colOff>
      <xdr:row>26</xdr:row>
      <xdr:rowOff>63500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5D12BE6-6DBA-4326-A2BC-BE17A37DDFB2}"/>
            </a:ext>
          </a:extLst>
        </xdr:cNvPr>
        <xdr:cNvSpPr txBox="1"/>
      </xdr:nvSpPr>
      <xdr:spPr>
        <a:xfrm>
          <a:off x="9939730406" y="8155781"/>
          <a:ext cx="14751844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123265</xdr:colOff>
      <xdr:row>32</xdr:row>
      <xdr:rowOff>410416</xdr:rowOff>
    </xdr:from>
    <xdr:to>
      <xdr:col>13</xdr:col>
      <xdr:colOff>898872</xdr:colOff>
      <xdr:row>37</xdr:row>
      <xdr:rowOff>120130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AD31160-B1F0-417C-BC06-8C7702B89E86}"/>
            </a:ext>
          </a:extLst>
        </xdr:cNvPr>
        <xdr:cNvSpPr txBox="1"/>
      </xdr:nvSpPr>
      <xdr:spPr>
        <a:xfrm>
          <a:off x="9906871657" y="9655269"/>
          <a:ext cx="16206107" cy="11888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fa-IR" sz="1200" b="1" baseline="0">
              <a:cs typeface="B Nazanin" panose="00000400000000000000" pitchFamily="2" charset="-78"/>
            </a:rPr>
            <a:t>حیدر آقازاده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fa-I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  <xdr:twoCellAnchor>
    <xdr:from>
      <xdr:col>0</xdr:col>
      <xdr:colOff>-66533826</xdr:colOff>
      <xdr:row>28</xdr:row>
      <xdr:rowOff>130969</xdr:rowOff>
    </xdr:from>
    <xdr:to>
      <xdr:col>0</xdr:col>
      <xdr:colOff>-52015005</xdr:colOff>
      <xdr:row>32</xdr:row>
      <xdr:rowOff>551656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C988012-CBB2-42FC-8FE9-F3F9FE567AD1}"/>
            </a:ext>
          </a:extLst>
        </xdr:cNvPr>
        <xdr:cNvSpPr txBox="1"/>
      </xdr:nvSpPr>
      <xdr:spPr>
        <a:xfrm>
          <a:off x="10009319036" y="8572500"/>
          <a:ext cx="14518821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علیرضا مظاهری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  <xdr:twoCellAnchor>
    <xdr:from>
      <xdr:col>0</xdr:col>
      <xdr:colOff>-66686226</xdr:colOff>
      <xdr:row>28</xdr:row>
      <xdr:rowOff>283369</xdr:rowOff>
    </xdr:from>
    <xdr:to>
      <xdr:col>0</xdr:col>
      <xdr:colOff>-52167405</xdr:colOff>
      <xdr:row>33</xdr:row>
      <xdr:rowOff>73025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6E7C62E-2641-4F91-B54E-10E51623BD10}"/>
            </a:ext>
          </a:extLst>
        </xdr:cNvPr>
        <xdr:cNvSpPr txBox="1"/>
      </xdr:nvSpPr>
      <xdr:spPr>
        <a:xfrm>
          <a:off x="10009471436" y="8724900"/>
          <a:ext cx="14518821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علیرضا مظاهری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  <xdr:twoCellAnchor>
    <xdr:from>
      <xdr:col>0</xdr:col>
      <xdr:colOff>-66838626</xdr:colOff>
      <xdr:row>29</xdr:row>
      <xdr:rowOff>66675</xdr:rowOff>
    </xdr:from>
    <xdr:to>
      <xdr:col>0</xdr:col>
      <xdr:colOff>-52319805</xdr:colOff>
      <xdr:row>34</xdr:row>
      <xdr:rowOff>34925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5127B5E9-E6C8-40D8-87A0-341914A9F04A}"/>
            </a:ext>
          </a:extLst>
        </xdr:cNvPr>
        <xdr:cNvSpPr txBox="1"/>
      </xdr:nvSpPr>
      <xdr:spPr>
        <a:xfrm>
          <a:off x="10009623836" y="8877300"/>
          <a:ext cx="14518821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علیرضا مظاهری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71438</xdr:colOff>
      <xdr:row>60</xdr:row>
      <xdr:rowOff>309562</xdr:rowOff>
    </xdr:from>
    <xdr:to>
      <xdr:col>14</xdr:col>
      <xdr:colOff>1262062</xdr:colOff>
      <xdr:row>65</xdr:row>
      <xdr:rowOff>142873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10DF86-516C-441D-B47D-C6D068C42F59}"/>
            </a:ext>
          </a:extLst>
        </xdr:cNvPr>
        <xdr:cNvSpPr txBox="1"/>
      </xdr:nvSpPr>
      <xdr:spPr>
        <a:xfrm>
          <a:off x="10126122750" y="29313187"/>
          <a:ext cx="38838187" cy="18573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28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endParaRPr lang="fa-IR" sz="1000" b="1">
            <a:cs typeface="B Nazanin" panose="00000400000000000000" pitchFamily="2" charset="-78"/>
          </a:endParaRPr>
        </a:p>
        <a:p>
          <a:pPr algn="r" rtl="1"/>
          <a:r>
            <a:rPr lang="fa-IR" sz="2800" b="1">
              <a:cs typeface="B Lotus" panose="00000400000000000000" pitchFamily="2" charset="-78"/>
            </a:rPr>
            <a:t>  </a:t>
          </a:r>
          <a:r>
            <a:rPr lang="fa-IR" sz="2800" b="1">
              <a:cs typeface="B Nazanin" panose="00000400000000000000" pitchFamily="2" charset="-78"/>
            </a:rPr>
            <a:t>مریم</a:t>
          </a:r>
          <a:r>
            <a:rPr lang="fa-IR" sz="2800" b="1" baseline="0">
              <a:cs typeface="B Nazanin" panose="00000400000000000000" pitchFamily="2" charset="-78"/>
            </a:rPr>
            <a:t> شریفی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</a:t>
          </a:r>
          <a:r>
            <a:rPr lang="en-US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</a:t>
          </a:r>
          <a:r>
            <a:rPr lang="fa-IR" sz="2800" b="1">
              <a:cs typeface="B Nazanin" panose="00000400000000000000" pitchFamily="2" charset="-78"/>
            </a:rPr>
            <a:t>باهر</a:t>
          </a:r>
          <a:r>
            <a:rPr lang="fa-IR" sz="2800" b="1" baseline="0">
              <a:cs typeface="B Nazanin" panose="00000400000000000000" pitchFamily="2" charset="-78"/>
            </a:rPr>
            <a:t> شفایی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</a:t>
          </a:r>
          <a:r>
            <a:rPr lang="en-US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</a:t>
          </a:r>
          <a:r>
            <a:rPr lang="fa-IR" sz="2800" b="1" baseline="0">
              <a:cs typeface="B Nazanin" panose="00000400000000000000" pitchFamily="2" charset="-78"/>
            </a:rPr>
            <a:t>حیدر آقازاده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</a:t>
          </a:r>
          <a:r>
            <a:rPr lang="fa-IR" sz="2800" b="1" baseline="0">
              <a:cs typeface="B Nazanin" panose="00000400000000000000" pitchFamily="2" charset="-78"/>
            </a:rPr>
            <a:t>مهدی مرادی زاده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</a:t>
          </a:r>
          <a:r>
            <a:rPr lang="en-US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</a:t>
          </a:r>
          <a:r>
            <a:rPr lang="fa-IR" sz="2800" b="1">
              <a:cs typeface="B Nazanin" panose="00000400000000000000" pitchFamily="2" charset="-78"/>
            </a:rPr>
            <a:t>کاظم</a:t>
          </a:r>
          <a:r>
            <a:rPr lang="fa-IR" sz="2800" b="1" baseline="0">
              <a:cs typeface="B Nazanin" panose="00000400000000000000" pitchFamily="2" charset="-78"/>
            </a:rPr>
            <a:t> کاظمی</a:t>
          </a:r>
          <a:r>
            <a:rPr lang="fa-IR" sz="2800" b="1">
              <a:cs typeface="B Nazanin" panose="00000400000000000000" pitchFamily="2" charset="-78"/>
            </a:rPr>
            <a:t>              </a:t>
          </a:r>
          <a:r>
            <a:rPr lang="en-US" sz="2800" b="1">
              <a:cs typeface="B Nazanin" panose="00000400000000000000" pitchFamily="2" charset="-78"/>
            </a:rPr>
            <a:t>  </a:t>
          </a:r>
          <a:r>
            <a:rPr lang="fa-IR" sz="2800" b="1">
              <a:cs typeface="B Nazanin" panose="00000400000000000000" pitchFamily="2" charset="-78"/>
            </a:rPr>
            <a:t>       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28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</a:t>
          </a:r>
          <a:r>
            <a:rPr lang="en-US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28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en-US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28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28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r>
            <a:rPr lang="en-US" sz="28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endParaRPr lang="en-US" sz="28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31749</xdr:rowOff>
    </xdr:from>
    <xdr:to>
      <xdr:col>3</xdr:col>
      <xdr:colOff>2794001</xdr:colOff>
      <xdr:row>11</xdr:row>
      <xdr:rowOff>105833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9035D2B-F5B8-4EDE-B42D-A5348973D788}"/>
            </a:ext>
          </a:extLst>
        </xdr:cNvPr>
        <xdr:cNvSpPr txBox="1"/>
      </xdr:nvSpPr>
      <xdr:spPr>
        <a:xfrm>
          <a:off x="10054632333" y="3026832"/>
          <a:ext cx="10996084" cy="8360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9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9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900" b="1">
              <a:cs typeface="B Nazanin" panose="00000400000000000000" pitchFamily="2" charset="-78"/>
            </a:rPr>
            <a:t>مریم</a:t>
          </a:r>
          <a:r>
            <a:rPr lang="fa-IR" sz="9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900" b="1">
              <a:cs typeface="B Nazanin" panose="00000400000000000000" pitchFamily="2" charset="-78"/>
            </a:rPr>
            <a:t>باهر</a:t>
          </a:r>
          <a:r>
            <a:rPr lang="fa-IR" sz="900" b="1" baseline="0">
              <a:cs typeface="B Nazanin" panose="00000400000000000000" pitchFamily="2" charset="-78"/>
            </a:rPr>
            <a:t> شفایی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900" b="1" baseline="0">
              <a:cs typeface="B Nazanin" panose="00000400000000000000" pitchFamily="2" charset="-78"/>
            </a:rPr>
            <a:t>حیدر آقازاده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9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900" b="1">
              <a:cs typeface="B Nazanin" panose="00000400000000000000" pitchFamily="2" charset="-78"/>
            </a:rPr>
            <a:t>کاظم</a:t>
          </a:r>
          <a:r>
            <a:rPr lang="fa-IR" sz="900" b="1" baseline="0">
              <a:cs typeface="B Nazanin" panose="00000400000000000000" pitchFamily="2" charset="-78"/>
            </a:rPr>
            <a:t> کاظمی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9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سعید</a:t>
          </a:r>
          <a:r>
            <a:rPr lang="fa-IR" sz="9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9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9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900" b="1">
            <a:cs typeface="B Nazanin" panose="00000400000000000000" pitchFamily="2" charset="-78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2381</xdr:colOff>
      <xdr:row>37</xdr:row>
      <xdr:rowOff>154780</xdr:rowOff>
    </xdr:from>
    <xdr:to>
      <xdr:col>47</xdr:col>
      <xdr:colOff>555171</xdr:colOff>
      <xdr:row>44</xdr:row>
      <xdr:rowOff>27780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6ED79F6-EE57-4575-9666-0974F934CE77}"/>
            </a:ext>
          </a:extLst>
        </xdr:cNvPr>
        <xdr:cNvSpPr txBox="1"/>
      </xdr:nvSpPr>
      <xdr:spPr>
        <a:xfrm>
          <a:off x="9919577548" y="8298655"/>
          <a:ext cx="14518821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4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2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200" b="1">
              <a:cs typeface="B Nazanin" panose="00000400000000000000" pitchFamily="2" charset="-78"/>
            </a:rPr>
            <a:t>مریم</a:t>
          </a:r>
          <a:r>
            <a:rPr lang="fa-IR" sz="1200" b="1" baseline="0">
              <a:cs typeface="B Nazanin" panose="00000400000000000000" pitchFamily="2" charset="-78"/>
            </a:rPr>
            <a:t> شریفی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</a:t>
          </a:r>
          <a:r>
            <a:rPr lang="fa-IR" sz="1200" b="1">
              <a:cs typeface="B Nazanin" panose="00000400000000000000" pitchFamily="2" charset="-78"/>
            </a:rPr>
            <a:t>باهر</a:t>
          </a:r>
          <a:r>
            <a:rPr lang="fa-IR" sz="1200" b="1" baseline="0">
              <a:cs typeface="B Nazanin" panose="00000400000000000000" pitchFamily="2" charset="-78"/>
            </a:rPr>
            <a:t> شفایی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علیرضا مظاهری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حیدر آقازاده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cs typeface="B Nazanin" panose="00000400000000000000" pitchFamily="2" charset="-78"/>
            </a:rPr>
            <a:t>کاظم</a:t>
          </a:r>
          <a:r>
            <a:rPr lang="fa-IR" sz="1200" b="1" baseline="0">
              <a:cs typeface="B Nazanin" panose="00000400000000000000" pitchFamily="2" charset="-78"/>
            </a:rPr>
            <a:t> کاظمی</a:t>
          </a:r>
          <a:r>
            <a:rPr lang="fa-IR" sz="1200" b="1"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en-US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محسن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ورزشکار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</a:t>
          </a:r>
          <a:r>
            <a:rPr lang="fa-IR" sz="12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2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200" b="1">
            <a:cs typeface="B Nazanin" panose="00000400000000000000" pitchFamily="2" charset="-78"/>
          </a:endParaRPr>
        </a:p>
      </xdr:txBody>
    </xdr:sp>
    <xdr:clientData/>
  </xdr:twoCellAnchor>
  <xdr:twoCellAnchor>
    <xdr:from>
      <xdr:col>0</xdr:col>
      <xdr:colOff>0</xdr:colOff>
      <xdr:row>20</xdr:row>
      <xdr:rowOff>47625</xdr:rowOff>
    </xdr:from>
    <xdr:to>
      <xdr:col>2</xdr:col>
      <xdr:colOff>0</xdr:colOff>
      <xdr:row>26</xdr:row>
      <xdr:rowOff>111125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8DEB7ED-A55E-4360-9F01-A5A50880C1FF}"/>
            </a:ext>
          </a:extLst>
        </xdr:cNvPr>
        <xdr:cNvSpPr txBox="1"/>
      </xdr:nvSpPr>
      <xdr:spPr>
        <a:xfrm>
          <a:off x="9950065031" y="7286625"/>
          <a:ext cx="11882438" cy="1206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fa-IR" sz="1000" b="1">
              <a:cs typeface="B Nazanin" panose="00000400000000000000" pitchFamily="2" charset="-78"/>
            </a:rPr>
            <a:t>نام و نام خانوادگی:</a:t>
          </a:r>
        </a:p>
        <a:p>
          <a:pPr algn="r" rtl="1"/>
          <a:r>
            <a:rPr lang="fa-IR" sz="1000">
              <a:cs typeface="B Lotus" panose="00000400000000000000" pitchFamily="2" charset="-78"/>
            </a:rPr>
            <a:t>    </a:t>
          </a:r>
        </a:p>
        <a:p>
          <a:pPr algn="r" rtl="1"/>
          <a:r>
            <a:rPr lang="fa-IR" sz="1000" b="1">
              <a:cs typeface="B Nazanin" panose="00000400000000000000" pitchFamily="2" charset="-78"/>
            </a:rPr>
            <a:t>مریم</a:t>
          </a:r>
          <a:r>
            <a:rPr lang="fa-IR" sz="1000" b="1" baseline="0">
              <a:cs typeface="B Nazanin" panose="00000400000000000000" pitchFamily="2" charset="-78"/>
            </a:rPr>
            <a:t> شریفی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1000" b="1">
              <a:cs typeface="B Nazanin" panose="00000400000000000000" pitchFamily="2" charset="-78"/>
            </a:rPr>
            <a:t>باهر</a:t>
          </a:r>
          <a:r>
            <a:rPr lang="fa-IR" sz="1000" b="1" baseline="0">
              <a:cs typeface="B Nazanin" panose="00000400000000000000" pitchFamily="2" charset="-78"/>
            </a:rPr>
            <a:t> شفایی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1000" b="1" baseline="0">
              <a:cs typeface="B Nazanin" panose="00000400000000000000" pitchFamily="2" charset="-78"/>
            </a:rPr>
            <a:t>حیدر آقازاده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1000" b="1" baseline="0">
              <a:cs typeface="B Nazanin" panose="00000400000000000000" pitchFamily="2" charset="-78"/>
            </a:rPr>
            <a:t>مهدی مرادی زاده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1000" b="1">
              <a:cs typeface="B Nazanin" panose="00000400000000000000" pitchFamily="2" charset="-78"/>
            </a:rPr>
            <a:t>کاظم</a:t>
          </a:r>
          <a:r>
            <a:rPr lang="fa-IR" sz="1000" b="1" baseline="0">
              <a:cs typeface="B Nazanin" panose="00000400000000000000" pitchFamily="2" charset="-78"/>
            </a:rPr>
            <a:t> کاظمی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10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علی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همتیار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10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سعید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ابراهیمی</a:t>
          </a:r>
          <a:r>
            <a:rPr lang="fa-I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</a:t>
          </a:r>
          <a:r>
            <a:rPr lang="fa-IR" sz="1000" b="1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محمود</a:t>
          </a:r>
          <a:r>
            <a:rPr lang="fa-IR" sz="1000" b="1" baseline="0">
              <a:solidFill>
                <a:schemeClr val="dk1"/>
              </a:solidFill>
              <a:effectLst/>
              <a:latin typeface="+mn-lt"/>
              <a:ea typeface="+mn-ea"/>
              <a:cs typeface="B Nazanin" panose="00000400000000000000" pitchFamily="2" charset="-78"/>
            </a:rPr>
            <a:t> نیکوسخن</a:t>
          </a:r>
          <a:endParaRPr lang="en-US" sz="1000" b="1">
            <a:cs typeface="B Nazanin" panose="00000400000000000000" pitchFamily="2" charset="-7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RUN%20PLANT\mis\Plann\CIV-COMP-CODE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01100"/>
      <sheetName val="B02222"/>
      <sheetName val="B02224"/>
      <sheetName val="B02430)"/>
      <sheetName val="B02620"/>
      <sheetName val="B03450"/>
      <sheetName val="B03620"/>
      <sheetName val="B03625"/>
      <sheetName val="B03650"/>
      <sheetName val="B03625 (2)"/>
      <sheetName val="Sheet1"/>
      <sheetName val="02-21A"/>
      <sheetName val="CIV-COMP-C (2)"/>
      <sheetName val="CIV"/>
      <sheetName val="CIV-COMP-C"/>
      <sheetName val="Mofid"/>
      <sheetName val="Act.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Proj TIC - Std Imp"/>
      <sheetName val="Project Metrics"/>
      <sheetName val="Unit Costs - Std Imp"/>
      <sheetName val="Unit MH - Std Imp"/>
      <sheetName val="Bank"/>
      <sheetName val="Sheet1 (2)"/>
      <sheetName val="GeneralFeedDevices_Labels"/>
      <sheetName val="CalmingSection_Labels"/>
      <sheetName val="MTO UG PIPING (2)"/>
      <sheetName val="General"/>
      <sheetName val="Summary Sheets"/>
      <sheetName val="Building Name"/>
      <sheetName val="Temporary"/>
      <sheetName val="Equipment"/>
      <sheetName val="Input"/>
      <sheetName val="BASE"/>
      <sheetName val="Base Form"/>
      <sheetName val="فهرست ابنیه 8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0EAE1-56DA-41AE-8D39-AB66A5DFB421}">
  <dimension ref="B1:N20"/>
  <sheetViews>
    <sheetView showGridLines="0" rightToLeft="1" view="pageBreakPreview" topLeftCell="A7" zoomScale="70" zoomScaleNormal="80" zoomScaleSheetLayoutView="70" workbookViewId="0">
      <selection activeCell="M18" sqref="M18"/>
    </sheetView>
  </sheetViews>
  <sheetFormatPr defaultRowHeight="15"/>
  <cols>
    <col min="1" max="1" width="0.42578125" customWidth="1"/>
    <col min="2" max="2" width="34.85546875" customWidth="1"/>
    <col min="3" max="3" width="10.42578125" customWidth="1"/>
    <col min="4" max="4" width="18.85546875" customWidth="1"/>
    <col min="5" max="5" width="15.28515625" customWidth="1"/>
    <col min="6" max="6" width="5.85546875" customWidth="1"/>
    <col min="7" max="7" width="15.85546875" customWidth="1"/>
    <col min="8" max="8" width="18.7109375" customWidth="1"/>
    <col min="9" max="9" width="23.5703125" customWidth="1"/>
    <col min="10" max="10" width="11.85546875" customWidth="1"/>
    <col min="11" max="11" width="20.7109375" bestFit="1" customWidth="1"/>
    <col min="12" max="12" width="34.140625" customWidth="1"/>
    <col min="14" max="14" width="11.42578125" bestFit="1" customWidth="1"/>
  </cols>
  <sheetData>
    <row r="1" spans="2:14" ht="54.75" customHeight="1">
      <c r="B1" s="516" t="s">
        <v>270</v>
      </c>
      <c r="C1" s="516"/>
      <c r="D1" s="516"/>
      <c r="E1" s="516"/>
      <c r="F1" s="516"/>
      <c r="G1" s="516"/>
      <c r="H1" s="516"/>
      <c r="I1" s="516"/>
      <c r="J1" s="516"/>
      <c r="K1" s="516"/>
      <c r="L1" s="516"/>
    </row>
    <row r="2" spans="2:14" ht="54.75" customHeight="1" thickBot="1">
      <c r="B2" s="410"/>
      <c r="C2" s="410"/>
      <c r="D2" s="410"/>
      <c r="E2" s="411"/>
      <c r="F2" s="411"/>
      <c r="G2" s="411"/>
      <c r="H2" s="411"/>
      <c r="I2" s="411"/>
      <c r="J2" s="410"/>
      <c r="K2" s="410"/>
      <c r="L2" s="410"/>
    </row>
    <row r="3" spans="2:14" ht="27" thickBot="1">
      <c r="E3" s="501" t="s">
        <v>196</v>
      </c>
      <c r="F3" s="502"/>
      <c r="G3" s="502"/>
      <c r="H3" s="502"/>
      <c r="I3" s="503"/>
      <c r="L3" s="278"/>
    </row>
    <row r="4" spans="2:14" ht="33.75">
      <c r="E4" s="504" t="s">
        <v>0</v>
      </c>
      <c r="F4" s="505"/>
      <c r="G4" s="178" t="s">
        <v>118</v>
      </c>
      <c r="H4" s="186" t="s">
        <v>119</v>
      </c>
      <c r="I4" s="414" t="s">
        <v>116</v>
      </c>
    </row>
    <row r="5" spans="2:14" ht="31.5" customHeight="1">
      <c r="E5" s="506" t="s">
        <v>115</v>
      </c>
      <c r="F5" s="507"/>
      <c r="G5" s="395">
        <f>'مقدار فروش '!B7+'مقدار فروش '!B13</f>
        <v>759999.61800000002</v>
      </c>
      <c r="H5" s="395">
        <f>'مقدار فروش '!B14</f>
        <v>100000.25499999999</v>
      </c>
      <c r="I5" s="396">
        <f>G5+H5</f>
        <v>859999.87300000002</v>
      </c>
    </row>
    <row r="6" spans="2:14" ht="32.25">
      <c r="E6" s="506" t="s">
        <v>114</v>
      </c>
      <c r="F6" s="507"/>
      <c r="G6" s="395">
        <f>'مقدار فروش '!B21</f>
        <v>349999.93599999993</v>
      </c>
      <c r="H6" s="395">
        <v>0</v>
      </c>
      <c r="I6" s="396">
        <f>G6+H6</f>
        <v>349999.93599999993</v>
      </c>
    </row>
    <row r="7" spans="2:14" ht="32.25">
      <c r="E7" s="506" t="s">
        <v>265</v>
      </c>
      <c r="F7" s="507"/>
      <c r="G7" s="395">
        <f>'مقدار فروش '!B25</f>
        <v>60000</v>
      </c>
      <c r="H7" s="395">
        <v>0</v>
      </c>
      <c r="I7" s="396">
        <f>G7+H7</f>
        <v>60000</v>
      </c>
    </row>
    <row r="8" spans="2:14" ht="36.75" thickBot="1">
      <c r="E8" s="508" t="s">
        <v>116</v>
      </c>
      <c r="F8" s="509"/>
      <c r="G8" s="397">
        <f>SUM(G4:G7)</f>
        <v>1169999.554</v>
      </c>
      <c r="H8" s="397">
        <f>SUM(H4:H7)</f>
        <v>100000.25499999999</v>
      </c>
      <c r="I8" s="398">
        <f>SUM(I5:I7)</f>
        <v>1269999.8089999999</v>
      </c>
      <c r="L8" s="190"/>
    </row>
    <row r="9" spans="2:14" ht="36.75" thickBot="1">
      <c r="C9" s="240"/>
      <c r="E9" s="510"/>
      <c r="F9" s="510"/>
      <c r="G9" s="191"/>
      <c r="H9" s="191"/>
      <c r="I9" s="191"/>
      <c r="L9" s="179"/>
    </row>
    <row r="10" spans="2:14" ht="53.25" customHeight="1" thickBot="1">
      <c r="E10" s="511" t="s">
        <v>268</v>
      </c>
      <c r="F10" s="512"/>
      <c r="G10" s="512"/>
      <c r="H10" s="513"/>
      <c r="I10" s="189">
        <f>'مقدار فروش '!B32</f>
        <v>289999.70000000007</v>
      </c>
      <c r="J10" s="243"/>
      <c r="K10" s="243"/>
      <c r="L10" s="179"/>
    </row>
    <row r="11" spans="2:14" ht="33" thickBot="1">
      <c r="E11" s="243"/>
      <c r="F11" s="243"/>
      <c r="G11" s="243"/>
      <c r="H11" s="243"/>
      <c r="I11" s="192"/>
      <c r="J11" s="243"/>
      <c r="K11" s="243"/>
      <c r="L11" s="179"/>
    </row>
    <row r="12" spans="2:14" ht="30.75" thickBot="1">
      <c r="B12" s="521" t="s">
        <v>197</v>
      </c>
      <c r="C12" s="522"/>
      <c r="D12" s="522"/>
      <c r="E12" s="523"/>
      <c r="G12" s="177"/>
      <c r="H12" s="514" t="s">
        <v>198</v>
      </c>
      <c r="I12" s="515"/>
      <c r="J12" s="187"/>
      <c r="K12" s="521" t="s">
        <v>253</v>
      </c>
      <c r="L12" s="522"/>
    </row>
    <row r="13" spans="2:14" ht="33.75">
      <c r="B13" s="517" t="s">
        <v>120</v>
      </c>
      <c r="C13" s="518"/>
      <c r="D13" s="275">
        <f>'مقدار فروش '!B7</f>
        <v>369999.84</v>
      </c>
      <c r="E13" s="408">
        <f>D13/D15</f>
        <v>0.29133850050838872</v>
      </c>
      <c r="F13" s="179"/>
      <c r="H13" s="400" t="s">
        <v>119</v>
      </c>
      <c r="I13" s="181">
        <f>'مقدار فروش '!B14</f>
        <v>100000.25499999999</v>
      </c>
      <c r="K13" s="413" t="s">
        <v>0</v>
      </c>
      <c r="L13" s="412" t="s">
        <v>117</v>
      </c>
    </row>
    <row r="14" spans="2:14" ht="33.75">
      <c r="B14" s="519" t="s">
        <v>121</v>
      </c>
      <c r="C14" s="520"/>
      <c r="D14" s="193">
        <f>'مقدار فروش '!B27</f>
        <v>899999.96899999981</v>
      </c>
      <c r="E14" s="409">
        <f>D14/D15</f>
        <v>0.70866149949161128</v>
      </c>
      <c r="F14" s="179"/>
      <c r="G14" s="399"/>
      <c r="H14" s="183" t="s">
        <v>123</v>
      </c>
      <c r="I14" s="182">
        <f>'مقدار فروش '!B7+'مقدار فروش '!B13+'مقدار فروش '!B21+'مقدار فروش '!B25</f>
        <v>1169999.554</v>
      </c>
      <c r="K14" s="188" t="s">
        <v>124</v>
      </c>
      <c r="L14" s="193">
        <v>103000</v>
      </c>
    </row>
    <row r="15" spans="2:14" ht="30.75" thickBot="1">
      <c r="B15" s="499" t="s">
        <v>122</v>
      </c>
      <c r="C15" s="500"/>
      <c r="D15" s="180">
        <f>SUM(D13:D14)</f>
        <v>1269999.8089999999</v>
      </c>
      <c r="E15" s="277">
        <f>SUM(E13:E14)</f>
        <v>1</v>
      </c>
      <c r="F15" s="179"/>
      <c r="G15" s="399"/>
      <c r="H15" s="184" t="s">
        <v>122</v>
      </c>
      <c r="I15" s="438">
        <f>SUM(I13:I14)</f>
        <v>1269999.8089999999</v>
      </c>
      <c r="K15" s="188" t="s">
        <v>125</v>
      </c>
      <c r="L15" s="193">
        <v>103000</v>
      </c>
      <c r="N15" s="132"/>
    </row>
    <row r="16" spans="2:14" ht="27" thickBot="1">
      <c r="F16" s="179"/>
      <c r="G16" s="399"/>
      <c r="K16" s="184" t="s">
        <v>122</v>
      </c>
      <c r="L16" s="185">
        <f>SUM(L14:L15)</f>
        <v>206000</v>
      </c>
      <c r="N16" s="132"/>
    </row>
    <row r="17" spans="2:10" ht="30">
      <c r="B17" s="194" t="s">
        <v>126</v>
      </c>
      <c r="C17" s="493">
        <f>' تولید '!O50</f>
        <v>1116918.0375757576</v>
      </c>
      <c r="D17" s="494"/>
      <c r="E17" s="179"/>
      <c r="F17" s="179"/>
      <c r="G17" s="179"/>
      <c r="J17" s="179"/>
    </row>
    <row r="18" spans="2:10" ht="51">
      <c r="B18" s="394" t="s">
        <v>247</v>
      </c>
      <c r="C18" s="495">
        <f>' تولید '!O51</f>
        <v>170853.84924623117</v>
      </c>
      <c r="D18" s="496"/>
      <c r="E18" s="179"/>
      <c r="F18" s="179"/>
      <c r="G18" s="179"/>
      <c r="H18" s="179"/>
      <c r="I18" s="179"/>
      <c r="J18" s="179"/>
    </row>
    <row r="19" spans="2:10" ht="30.75" thickBot="1">
      <c r="B19" s="184" t="s">
        <v>127</v>
      </c>
      <c r="C19" s="497">
        <f>SUM(C17:D18)</f>
        <v>1287771.8868219887</v>
      </c>
      <c r="D19" s="498"/>
      <c r="E19" s="179"/>
      <c r="F19" s="179"/>
      <c r="G19" s="179"/>
      <c r="H19" s="179"/>
      <c r="I19" s="179"/>
    </row>
    <row r="20" spans="2:10" ht="27" customHeight="1"/>
  </sheetData>
  <mergeCells count="18">
    <mergeCell ref="B1:L1"/>
    <mergeCell ref="B13:C13"/>
    <mergeCell ref="B14:C14"/>
    <mergeCell ref="K12:L12"/>
    <mergeCell ref="B12:E12"/>
    <mergeCell ref="E6:F6"/>
    <mergeCell ref="C17:D17"/>
    <mergeCell ref="C18:D18"/>
    <mergeCell ref="C19:D19"/>
    <mergeCell ref="B15:C15"/>
    <mergeCell ref="E3:I3"/>
    <mergeCell ref="E4:F4"/>
    <mergeCell ref="E5:F5"/>
    <mergeCell ref="E7:F7"/>
    <mergeCell ref="E8:F8"/>
    <mergeCell ref="E9:F9"/>
    <mergeCell ref="E10:H10"/>
    <mergeCell ref="H12:I12"/>
  </mergeCells>
  <printOptions horizontalCentered="1"/>
  <pageMargins left="0" right="0" top="0.75" bottom="0" header="0" footer="0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70198-B029-4160-833B-20BDBC86D419}">
  <sheetPr>
    <pageSetUpPr fitToPage="1"/>
  </sheetPr>
  <dimension ref="A1:X43"/>
  <sheetViews>
    <sheetView showGridLines="0" rightToLeft="1" view="pageBreakPreview" zoomScale="85" zoomScaleNormal="100" zoomScaleSheetLayoutView="85" workbookViewId="0">
      <pane ySplit="2" topLeftCell="A24" activePane="bottomLeft" state="frozen"/>
      <selection activeCell="M12" sqref="M12"/>
      <selection pane="bottomLeft" activeCell="E28" sqref="E28"/>
    </sheetView>
  </sheetViews>
  <sheetFormatPr defaultRowHeight="15"/>
  <cols>
    <col min="1" max="1" width="41.5703125" customWidth="1"/>
    <col min="2" max="2" width="21.7109375" customWidth="1"/>
    <col min="3" max="3" width="18.7109375" bestFit="1" customWidth="1"/>
    <col min="4" max="4" width="15.5703125" bestFit="1" customWidth="1"/>
    <col min="5" max="5" width="15.140625" bestFit="1" customWidth="1"/>
    <col min="6" max="6" width="16.140625" bestFit="1" customWidth="1"/>
    <col min="7" max="7" width="17.28515625" bestFit="1" customWidth="1"/>
    <col min="8" max="8" width="15.42578125" bestFit="1" customWidth="1"/>
    <col min="9" max="9" width="15.5703125" bestFit="1" customWidth="1"/>
    <col min="10" max="11" width="16" bestFit="1" customWidth="1"/>
    <col min="12" max="12" width="15.7109375" bestFit="1" customWidth="1"/>
    <col min="13" max="13" width="16" bestFit="1" customWidth="1"/>
    <col min="14" max="14" width="15.7109375" bestFit="1" customWidth="1"/>
    <col min="16" max="16" width="20" customWidth="1"/>
    <col min="17" max="17" width="18" bestFit="1" customWidth="1"/>
    <col min="18" max="18" width="16.85546875" bestFit="1" customWidth="1"/>
    <col min="19" max="22" width="11.5703125" bestFit="1" customWidth="1"/>
  </cols>
  <sheetData>
    <row r="1" spans="1:19" s="2" customFormat="1" ht="40.5">
      <c r="A1" s="524" t="s">
        <v>273</v>
      </c>
      <c r="B1" s="524"/>
      <c r="C1" s="524"/>
      <c r="D1" s="524"/>
      <c r="E1" s="524"/>
      <c r="F1" s="524"/>
      <c r="G1" s="524"/>
      <c r="H1" s="524"/>
      <c r="I1" s="524"/>
      <c r="J1" s="524"/>
      <c r="K1" s="524"/>
      <c r="L1" s="524"/>
      <c r="M1" s="524"/>
      <c r="N1" s="524"/>
    </row>
    <row r="2" spans="1:19" ht="45.75" thickBot="1">
      <c r="A2" s="386" t="s">
        <v>113</v>
      </c>
      <c r="B2" s="387" t="s">
        <v>254</v>
      </c>
      <c r="C2" s="388" t="s">
        <v>21</v>
      </c>
      <c r="D2" s="388" t="s">
        <v>22</v>
      </c>
      <c r="E2" s="388" t="s">
        <v>23</v>
      </c>
      <c r="F2" s="388" t="s">
        <v>24</v>
      </c>
      <c r="G2" s="388" t="s">
        <v>25</v>
      </c>
      <c r="H2" s="388" t="s">
        <v>26</v>
      </c>
      <c r="I2" s="392" t="s">
        <v>27</v>
      </c>
      <c r="J2" s="392" t="s">
        <v>28</v>
      </c>
      <c r="K2" s="392" t="s">
        <v>29</v>
      </c>
      <c r="L2" s="392" t="s">
        <v>30</v>
      </c>
      <c r="M2" s="392" t="s">
        <v>31</v>
      </c>
      <c r="N2" s="393" t="s">
        <v>32</v>
      </c>
    </row>
    <row r="3" spans="1:19" ht="28.5">
      <c r="A3" s="389" t="s">
        <v>35</v>
      </c>
      <c r="B3" s="390"/>
      <c r="C3" s="390"/>
      <c r="D3" s="390"/>
      <c r="E3" s="390"/>
      <c r="F3" s="390"/>
      <c r="G3" s="390"/>
      <c r="H3" s="390"/>
      <c r="I3" s="390"/>
      <c r="J3" s="390"/>
      <c r="K3" s="390"/>
      <c r="L3" s="390"/>
      <c r="M3" s="390"/>
      <c r="N3" s="391"/>
      <c r="Q3">
        <f>I9*I7/25000</f>
        <v>7839.9999999999991</v>
      </c>
    </row>
    <row r="4" spans="1:19" s="417" customFormat="1" ht="24">
      <c r="A4" s="415" t="s">
        <v>249</v>
      </c>
      <c r="B4" s="416">
        <f t="shared" ref="B4:B7" si="0">SUM(C4:N4)</f>
        <v>364738.9</v>
      </c>
      <c r="C4" s="446">
        <v>7052.96</v>
      </c>
      <c r="D4" s="446">
        <v>13065.8</v>
      </c>
      <c r="E4" s="446">
        <v>41068.32</v>
      </c>
      <c r="F4" s="446">
        <v>47260.89</v>
      </c>
      <c r="G4" s="446">
        <v>57774.17</v>
      </c>
      <c r="H4" s="446">
        <v>74039.81</v>
      </c>
      <c r="I4" s="446">
        <v>34087.199999999997</v>
      </c>
      <c r="J4" s="446">
        <v>17559</v>
      </c>
      <c r="K4" s="446">
        <v>17559</v>
      </c>
      <c r="L4" s="446">
        <v>18534.5</v>
      </c>
      <c r="M4" s="446">
        <v>18534.5</v>
      </c>
      <c r="N4" s="446">
        <v>18202.75</v>
      </c>
      <c r="P4" s="417">
        <f>2732*12532/14532</f>
        <v>2356.0022020368842</v>
      </c>
      <c r="R4" s="417">
        <f>N9*18660/N7</f>
        <v>3508.0537599718759</v>
      </c>
    </row>
    <row r="5" spans="1:19" s="417" customFormat="1" ht="24">
      <c r="A5" s="415" t="s">
        <v>255</v>
      </c>
      <c r="B5" s="416">
        <f t="shared" si="0"/>
        <v>4696.28</v>
      </c>
      <c r="C5" s="446">
        <v>0</v>
      </c>
      <c r="D5" s="446">
        <v>269.91000000000003</v>
      </c>
      <c r="E5" s="446">
        <v>696.72</v>
      </c>
      <c r="F5" s="446">
        <v>214.52</v>
      </c>
      <c r="G5" s="446">
        <v>240.83</v>
      </c>
      <c r="H5" s="446">
        <v>520.72</v>
      </c>
      <c r="I5" s="446">
        <v>789.6</v>
      </c>
      <c r="J5" s="446">
        <v>381.49</v>
      </c>
      <c r="K5" s="446">
        <v>381.49</v>
      </c>
      <c r="L5" s="446">
        <v>402.7</v>
      </c>
      <c r="M5" s="446">
        <v>402.7</v>
      </c>
      <c r="N5" s="446">
        <v>395.6</v>
      </c>
      <c r="P5" s="418"/>
      <c r="Q5" s="417">
        <f>10000/5</f>
        <v>2000</v>
      </c>
      <c r="S5" s="418">
        <f>2732*12660/14532</f>
        <v>2380.0660611065236</v>
      </c>
    </row>
    <row r="6" spans="1:19" s="417" customFormat="1" ht="24">
      <c r="A6" s="415" t="s">
        <v>18</v>
      </c>
      <c r="B6" s="416">
        <f t="shared" si="0"/>
        <v>564.66</v>
      </c>
      <c r="C6" s="446">
        <v>0</v>
      </c>
      <c r="D6" s="446">
        <v>0</v>
      </c>
      <c r="E6" s="446">
        <v>35.950000000000003</v>
      </c>
      <c r="F6" s="446">
        <v>0</v>
      </c>
      <c r="G6" s="446">
        <v>78.8</v>
      </c>
      <c r="H6" s="446">
        <v>20.66</v>
      </c>
      <c r="I6" s="446">
        <v>123.2</v>
      </c>
      <c r="J6" s="446">
        <v>59.46</v>
      </c>
      <c r="K6" s="446">
        <v>59.46</v>
      </c>
      <c r="L6" s="446">
        <v>62.75</v>
      </c>
      <c r="M6" s="446">
        <v>62.75</v>
      </c>
      <c r="N6" s="446">
        <v>61.63</v>
      </c>
      <c r="O6" s="418"/>
      <c r="P6" s="430">
        <f>532*5</f>
        <v>2660</v>
      </c>
      <c r="R6" s="430"/>
    </row>
    <row r="7" spans="1:19" s="421" customFormat="1" ht="28.5">
      <c r="A7" s="419" t="s">
        <v>193</v>
      </c>
      <c r="B7" s="420">
        <f t="shared" si="0"/>
        <v>369999.84</v>
      </c>
      <c r="C7" s="447">
        <f t="shared" ref="C7:G7" si="1">SUM(C4:C6)</f>
        <v>7052.96</v>
      </c>
      <c r="D7" s="447">
        <f t="shared" si="1"/>
        <v>13335.71</v>
      </c>
      <c r="E7" s="447">
        <f t="shared" si="1"/>
        <v>41800.99</v>
      </c>
      <c r="F7" s="447">
        <f t="shared" si="1"/>
        <v>47475.409999999996</v>
      </c>
      <c r="G7" s="447">
        <f t="shared" si="1"/>
        <v>58093.8</v>
      </c>
      <c r="H7" s="447">
        <f>SUM(H4:H6)</f>
        <v>74581.19</v>
      </c>
      <c r="I7" s="447">
        <f>SUM(I4:I6)</f>
        <v>34999.999999999993</v>
      </c>
      <c r="J7" s="447">
        <f>SUM(J4:J6)</f>
        <v>17999.95</v>
      </c>
      <c r="K7" s="447">
        <f t="shared" ref="K7:L7" si="2">SUM(K4:K6)</f>
        <v>17999.95</v>
      </c>
      <c r="L7" s="447">
        <f t="shared" si="2"/>
        <v>18999.95</v>
      </c>
      <c r="M7" s="447">
        <f>SUM(M4:M6)</f>
        <v>18999.95</v>
      </c>
      <c r="N7" s="447">
        <f>SUM(N4:N6)</f>
        <v>18659.98</v>
      </c>
      <c r="P7" s="433">
        <f>J4*P15/J7</f>
        <v>12224.988252300702</v>
      </c>
      <c r="Q7" s="421">
        <f>J7*J9/11734</f>
        <v>5190.900869694904</v>
      </c>
      <c r="R7" s="445"/>
    </row>
    <row r="8" spans="1:19" s="421" customFormat="1" ht="24">
      <c r="A8" s="422" t="s">
        <v>243</v>
      </c>
      <c r="B8" s="423">
        <f>SUM(C8:N8)</f>
        <v>323992.1399999999</v>
      </c>
      <c r="C8" s="448">
        <v>4194.4799999999996</v>
      </c>
      <c r="D8" s="448">
        <v>10966.96</v>
      </c>
      <c r="E8" s="448">
        <v>35909.49</v>
      </c>
      <c r="F8" s="448">
        <v>46653.41</v>
      </c>
      <c r="G8" s="448">
        <v>56512.36</v>
      </c>
      <c r="H8" s="448">
        <v>65115.65</v>
      </c>
      <c r="I8" s="448">
        <v>29400.1</v>
      </c>
      <c r="J8" s="448">
        <v>14615.91</v>
      </c>
      <c r="K8" s="448">
        <v>14615.91</v>
      </c>
      <c r="L8" s="448">
        <v>15427.98</v>
      </c>
      <c r="M8" s="448">
        <v>15427.98</v>
      </c>
      <c r="N8" s="448">
        <v>15151.91</v>
      </c>
      <c r="P8" s="433">
        <f>J5*P15/J7</f>
        <v>265.60229901305286</v>
      </c>
      <c r="Q8" s="421">
        <f>10080*25000/12000</f>
        <v>21000</v>
      </c>
      <c r="R8" s="445"/>
    </row>
    <row r="9" spans="1:19" s="421" customFormat="1" ht="24.75" thickBot="1">
      <c r="A9" s="424" t="s">
        <v>244</v>
      </c>
      <c r="B9" s="425">
        <f>SUM(C9:N9)</f>
        <v>46007.41</v>
      </c>
      <c r="C9" s="105">
        <v>2858.48</v>
      </c>
      <c r="D9" s="105">
        <v>2368.62</v>
      </c>
      <c r="E9" s="105">
        <v>5891.5</v>
      </c>
      <c r="F9" s="105">
        <v>822</v>
      </c>
      <c r="G9" s="105">
        <v>1581.44</v>
      </c>
      <c r="H9" s="105">
        <v>9465.5400000000009</v>
      </c>
      <c r="I9" s="105">
        <v>5600</v>
      </c>
      <c r="J9" s="105">
        <v>3383.9</v>
      </c>
      <c r="K9" s="105">
        <v>3383.9</v>
      </c>
      <c r="L9" s="105">
        <v>3571.99</v>
      </c>
      <c r="M9" s="105">
        <v>3571.99</v>
      </c>
      <c r="N9" s="105">
        <v>3508.05</v>
      </c>
      <c r="P9" s="433">
        <f>J6*P15/J7</f>
        <v>41.397448686246356</v>
      </c>
      <c r="Q9" s="433">
        <f>I9*25000/12000</f>
        <v>11666.666666666666</v>
      </c>
    </row>
    <row r="10" spans="1:19" s="417" customFormat="1" ht="29.25" thickBot="1">
      <c r="A10" s="435"/>
      <c r="B10" s="434"/>
      <c r="C10" s="434"/>
      <c r="D10" s="434"/>
      <c r="E10" s="434"/>
      <c r="F10" s="434"/>
      <c r="G10" s="434"/>
      <c r="H10" s="434"/>
      <c r="I10" s="434"/>
      <c r="J10" s="434"/>
      <c r="K10" s="434"/>
      <c r="L10" s="434"/>
      <c r="M10" s="434"/>
      <c r="N10" s="434"/>
      <c r="Q10" s="417">
        <f>79530-80000</f>
        <v>-470</v>
      </c>
      <c r="R10" s="430">
        <f>N7+128</f>
        <v>18787.98</v>
      </c>
    </row>
    <row r="11" spans="1:19" s="417" customFormat="1" ht="29.25" thickBot="1">
      <c r="A11" s="426" t="s">
        <v>42</v>
      </c>
      <c r="B11" s="427"/>
      <c r="C11" s="427"/>
      <c r="D11" s="427"/>
      <c r="E11" s="427"/>
      <c r="F11" s="427"/>
      <c r="G11" s="427"/>
      <c r="H11" s="427"/>
      <c r="I11" s="427"/>
      <c r="J11" s="427"/>
      <c r="K11" s="427"/>
      <c r="L11" s="427"/>
      <c r="M11" s="427"/>
      <c r="N11" s="427"/>
      <c r="P11" s="417">
        <f>340000</f>
        <v>340000</v>
      </c>
      <c r="Q11" s="417">
        <f>Q10/5</f>
        <v>-94</v>
      </c>
      <c r="R11" s="417" t="e">
        <f>S=339872-340000</f>
        <v>#NAME?</v>
      </c>
    </row>
    <row r="12" spans="1:19" s="417" customFormat="1" ht="25.5">
      <c r="A12" s="428" t="s">
        <v>245</v>
      </c>
      <c r="B12" s="429"/>
      <c r="C12" s="439"/>
      <c r="D12" s="439"/>
      <c r="E12" s="439"/>
      <c r="F12" s="439"/>
      <c r="G12" s="439"/>
      <c r="H12" s="439"/>
      <c r="I12" s="439"/>
      <c r="J12" s="439"/>
      <c r="K12" s="439"/>
      <c r="L12" s="439"/>
      <c r="M12" s="439"/>
      <c r="N12" s="440"/>
      <c r="P12" s="430">
        <f>SUM(C7:H7)</f>
        <v>242340.06</v>
      </c>
    </row>
    <row r="13" spans="1:19" s="450" customFormat="1" ht="24">
      <c r="A13" s="449" t="s">
        <v>187</v>
      </c>
      <c r="B13" s="446">
        <f>SUM(C13:N13)</f>
        <v>389999.77799999993</v>
      </c>
      <c r="C13" s="446">
        <v>42461.89</v>
      </c>
      <c r="D13" s="446">
        <v>47211.07</v>
      </c>
      <c r="E13" s="446">
        <v>37662.317999999999</v>
      </c>
      <c r="F13" s="446">
        <v>21730.723999999998</v>
      </c>
      <c r="G13" s="446">
        <v>34027.802000000003</v>
      </c>
      <c r="H13" s="446">
        <v>17098.973999999998</v>
      </c>
      <c r="I13" s="446">
        <f>25000+807-1000</f>
        <v>24807</v>
      </c>
      <c r="J13" s="446">
        <v>25000</v>
      </c>
      <c r="K13" s="446">
        <f>25000+10000</f>
        <v>35000</v>
      </c>
      <c r="L13" s="446">
        <f t="shared" ref="L13:N13" si="3">25000+10000</f>
        <v>35000</v>
      </c>
      <c r="M13" s="446">
        <f t="shared" si="3"/>
        <v>35000</v>
      </c>
      <c r="N13" s="446">
        <f t="shared" si="3"/>
        <v>35000</v>
      </c>
      <c r="P13" s="487">
        <f>P11-P12</f>
        <v>97659.94</v>
      </c>
      <c r="Q13" s="451">
        <f>961*5</f>
        <v>4805</v>
      </c>
      <c r="R13" s="452"/>
    </row>
    <row r="14" spans="1:19" s="450" customFormat="1" ht="24">
      <c r="A14" s="449" t="s">
        <v>188</v>
      </c>
      <c r="B14" s="446">
        <f>SUM(C14:N14)</f>
        <v>100000.25499999999</v>
      </c>
      <c r="C14" s="446">
        <v>8632.7900000000009</v>
      </c>
      <c r="D14" s="446">
        <v>9479.0059999999994</v>
      </c>
      <c r="E14" s="446">
        <v>7530.0739999999996</v>
      </c>
      <c r="F14" s="446">
        <v>3178.7359999999999</v>
      </c>
      <c r="G14" s="446">
        <v>6167.7479999999996</v>
      </c>
      <c r="H14" s="446">
        <v>7684.8010000000004</v>
      </c>
      <c r="I14" s="446">
        <f>8000.1-675</f>
        <v>7325.1</v>
      </c>
      <c r="J14" s="446">
        <f>9865.4+135</f>
        <v>10000.4</v>
      </c>
      <c r="K14" s="446">
        <f t="shared" ref="K14:N14" si="4">9865.4+135</f>
        <v>10000.4</v>
      </c>
      <c r="L14" s="446">
        <f t="shared" si="4"/>
        <v>10000.4</v>
      </c>
      <c r="M14" s="446">
        <f t="shared" si="4"/>
        <v>10000.4</v>
      </c>
      <c r="N14" s="446">
        <f t="shared" si="4"/>
        <v>10000.4</v>
      </c>
      <c r="P14" s="487">
        <f>P13-I7</f>
        <v>62659.94000000001</v>
      </c>
      <c r="Q14" s="451"/>
      <c r="R14" s="451">
        <f>J13+761</f>
        <v>25761</v>
      </c>
    </row>
    <row r="15" spans="1:19" s="450" customFormat="1" ht="24.75" thickBot="1">
      <c r="A15" s="453" t="s">
        <v>190</v>
      </c>
      <c r="B15" s="454">
        <f>B13+B14</f>
        <v>490000.03299999994</v>
      </c>
      <c r="C15" s="454">
        <f>SUM(C13,C14)</f>
        <v>51094.68</v>
      </c>
      <c r="D15" s="454">
        <f>SUM(D13,D14)</f>
        <v>56690.076000000001</v>
      </c>
      <c r="E15" s="454">
        <f t="shared" ref="E15:M15" si="5">SUM(E13,E14)</f>
        <v>45192.392</v>
      </c>
      <c r="F15" s="454">
        <f t="shared" si="5"/>
        <v>24909.46</v>
      </c>
      <c r="G15" s="454">
        <f t="shared" si="5"/>
        <v>40195.550000000003</v>
      </c>
      <c r="H15" s="454">
        <f t="shared" si="5"/>
        <v>24783.774999999998</v>
      </c>
      <c r="I15" s="454">
        <f>SUM(I13,I14)</f>
        <v>32132.1</v>
      </c>
      <c r="J15" s="454">
        <f t="shared" si="5"/>
        <v>35000.400000000001</v>
      </c>
      <c r="K15" s="454">
        <f t="shared" si="5"/>
        <v>45000.4</v>
      </c>
      <c r="L15" s="454">
        <f t="shared" si="5"/>
        <v>45000.4</v>
      </c>
      <c r="M15" s="454">
        <f t="shared" si="5"/>
        <v>45000.4</v>
      </c>
      <c r="N15" s="454">
        <f>SUM(N13,N14)</f>
        <v>45000.4</v>
      </c>
      <c r="P15" s="488">
        <f>P14/5</f>
        <v>12531.988000000001</v>
      </c>
      <c r="Q15" s="451">
        <f>316193-320000</f>
        <v>-3807</v>
      </c>
      <c r="R15" s="451">
        <f>Q15/5</f>
        <v>-761.4</v>
      </c>
    </row>
    <row r="16" spans="1:19" s="455" customFormat="1" ht="12" customHeight="1" thickBot="1">
      <c r="A16" s="525"/>
      <c r="B16" s="525"/>
      <c r="C16" s="525"/>
      <c r="D16" s="525"/>
      <c r="E16" s="525"/>
      <c r="F16" s="525"/>
      <c r="G16" s="525"/>
      <c r="H16" s="525"/>
      <c r="I16" s="525"/>
      <c r="J16" s="525"/>
      <c r="K16" s="525"/>
      <c r="L16" s="525"/>
      <c r="M16" s="525"/>
      <c r="N16" s="525"/>
      <c r="O16" s="450"/>
      <c r="P16" s="450"/>
      <c r="Q16" s="451"/>
      <c r="R16" s="451"/>
    </row>
    <row r="17" spans="1:20" s="455" customFormat="1" ht="24.75" thickBot="1">
      <c r="A17" s="456" t="s">
        <v>191</v>
      </c>
      <c r="B17" s="457">
        <f>SUM(B7+B15)</f>
        <v>859999.87299999991</v>
      </c>
      <c r="C17" s="457">
        <f>C15+C7</f>
        <v>58147.64</v>
      </c>
      <c r="D17" s="457">
        <f t="shared" ref="D17:N17" si="6">D15+D7</f>
        <v>70025.785999999993</v>
      </c>
      <c r="E17" s="457">
        <f t="shared" si="6"/>
        <v>86993.381999999998</v>
      </c>
      <c r="F17" s="457">
        <f t="shared" si="6"/>
        <v>72384.87</v>
      </c>
      <c r="G17" s="457">
        <f t="shared" si="6"/>
        <v>98289.35</v>
      </c>
      <c r="H17" s="457">
        <f t="shared" si="6"/>
        <v>99364.964999999997</v>
      </c>
      <c r="I17" s="457">
        <f>I15+I7</f>
        <v>67132.099999999991</v>
      </c>
      <c r="J17" s="457">
        <f t="shared" si="6"/>
        <v>53000.350000000006</v>
      </c>
      <c r="K17" s="457">
        <f t="shared" si="6"/>
        <v>63000.350000000006</v>
      </c>
      <c r="L17" s="457">
        <f t="shared" si="6"/>
        <v>64000.350000000006</v>
      </c>
      <c r="M17" s="457">
        <f t="shared" si="6"/>
        <v>64000.350000000006</v>
      </c>
      <c r="N17" s="458">
        <f t="shared" si="6"/>
        <v>63660.380000000005</v>
      </c>
      <c r="O17" s="450"/>
      <c r="P17" s="487">
        <f>B14-100000</f>
        <v>0.2549999999901047</v>
      </c>
      <c r="Q17" s="451">
        <f>P17/5</f>
        <v>5.0999999998020941E-2</v>
      </c>
      <c r="R17" s="451">
        <f>1200000*0.27</f>
        <v>324000</v>
      </c>
    </row>
    <row r="18" spans="1:20" s="455" customFormat="1" ht="5.25" customHeight="1" thickBot="1">
      <c r="A18" s="459"/>
      <c r="B18" s="460"/>
      <c r="C18" s="460"/>
      <c r="D18" s="460"/>
      <c r="E18" s="460"/>
      <c r="F18" s="460"/>
      <c r="G18" s="460"/>
      <c r="H18" s="460"/>
      <c r="I18" s="460"/>
      <c r="J18" s="460"/>
      <c r="K18" s="460"/>
      <c r="L18" s="460"/>
      <c r="M18" s="460"/>
      <c r="N18" s="460"/>
      <c r="O18" s="450"/>
      <c r="Q18" s="451"/>
    </row>
    <row r="19" spans="1:20" s="455" customFormat="1" ht="25.5">
      <c r="A19" s="461" t="s">
        <v>246</v>
      </c>
      <c r="B19" s="462"/>
      <c r="C19" s="463"/>
      <c r="D19" s="463"/>
      <c r="E19" s="463"/>
      <c r="F19" s="463"/>
      <c r="G19" s="463"/>
      <c r="H19" s="463"/>
      <c r="I19" s="463"/>
      <c r="J19" s="463"/>
      <c r="K19" s="463"/>
      <c r="L19" s="463"/>
      <c r="M19" s="463"/>
      <c r="N19" s="463"/>
      <c r="O19" s="450"/>
      <c r="Q19" s="451"/>
    </row>
    <row r="20" spans="1:20" s="455" customFormat="1" ht="24.75" thickBot="1">
      <c r="A20" s="464" t="s">
        <v>248</v>
      </c>
      <c r="B20" s="465">
        <f>SUM(C20:N20)</f>
        <v>349999.93599999993</v>
      </c>
      <c r="C20" s="465">
        <v>49090.661</v>
      </c>
      <c r="D20" s="465">
        <v>47545.63</v>
      </c>
      <c r="E20" s="465">
        <v>42148.284</v>
      </c>
      <c r="F20" s="465">
        <v>41133.442000000003</v>
      </c>
      <c r="G20" s="465">
        <v>16752.968000000001</v>
      </c>
      <c r="H20" s="465">
        <v>7080.5510000000004</v>
      </c>
      <c r="I20" s="465">
        <f>22868.3</f>
        <v>22868.3</v>
      </c>
      <c r="J20" s="465">
        <f>30849.7-5000-1000+150+8000</f>
        <v>32999.699999999997</v>
      </c>
      <c r="K20" s="465">
        <f>30849.6-5000-1000+150-2000</f>
        <v>22999.599999999999</v>
      </c>
      <c r="L20" s="465">
        <f>30849.6-5000-1000-850-2000</f>
        <v>21999.599999999999</v>
      </c>
      <c r="M20" s="465">
        <f>30849.6-5000-1000-150-2000</f>
        <v>22699.599999999999</v>
      </c>
      <c r="N20" s="465">
        <f>30849.6-5000-1000-150-18-2000</f>
        <v>22681.599999999999</v>
      </c>
      <c r="O20" s="450"/>
      <c r="P20" s="491">
        <f>850*5</f>
        <v>4250</v>
      </c>
      <c r="Q20" s="451">
        <f>807/5</f>
        <v>161.4</v>
      </c>
    </row>
    <row r="21" spans="1:20" s="455" customFormat="1" ht="24.75" thickBot="1">
      <c r="A21" s="466" t="s">
        <v>192</v>
      </c>
      <c r="B21" s="467">
        <f>B20</f>
        <v>349999.93599999993</v>
      </c>
      <c r="C21" s="468">
        <f>C20</f>
        <v>49090.661</v>
      </c>
      <c r="D21" s="468">
        <f>D20</f>
        <v>47545.63</v>
      </c>
      <c r="E21" s="468">
        <f t="shared" ref="E21:N21" si="7">E20</f>
        <v>42148.284</v>
      </c>
      <c r="F21" s="468">
        <f t="shared" si="7"/>
        <v>41133.442000000003</v>
      </c>
      <c r="G21" s="468">
        <f t="shared" si="7"/>
        <v>16752.968000000001</v>
      </c>
      <c r="H21" s="468">
        <f t="shared" si="7"/>
        <v>7080.5510000000004</v>
      </c>
      <c r="I21" s="468">
        <f>I20</f>
        <v>22868.3</v>
      </c>
      <c r="J21" s="468">
        <f t="shared" si="7"/>
        <v>32999.699999999997</v>
      </c>
      <c r="K21" s="468">
        <f t="shared" si="7"/>
        <v>22999.599999999999</v>
      </c>
      <c r="L21" s="468">
        <f t="shared" si="7"/>
        <v>21999.599999999999</v>
      </c>
      <c r="M21" s="468">
        <f t="shared" si="7"/>
        <v>22699.599999999999</v>
      </c>
      <c r="N21" s="468">
        <f t="shared" si="7"/>
        <v>22681.599999999999</v>
      </c>
      <c r="O21" s="450"/>
      <c r="P21" s="492">
        <f>1040/5</f>
        <v>208</v>
      </c>
      <c r="Q21" s="451">
        <f>9865-10000</f>
        <v>-135</v>
      </c>
      <c r="R21" s="469"/>
    </row>
    <row r="22" spans="1:20" s="529" customFormat="1" ht="7.5" customHeight="1" thickBot="1">
      <c r="B22" s="530"/>
      <c r="C22" s="530"/>
      <c r="D22" s="530"/>
      <c r="E22" s="530"/>
      <c r="F22" s="530"/>
      <c r="G22" s="530"/>
      <c r="H22" s="530"/>
      <c r="I22" s="530"/>
      <c r="J22" s="530"/>
      <c r="K22" s="530"/>
      <c r="L22" s="530"/>
      <c r="M22" s="530"/>
      <c r="N22" s="530"/>
      <c r="O22" s="530"/>
      <c r="P22" s="530"/>
    </row>
    <row r="23" spans="1:20" s="455" customFormat="1" ht="25.5">
      <c r="A23" s="470" t="s">
        <v>259</v>
      </c>
      <c r="B23" s="471"/>
      <c r="C23" s="471"/>
      <c r="D23" s="471"/>
      <c r="E23" s="471"/>
      <c r="F23" s="471"/>
      <c r="G23" s="471"/>
      <c r="H23" s="471"/>
      <c r="I23" s="471"/>
      <c r="J23" s="471"/>
      <c r="K23" s="471"/>
      <c r="L23" s="471"/>
      <c r="M23" s="471"/>
      <c r="N23" s="471"/>
      <c r="Q23" s="469"/>
    </row>
    <row r="24" spans="1:20" s="455" customFormat="1" ht="24.75" thickBot="1">
      <c r="A24" s="464" t="s">
        <v>260</v>
      </c>
      <c r="B24" s="465">
        <f>SUM(C24:N24)</f>
        <v>60000</v>
      </c>
      <c r="C24" s="465" t="s">
        <v>11</v>
      </c>
      <c r="D24" s="465" t="s">
        <v>11</v>
      </c>
      <c r="E24" s="465" t="s">
        <v>11</v>
      </c>
      <c r="F24" s="465"/>
      <c r="G24" s="465"/>
      <c r="H24" s="465"/>
      <c r="I24" s="465"/>
      <c r="J24" s="465">
        <v>0</v>
      </c>
      <c r="K24" s="465">
        <v>15000</v>
      </c>
      <c r="L24" s="465">
        <v>15000</v>
      </c>
      <c r="M24" s="465">
        <v>15000</v>
      </c>
      <c r="N24" s="465">
        <v>15000</v>
      </c>
      <c r="Q24" s="455">
        <f>100/4</f>
        <v>25</v>
      </c>
    </row>
    <row r="25" spans="1:20" s="455" customFormat="1" ht="24.75" thickBot="1">
      <c r="A25" s="472" t="s">
        <v>261</v>
      </c>
      <c r="B25" s="473">
        <f>SUM(C25:N25)</f>
        <v>60000</v>
      </c>
      <c r="C25" s="474" t="str">
        <f t="shared" ref="C25:N25" si="8">C24</f>
        <v>-</v>
      </c>
      <c r="D25" s="474" t="str">
        <f t="shared" si="8"/>
        <v>-</v>
      </c>
      <c r="E25" s="474" t="str">
        <f t="shared" si="8"/>
        <v>-</v>
      </c>
      <c r="F25" s="474">
        <f>F24</f>
        <v>0</v>
      </c>
      <c r="G25" s="474">
        <f t="shared" si="8"/>
        <v>0</v>
      </c>
      <c r="H25" s="474">
        <f t="shared" si="8"/>
        <v>0</v>
      </c>
      <c r="I25" s="474">
        <f>I24</f>
        <v>0</v>
      </c>
      <c r="J25" s="474">
        <f t="shared" si="8"/>
        <v>0</v>
      </c>
      <c r="K25" s="474">
        <f t="shared" si="8"/>
        <v>15000</v>
      </c>
      <c r="L25" s="474">
        <f t="shared" si="8"/>
        <v>15000</v>
      </c>
      <c r="M25" s="474">
        <f t="shared" si="8"/>
        <v>15000</v>
      </c>
      <c r="N25" s="474">
        <f t="shared" si="8"/>
        <v>15000</v>
      </c>
      <c r="P25" s="489">
        <f>5000/5</f>
        <v>1000</v>
      </c>
    </row>
    <row r="26" spans="1:20" s="455" customFormat="1" ht="6.75" customHeight="1" thickBot="1">
      <c r="A26" s="526"/>
      <c r="B26" s="527"/>
      <c r="C26" s="527"/>
      <c r="D26" s="527"/>
      <c r="E26" s="527"/>
      <c r="F26" s="527"/>
      <c r="G26" s="527"/>
      <c r="H26" s="527"/>
      <c r="I26" s="527"/>
      <c r="J26" s="527"/>
      <c r="K26" s="527"/>
      <c r="L26" s="527"/>
      <c r="M26" s="527"/>
      <c r="N26" s="528"/>
    </row>
    <row r="27" spans="1:20" s="455" customFormat="1" ht="29.25" thickBot="1">
      <c r="A27" s="475" t="s">
        <v>194</v>
      </c>
      <c r="B27" s="476">
        <f>SUM(B15+B21+B25)</f>
        <v>899999.96899999981</v>
      </c>
      <c r="C27" s="476">
        <f>C15+C21</f>
        <v>100185.341</v>
      </c>
      <c r="D27" s="476">
        <f>D15+D21</f>
        <v>104235.70600000001</v>
      </c>
      <c r="E27" s="476">
        <f>E15+E21</f>
        <v>87340.676000000007</v>
      </c>
      <c r="F27" s="476">
        <f t="shared" ref="F27:N27" si="9">F15+F21+F25</f>
        <v>66042.902000000002</v>
      </c>
      <c r="G27" s="476">
        <f t="shared" si="9"/>
        <v>56948.518000000004</v>
      </c>
      <c r="H27" s="476">
        <f>H15+H21+H25</f>
        <v>31864.325999999997</v>
      </c>
      <c r="I27" s="476">
        <f>I15+I21+I25</f>
        <v>55000.399999999994</v>
      </c>
      <c r="J27" s="476">
        <f>J15+J21+J25</f>
        <v>68000.100000000006</v>
      </c>
      <c r="K27" s="476">
        <f t="shared" si="9"/>
        <v>83000</v>
      </c>
      <c r="L27" s="476">
        <f t="shared" si="9"/>
        <v>82000</v>
      </c>
      <c r="M27" s="476">
        <f t="shared" si="9"/>
        <v>82700</v>
      </c>
      <c r="N27" s="476">
        <f t="shared" si="9"/>
        <v>82682</v>
      </c>
      <c r="Q27" s="455">
        <f>868-150</f>
        <v>718</v>
      </c>
    </row>
    <row r="28" spans="1:20" s="455" customFormat="1" ht="45" customHeight="1" thickBot="1">
      <c r="A28" s="477"/>
      <c r="B28" s="477"/>
      <c r="C28" s="477"/>
      <c r="D28" s="477"/>
      <c r="E28" s="477"/>
      <c r="F28" s="477"/>
      <c r="G28" s="477"/>
      <c r="H28" s="477"/>
      <c r="I28" s="477"/>
      <c r="J28" s="477"/>
      <c r="K28" s="477"/>
      <c r="L28" s="477"/>
      <c r="M28" s="477"/>
      <c r="N28" s="477"/>
      <c r="P28" s="451">
        <f>I29-90000</f>
        <v>0.39999999999417923</v>
      </c>
      <c r="Q28" s="455">
        <f>317/2</f>
        <v>158.5</v>
      </c>
    </row>
    <row r="29" spans="1:20" s="455" customFormat="1" ht="29.25" thickBot="1">
      <c r="A29" s="478" t="s">
        <v>195</v>
      </c>
      <c r="B29" s="479">
        <f>B27+B7</f>
        <v>1269999.8089999999</v>
      </c>
      <c r="C29" s="479">
        <f>C21+C17</f>
        <v>107238.30100000001</v>
      </c>
      <c r="D29" s="479">
        <f>D21+D17</f>
        <v>117571.416</v>
      </c>
      <c r="E29" s="479">
        <f>E21+E17</f>
        <v>129141.666</v>
      </c>
      <c r="F29" s="479">
        <f t="shared" ref="F29:M29" si="10">F21+F17+F25</f>
        <v>113518.31200000001</v>
      </c>
      <c r="G29" s="479">
        <f>G21+G17+G25</f>
        <v>115042.318</v>
      </c>
      <c r="H29" s="479">
        <f>H21+H17+H25</f>
        <v>106445.516</v>
      </c>
      <c r="I29" s="479">
        <f>I21+I17+I25</f>
        <v>90000.4</v>
      </c>
      <c r="J29" s="479">
        <f>J21+J17+J25</f>
        <v>86000.05</v>
      </c>
      <c r="K29" s="479">
        <f>K21+K17+K25</f>
        <v>100999.95000000001</v>
      </c>
      <c r="L29" s="479">
        <f t="shared" si="10"/>
        <v>100999.95000000001</v>
      </c>
      <c r="M29" s="479">
        <f t="shared" si="10"/>
        <v>101699.95000000001</v>
      </c>
      <c r="N29" s="479">
        <f>N21+N17+N25</f>
        <v>101341.98000000001</v>
      </c>
      <c r="P29" s="490">
        <f>5*208</f>
        <v>1040</v>
      </c>
      <c r="S29" s="469"/>
      <c r="T29" s="451"/>
    </row>
    <row r="30" spans="1:20" s="455" customFormat="1" ht="8.25" customHeight="1" thickBot="1"/>
    <row r="31" spans="1:20" s="455" customFormat="1" ht="24.75" hidden="1" thickBot="1">
      <c r="A31" s="480" t="s">
        <v>266</v>
      </c>
      <c r="B31" s="481">
        <v>300000</v>
      </c>
      <c r="C31" s="482">
        <v>7500</v>
      </c>
      <c r="D31" s="482">
        <v>15000</v>
      </c>
      <c r="E31" s="482">
        <v>7500</v>
      </c>
      <c r="F31" s="482">
        <v>7500</v>
      </c>
      <c r="G31" s="482">
        <v>7500</v>
      </c>
      <c r="H31" s="482">
        <v>15000</v>
      </c>
      <c r="I31" s="482">
        <v>38571</v>
      </c>
      <c r="J31" s="482">
        <v>38571</v>
      </c>
      <c r="K31" s="482">
        <v>38571</v>
      </c>
      <c r="L31" s="482">
        <v>42858</v>
      </c>
      <c r="M31" s="482">
        <v>42858</v>
      </c>
      <c r="N31" s="483">
        <v>38571</v>
      </c>
    </row>
    <row r="32" spans="1:20" s="455" customFormat="1" ht="24.75" thickBot="1">
      <c r="A32" s="480" t="s">
        <v>266</v>
      </c>
      <c r="B32" s="481">
        <f>SUM(C32:N32)</f>
        <v>289999.70000000007</v>
      </c>
      <c r="C32" s="481">
        <v>36301.1</v>
      </c>
      <c r="D32" s="481">
        <v>37153.4</v>
      </c>
      <c r="E32" s="481">
        <v>33478.6</v>
      </c>
      <c r="F32" s="481">
        <v>33715.300000000003</v>
      </c>
      <c r="G32" s="481">
        <v>11253</v>
      </c>
      <c r="H32" s="481">
        <v>3624.5</v>
      </c>
      <c r="I32" s="481">
        <f>I20-' تولید '!I22-1292+39.33</f>
        <v>10906.199999999999</v>
      </c>
      <c r="J32" s="481">
        <f>J20-' تولید '!J22-1294-6000+39.33</f>
        <v>15035.599999999997</v>
      </c>
      <c r="K32" s="481">
        <f>K24+K20-' تولید '!K22-1292+1500+39.33</f>
        <v>27537.5</v>
      </c>
      <c r="L32" s="481">
        <f>L24+L20-' تولید '!L22-1292+1500+39.33</f>
        <v>26537.5</v>
      </c>
      <c r="M32" s="481">
        <f>M24+M20-' تولید '!M22-1292+1500+39.33</f>
        <v>27237.5</v>
      </c>
      <c r="N32" s="481">
        <f>N24+N20-' تولید '!N22-1292+1500+39.33</f>
        <v>27219.5</v>
      </c>
    </row>
    <row r="33" spans="2:24" s="455" customFormat="1" ht="49.5" customHeight="1">
      <c r="B33" s="451"/>
      <c r="C33" s="451"/>
      <c r="D33" s="451"/>
      <c r="E33" s="451"/>
      <c r="F33" s="451"/>
      <c r="G33" s="451"/>
      <c r="H33" s="451"/>
      <c r="I33" s="451"/>
      <c r="J33" s="451"/>
      <c r="K33" s="451"/>
      <c r="L33" s="451"/>
      <c r="M33" s="451"/>
      <c r="N33" s="451"/>
    </row>
    <row r="34" spans="2:24" s="455" customFormat="1">
      <c r="B34" s="451"/>
      <c r="C34" s="451"/>
      <c r="D34" s="451"/>
      <c r="E34" s="451"/>
      <c r="F34" s="451"/>
      <c r="G34" s="451"/>
      <c r="H34" s="451"/>
      <c r="I34" s="451"/>
      <c r="J34" s="451"/>
      <c r="K34" s="451"/>
      <c r="L34" s="451"/>
      <c r="M34" s="451"/>
      <c r="N34" s="451"/>
      <c r="P34" s="469"/>
    </row>
    <row r="35" spans="2:24" s="48" customFormat="1" ht="18.75">
      <c r="B35" s="374"/>
      <c r="C35" s="374"/>
      <c r="F35" s="375"/>
      <c r="G35" s="374"/>
      <c r="H35" s="375"/>
      <c r="I35" s="376"/>
      <c r="N35" s="377"/>
      <c r="P35" s="374"/>
      <c r="Q35" s="455"/>
      <c r="R35" s="455"/>
      <c r="S35" s="455"/>
      <c r="T35" s="455"/>
      <c r="U35" s="455"/>
      <c r="V35" s="455"/>
      <c r="W35" s="455"/>
      <c r="X35" s="455"/>
    </row>
    <row r="36" spans="2:24" s="48" customFormat="1" ht="18.75">
      <c r="B36" s="374"/>
      <c r="C36" s="374"/>
      <c r="D36" s="374"/>
      <c r="E36" s="374"/>
      <c r="F36" s="375"/>
      <c r="G36" s="374"/>
      <c r="H36" s="374"/>
      <c r="I36" s="374"/>
      <c r="J36" s="374"/>
      <c r="K36" s="374"/>
      <c r="L36" s="374"/>
      <c r="M36" s="374"/>
      <c r="N36" s="374"/>
      <c r="P36" s="374"/>
      <c r="Q36" s="455"/>
      <c r="R36" s="455"/>
      <c r="S36" s="455"/>
      <c r="T36" s="455"/>
      <c r="U36" s="455"/>
      <c r="V36" s="455"/>
      <c r="W36" s="455"/>
      <c r="X36" s="455"/>
    </row>
    <row r="37" spans="2:24" s="455" customFormat="1">
      <c r="B37" s="484"/>
      <c r="P37" s="451"/>
    </row>
    <row r="38" spans="2:24" s="455" customFormat="1">
      <c r="B38" s="484"/>
      <c r="G38" s="451"/>
      <c r="H38" s="451"/>
      <c r="I38" s="451"/>
      <c r="J38" s="451"/>
      <c r="K38" s="451"/>
      <c r="L38" s="451"/>
      <c r="M38" s="451"/>
      <c r="N38" s="451"/>
    </row>
    <row r="39" spans="2:24" s="455" customFormat="1">
      <c r="B39" s="451"/>
    </row>
    <row r="41" spans="2:24"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</row>
    <row r="43" spans="2:24">
      <c r="I43" s="20"/>
      <c r="J43" s="20"/>
      <c r="K43" s="20"/>
      <c r="L43" s="20"/>
      <c r="M43" s="20"/>
      <c r="N43" s="20"/>
    </row>
  </sheetData>
  <mergeCells count="4">
    <mergeCell ref="A1:N1"/>
    <mergeCell ref="A16:N16"/>
    <mergeCell ref="A26:N26"/>
    <mergeCell ref="A22:XFD22"/>
  </mergeCells>
  <dataValidations count="1">
    <dataValidation operator="greaterThanOrEqual" allowBlank="1" showInputMessage="1" showErrorMessage="1" sqref="A1 O1:XFD1" xr:uid="{FF603E93-9095-44FD-B55D-2E7427ED6952}"/>
  </dataValidations>
  <pageMargins left="0.7" right="0.7" top="0.75" bottom="0.75" header="0.3" footer="0.3"/>
  <pageSetup paperSize="9" scale="5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2F705-3156-496A-97A8-8F056BF5E797}">
  <dimension ref="A1:BK111"/>
  <sheetViews>
    <sheetView showGridLines="0" rightToLeft="1" tabSelected="1" view="pageBreakPreview" topLeftCell="B43" zoomScale="40" zoomScaleNormal="60" zoomScaleSheetLayoutView="40" workbookViewId="0">
      <selection activeCell="AL57" sqref="AL57"/>
    </sheetView>
  </sheetViews>
  <sheetFormatPr defaultRowHeight="28.5"/>
  <cols>
    <col min="1" max="1" width="97.42578125" customWidth="1"/>
    <col min="2" max="2" width="98.7109375" customWidth="1"/>
    <col min="3" max="13" width="30.7109375" customWidth="1"/>
    <col min="14" max="14" width="27.28515625" bestFit="1" customWidth="1"/>
    <col min="15" max="15" width="28.7109375" bestFit="1" customWidth="1"/>
    <col min="16" max="16" width="9.140625" customWidth="1"/>
    <col min="17" max="17" width="9.140625" hidden="1" customWidth="1"/>
    <col min="18" max="18" width="20.5703125" hidden="1" customWidth="1"/>
    <col min="19" max="19" width="18.28515625" hidden="1" customWidth="1"/>
    <col min="20" max="20" width="20.85546875" hidden="1" customWidth="1"/>
    <col min="21" max="22" width="15.85546875" hidden="1" customWidth="1"/>
    <col min="23" max="23" width="20.5703125" hidden="1" customWidth="1"/>
    <col min="24" max="25" width="16.28515625" hidden="1" customWidth="1"/>
    <col min="26" max="26" width="19.7109375" hidden="1" customWidth="1"/>
    <col min="27" max="27" width="17.7109375" hidden="1" customWidth="1"/>
    <col min="28" max="28" width="16.85546875" hidden="1" customWidth="1"/>
    <col min="29" max="31" width="15.85546875" hidden="1" customWidth="1"/>
    <col min="32" max="32" width="16.28515625" hidden="1" customWidth="1"/>
    <col min="33" max="33" width="3.85546875" hidden="1" customWidth="1"/>
    <col min="34" max="34" width="13" hidden="1" customWidth="1"/>
    <col min="35" max="35" width="14.85546875" hidden="1" customWidth="1"/>
    <col min="36" max="36" width="29.140625" hidden="1" customWidth="1"/>
    <col min="37" max="37" width="23.42578125" bestFit="1" customWidth="1"/>
    <col min="38" max="38" width="20.42578125" style="208" bestFit="1" customWidth="1"/>
    <col min="39" max="42" width="20.42578125" bestFit="1" customWidth="1"/>
    <col min="43" max="43" width="22.5703125" bestFit="1" customWidth="1"/>
    <col min="44" max="44" width="22.28515625" customWidth="1"/>
    <col min="45" max="46" width="22.5703125" bestFit="1" customWidth="1"/>
    <col min="47" max="47" width="20.140625" bestFit="1" customWidth="1"/>
    <col min="48" max="48" width="22.5703125" bestFit="1" customWidth="1"/>
    <col min="49" max="49" width="25.140625" bestFit="1" customWidth="1"/>
    <col min="50" max="50" width="9.42578125" bestFit="1" customWidth="1"/>
  </cols>
  <sheetData>
    <row r="1" spans="1:38" ht="11.25" customHeight="1">
      <c r="A1" s="553"/>
      <c r="B1" s="553"/>
      <c r="C1" s="553"/>
      <c r="D1" s="553"/>
      <c r="E1" s="553"/>
      <c r="F1" s="553"/>
      <c r="G1" s="553"/>
      <c r="H1" s="553"/>
      <c r="I1" s="553"/>
      <c r="J1" s="553"/>
      <c r="K1" s="553"/>
      <c r="L1" s="553"/>
      <c r="M1" s="553"/>
      <c r="N1" s="55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spans="1:38" ht="87" customHeight="1">
      <c r="A2" s="554" t="s">
        <v>283</v>
      </c>
      <c r="B2" s="554"/>
      <c r="C2" s="554"/>
      <c r="D2" s="554"/>
      <c r="E2" s="554"/>
      <c r="F2" s="554"/>
      <c r="G2" s="554"/>
      <c r="H2" s="554"/>
      <c r="I2" s="554"/>
      <c r="J2" s="554"/>
      <c r="K2" s="554"/>
      <c r="L2" s="554"/>
      <c r="M2" s="554"/>
      <c r="N2" s="554"/>
      <c r="O2" s="55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38" ht="29.25" thickBot="1">
      <c r="A3" s="195"/>
      <c r="B3" s="196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98" t="s">
        <v>129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</row>
    <row r="4" spans="1:38" ht="34.5" thickBot="1">
      <c r="A4" s="560" t="s">
        <v>0</v>
      </c>
      <c r="B4" s="561"/>
      <c r="C4" s="383" t="s">
        <v>21</v>
      </c>
      <c r="D4" s="383" t="s">
        <v>22</v>
      </c>
      <c r="E4" s="383" t="s">
        <v>23</v>
      </c>
      <c r="F4" s="383" t="s">
        <v>24</v>
      </c>
      <c r="G4" s="383" t="s">
        <v>25</v>
      </c>
      <c r="H4" s="383" t="s">
        <v>26</v>
      </c>
      <c r="I4" s="384" t="s">
        <v>27</v>
      </c>
      <c r="J4" s="384" t="s">
        <v>28</v>
      </c>
      <c r="K4" s="384" t="s">
        <v>29</v>
      </c>
      <c r="L4" s="384" t="s">
        <v>30</v>
      </c>
      <c r="M4" s="384" t="s">
        <v>31</v>
      </c>
      <c r="N4" s="384" t="s">
        <v>32</v>
      </c>
      <c r="O4" s="385" t="s">
        <v>122</v>
      </c>
    </row>
    <row r="5" spans="1:38" ht="72.75">
      <c r="A5" s="555" t="s">
        <v>131</v>
      </c>
      <c r="B5" s="556"/>
      <c r="C5" s="556"/>
      <c r="D5" s="556"/>
      <c r="E5" s="556"/>
      <c r="F5" s="556"/>
      <c r="G5" s="556"/>
      <c r="H5" s="556"/>
      <c r="I5" s="556"/>
      <c r="J5" s="556"/>
      <c r="K5" s="556"/>
      <c r="L5" s="556"/>
      <c r="M5" s="556"/>
      <c r="N5" s="556"/>
      <c r="O5" s="557"/>
    </row>
    <row r="6" spans="1:38" s="308" customFormat="1" ht="39.75">
      <c r="A6" s="537" t="s">
        <v>132</v>
      </c>
      <c r="B6" s="379" t="s">
        <v>123</v>
      </c>
      <c r="C6" s="380">
        <f>79007-C7-C8-C9</f>
        <v>66603</v>
      </c>
      <c r="D6" s="380">
        <f>100236-D7-D8-D9</f>
        <v>90129</v>
      </c>
      <c r="E6" s="380">
        <f>105337-E7-E8-E9</f>
        <v>96946.05</v>
      </c>
      <c r="F6" s="380">
        <f>108802-F7-F8-F9</f>
        <v>102584</v>
      </c>
      <c r="G6" s="380">
        <f>97414-G7-G8-G9</f>
        <v>89955</v>
      </c>
      <c r="H6" s="380">
        <f>107058-H7-H8-H9</f>
        <v>107058</v>
      </c>
      <c r="I6" s="380">
        <f>'مقدار فروش '!I4+'مقدار فروش '!I13+'مقدار فروش '!I32</f>
        <v>69800.399999999994</v>
      </c>
      <c r="J6" s="380">
        <f>'مقدار فروش '!J4+'مقدار فروش '!J13+'مقدار فروش '!J32</f>
        <v>57594.6</v>
      </c>
      <c r="K6" s="380">
        <f>'مقدار فروش '!K4+'مقدار فروش '!K13+'مقدار فروش '!K32</f>
        <v>80096.5</v>
      </c>
      <c r="L6" s="380">
        <f>'مقدار فروش '!L4+'مقدار فروش '!L13+'مقدار فروش '!L32</f>
        <v>80072</v>
      </c>
      <c r="M6" s="380">
        <f>'مقدار فروش '!M4+'مقدار فروش '!M13+'مقدار فروش '!M32</f>
        <v>80772</v>
      </c>
      <c r="N6" s="380">
        <f>'مقدار فروش '!N4+'مقدار فروش '!N13+'مقدار فروش '!N32</f>
        <v>80422.25</v>
      </c>
      <c r="O6" s="357">
        <f>SUM(C6:N6)</f>
        <v>1002032.8</v>
      </c>
      <c r="S6" s="308">
        <v>800</v>
      </c>
      <c r="U6" s="380">
        <v>49468.75</v>
      </c>
      <c r="V6" s="380">
        <v>49468.75</v>
      </c>
      <c r="W6" s="380">
        <v>39950</v>
      </c>
      <c r="X6" s="380">
        <v>40075</v>
      </c>
      <c r="Y6" s="380">
        <v>40075</v>
      </c>
      <c r="Z6" s="380">
        <v>49475</v>
      </c>
      <c r="AA6" s="380">
        <v>57337.5</v>
      </c>
      <c r="AB6" s="380">
        <v>57356.25</v>
      </c>
      <c r="AC6" s="380">
        <v>98112.5</v>
      </c>
      <c r="AD6" s="380">
        <v>100112.5</v>
      </c>
      <c r="AE6" s="380">
        <v>100106.25</v>
      </c>
      <c r="AF6" s="380">
        <v>59462.5</v>
      </c>
      <c r="AL6" s="485"/>
    </row>
    <row r="7" spans="1:38" s="308" customFormat="1" ht="39.75">
      <c r="A7" s="537"/>
      <c r="B7" s="379" t="s">
        <v>119</v>
      </c>
      <c r="C7" s="380">
        <v>11693</v>
      </c>
      <c r="D7" s="380">
        <v>10089</v>
      </c>
      <c r="E7" s="380">
        <v>7313</v>
      </c>
      <c r="F7" s="380">
        <v>6218</v>
      </c>
      <c r="G7" s="380">
        <v>7378</v>
      </c>
      <c r="H7" s="380">
        <v>0</v>
      </c>
      <c r="I7" s="380">
        <f>'مقدار فروش '!I14</f>
        <v>7325.1</v>
      </c>
      <c r="J7" s="380">
        <f>'مقدار فروش '!J14</f>
        <v>10000.4</v>
      </c>
      <c r="K7" s="380">
        <f>'مقدار فروش '!K14</f>
        <v>10000.4</v>
      </c>
      <c r="L7" s="380">
        <f>'مقدار فروش '!L14</f>
        <v>10000.4</v>
      </c>
      <c r="M7" s="380">
        <f>'مقدار فروش '!M14</f>
        <v>10000.4</v>
      </c>
      <c r="N7" s="380">
        <f>'مقدار فروش '!N14</f>
        <v>10000.4</v>
      </c>
      <c r="O7" s="357">
        <f t="shared" ref="O7:O17" si="0">SUM(C7:N7)</f>
        <v>100018.09999999998</v>
      </c>
      <c r="U7" s="380">
        <f>U6+S6</f>
        <v>50268.75</v>
      </c>
      <c r="V7" s="380">
        <f>V6+S6</f>
        <v>50268.75</v>
      </c>
      <c r="W7" s="380">
        <f>W6+S6</f>
        <v>40750</v>
      </c>
      <c r="X7" s="380">
        <f>X6+S6</f>
        <v>40875</v>
      </c>
      <c r="Y7" s="380">
        <f>Y6+S6</f>
        <v>40875</v>
      </c>
      <c r="Z7" s="380">
        <f>Z6+S6</f>
        <v>50275</v>
      </c>
      <c r="AA7" s="380">
        <f>AA6+S6</f>
        <v>58137.5</v>
      </c>
      <c r="AB7" s="380">
        <f>AB6+S6</f>
        <v>58156.25</v>
      </c>
      <c r="AC7" s="380">
        <f>AC6+S6</f>
        <v>98912.5</v>
      </c>
      <c r="AD7" s="380">
        <f>AD6+S6</f>
        <v>100912.5</v>
      </c>
      <c r="AE7" s="380">
        <f>AE6+S6</f>
        <v>100906.25</v>
      </c>
      <c r="AF7" s="380">
        <f>AF6+S6</f>
        <v>60262.5</v>
      </c>
      <c r="AL7" s="485"/>
    </row>
    <row r="8" spans="1:38" s="308" customFormat="1" ht="39.75">
      <c r="A8" s="537"/>
      <c r="B8" s="381" t="s">
        <v>256</v>
      </c>
      <c r="C8" s="380">
        <v>711</v>
      </c>
      <c r="D8" s="380">
        <v>18</v>
      </c>
      <c r="E8" s="380">
        <v>1042</v>
      </c>
      <c r="F8" s="380">
        <v>0</v>
      </c>
      <c r="G8" s="380">
        <v>2</v>
      </c>
      <c r="H8" s="380">
        <v>0</v>
      </c>
      <c r="I8" s="380">
        <f>'مقدار فروش '!I5</f>
        <v>789.6</v>
      </c>
      <c r="J8" s="380">
        <f>'مقدار فروش '!J5</f>
        <v>381.49</v>
      </c>
      <c r="K8" s="380">
        <f>'مقدار فروش '!K5</f>
        <v>381.49</v>
      </c>
      <c r="L8" s="380">
        <f>'مقدار فروش '!L5</f>
        <v>402.7</v>
      </c>
      <c r="M8" s="380">
        <f>'مقدار فروش '!M5</f>
        <v>402.7</v>
      </c>
      <c r="N8" s="380">
        <f>'مقدار فروش '!N5</f>
        <v>395.6</v>
      </c>
      <c r="O8" s="357">
        <f>SUM(C8:N8)</f>
        <v>4526.58</v>
      </c>
      <c r="AL8" s="485"/>
    </row>
    <row r="9" spans="1:38" s="308" customFormat="1" ht="39.75">
      <c r="A9" s="537"/>
      <c r="B9" s="381" t="s">
        <v>18</v>
      </c>
      <c r="C9" s="380">
        <v>0</v>
      </c>
      <c r="D9" s="380">
        <f>'مقدار فروش '!D6</f>
        <v>0</v>
      </c>
      <c r="E9" s="380">
        <f>'مقدار فروش '!E6</f>
        <v>35.950000000000003</v>
      </c>
      <c r="F9" s="380">
        <f>'مقدار فروش '!F6</f>
        <v>0</v>
      </c>
      <c r="G9" s="380">
        <v>79</v>
      </c>
      <c r="H9" s="380">
        <v>0</v>
      </c>
      <c r="I9" s="380">
        <f>'مقدار فروش '!I6</f>
        <v>123.2</v>
      </c>
      <c r="J9" s="380">
        <f>'مقدار فروش '!J6</f>
        <v>59.46</v>
      </c>
      <c r="K9" s="380">
        <f>'مقدار فروش '!K6</f>
        <v>59.46</v>
      </c>
      <c r="L9" s="380">
        <f>'مقدار فروش '!L6</f>
        <v>62.75</v>
      </c>
      <c r="M9" s="380">
        <f>'مقدار فروش '!M6</f>
        <v>62.75</v>
      </c>
      <c r="N9" s="380">
        <f>'مقدار فروش '!N6</f>
        <v>61.63</v>
      </c>
      <c r="O9" s="357">
        <f>SUM(C9:N9)</f>
        <v>544.20000000000005</v>
      </c>
      <c r="AL9" s="485"/>
    </row>
    <row r="10" spans="1:38" s="308" customFormat="1" ht="48.75" thickBot="1">
      <c r="A10" s="537"/>
      <c r="B10" s="337" t="s">
        <v>238</v>
      </c>
      <c r="C10" s="369">
        <f>C6+C7+C8+C9</f>
        <v>79007</v>
      </c>
      <c r="D10" s="369">
        <f t="shared" ref="D10:M10" si="1">D6+D7+D8+D9</f>
        <v>100236</v>
      </c>
      <c r="E10" s="369">
        <f>E6+E7+E8+E9</f>
        <v>105337</v>
      </c>
      <c r="F10" s="369">
        <f>F6+F7+F8+F9</f>
        <v>108802</v>
      </c>
      <c r="G10" s="369">
        <f>G6+G7+G8+G9</f>
        <v>97414</v>
      </c>
      <c r="H10" s="369">
        <f>H6+H7+H8+H9</f>
        <v>107058</v>
      </c>
      <c r="I10" s="369">
        <f>I6+I7+I8+I9</f>
        <v>78038.3</v>
      </c>
      <c r="J10" s="369">
        <f t="shared" si="1"/>
        <v>68035.950000000012</v>
      </c>
      <c r="K10" s="369">
        <f t="shared" si="1"/>
        <v>90537.85</v>
      </c>
      <c r="L10" s="369">
        <f t="shared" si="1"/>
        <v>90537.849999999991</v>
      </c>
      <c r="M10" s="369">
        <f t="shared" si="1"/>
        <v>91237.849999999991</v>
      </c>
      <c r="N10" s="369">
        <f>N6+N7+N8+N9</f>
        <v>90879.88</v>
      </c>
      <c r="O10" s="367">
        <f>SUM(C10:N10)</f>
        <v>1107121.68</v>
      </c>
      <c r="AL10" s="485"/>
    </row>
    <row r="11" spans="1:38" ht="39.75">
      <c r="A11" s="562" t="s">
        <v>149</v>
      </c>
      <c r="B11" s="229" t="s">
        <v>258</v>
      </c>
      <c r="C11" s="370">
        <f>((SUM(C6:C7)*$T$65/0.99)+(C8*$T$67/0.99)+(C9*$T$68/0.99))</f>
        <v>79618.323232323237</v>
      </c>
      <c r="D11" s="370">
        <f>((SUM(D6:D7)*$T$65/0.99)+(D8*$T$67/0.99)+(D9*$T$68/0.99))</f>
        <v>101243.75757575757</v>
      </c>
      <c r="E11" s="370">
        <f>((SUM(E6:E7)*$T$65/0.99)+(E8*$T$67/0.99)+(E9*$T$68/0.99))</f>
        <v>106114.28080808082</v>
      </c>
      <c r="F11" s="370">
        <f>((SUM(F6:F7)*$T$65/0.99)+(F8*$T$67/0.99)+(F9*$T$68/0.99))</f>
        <v>109901.01010101011</v>
      </c>
      <c r="G11" s="370">
        <f>((SUM(G6:G7)*$T$65/0.99)+(G8*$T$67/0.99)+(G9*$T$68/0.99))</f>
        <v>98368.727272727279</v>
      </c>
      <c r="H11" s="370">
        <f t="shared" ref="H11:N11" si="2">((SUM(H6:H7)*$T$65/0.99)+(H8*$T$67/0.99)+(H9*$T$68/0.99))</f>
        <v>108139.39393939394</v>
      </c>
      <c r="I11" s="370">
        <f t="shared" si="2"/>
        <v>78574.39595959596</v>
      </c>
      <c r="J11" s="370">
        <f t="shared" si="2"/>
        <v>68601.370707070702</v>
      </c>
      <c r="K11" s="370">
        <f t="shared" si="2"/>
        <v>91330.562626262617</v>
      </c>
      <c r="L11" s="370">
        <f t="shared" si="2"/>
        <v>91323.795959595955</v>
      </c>
      <c r="M11" s="370">
        <f t="shared" si="2"/>
        <v>92030.866666666654</v>
      </c>
      <c r="N11" s="370">
        <f t="shared" si="2"/>
        <v>91671.552727272719</v>
      </c>
      <c r="O11" s="357">
        <f>SUM(C11:N11)</f>
        <v>1116918.0375757576</v>
      </c>
    </row>
    <row r="12" spans="1:38" ht="39.75">
      <c r="A12" s="562"/>
      <c r="B12" s="229" t="s">
        <v>151</v>
      </c>
      <c r="C12" s="370">
        <f>-(C11)*0.01</f>
        <v>-796.18323232323235</v>
      </c>
      <c r="D12" s="370">
        <f>-(D11)*0.01</f>
        <v>-1012.4375757575757</v>
      </c>
      <c r="E12" s="370">
        <f t="shared" ref="E12:N12" si="3">-(E11)*0.01</f>
        <v>-1061.1428080808082</v>
      </c>
      <c r="F12" s="370">
        <f t="shared" si="3"/>
        <v>-1099.0101010101012</v>
      </c>
      <c r="G12" s="370">
        <f t="shared" si="3"/>
        <v>-983.68727272727278</v>
      </c>
      <c r="H12" s="370">
        <f t="shared" si="3"/>
        <v>-1081.3939393939395</v>
      </c>
      <c r="I12" s="370">
        <f t="shared" si="3"/>
        <v>-785.74395959595961</v>
      </c>
      <c r="J12" s="370">
        <f t="shared" si="3"/>
        <v>-686.01370707070703</v>
      </c>
      <c r="K12" s="370">
        <f t="shared" si="3"/>
        <v>-913.30562626262622</v>
      </c>
      <c r="L12" s="370">
        <f t="shared" si="3"/>
        <v>-913.23795959595952</v>
      </c>
      <c r="M12" s="370">
        <f t="shared" si="3"/>
        <v>-920.30866666666657</v>
      </c>
      <c r="N12" s="370">
        <f t="shared" si="3"/>
        <v>-916.71552727272717</v>
      </c>
      <c r="O12" s="357">
        <f>SUM(C12:N12)</f>
        <v>-11169.180375757574</v>
      </c>
    </row>
    <row r="13" spans="1:38" ht="39.75">
      <c r="A13" s="562"/>
      <c r="B13" s="229" t="s">
        <v>152</v>
      </c>
      <c r="C13" s="370">
        <f t="shared" ref="C13:N13" si="4">((C8*$U$67)+(C9*$U$68))</f>
        <v>184.86</v>
      </c>
      <c r="D13" s="370">
        <f t="shared" si="4"/>
        <v>4.68</v>
      </c>
      <c r="E13" s="370">
        <f t="shared" si="4"/>
        <v>271.99850000000004</v>
      </c>
      <c r="F13" s="370">
        <f t="shared" si="4"/>
        <v>0</v>
      </c>
      <c r="G13" s="370">
        <f t="shared" si="4"/>
        <v>2.89</v>
      </c>
      <c r="H13" s="370">
        <f t="shared" si="4"/>
        <v>0</v>
      </c>
      <c r="I13" s="370">
        <f t="shared" si="4"/>
        <v>208.99200000000002</v>
      </c>
      <c r="J13" s="370">
        <f t="shared" si="4"/>
        <v>100.97120000000001</v>
      </c>
      <c r="K13" s="370">
        <f t="shared" si="4"/>
        <v>100.97120000000001</v>
      </c>
      <c r="L13" s="370">
        <f t="shared" si="4"/>
        <v>106.58449999999999</v>
      </c>
      <c r="M13" s="370">
        <f t="shared" si="4"/>
        <v>106.58449999999999</v>
      </c>
      <c r="N13" s="370">
        <f t="shared" si="4"/>
        <v>104.70490000000001</v>
      </c>
      <c r="O13" s="357">
        <f t="shared" si="0"/>
        <v>1193.2367999999999</v>
      </c>
    </row>
    <row r="14" spans="1:38" ht="39.75">
      <c r="A14" s="562"/>
      <c r="B14" s="229" t="s">
        <v>153</v>
      </c>
      <c r="C14" s="371">
        <f>C9*$V$68</f>
        <v>0</v>
      </c>
      <c r="D14" s="371">
        <f t="shared" ref="D14:N14" si="5">D9*$V$68</f>
        <v>0</v>
      </c>
      <c r="E14" s="371">
        <f t="shared" si="5"/>
        <v>3.5950000000000003E-2</v>
      </c>
      <c r="F14" s="371">
        <f t="shared" si="5"/>
        <v>0</v>
      </c>
      <c r="G14" s="371">
        <f t="shared" si="5"/>
        <v>7.9000000000000001E-2</v>
      </c>
      <c r="H14" s="371">
        <f t="shared" si="5"/>
        <v>0</v>
      </c>
      <c r="I14" s="371">
        <f t="shared" si="5"/>
        <v>0.1232</v>
      </c>
      <c r="J14" s="371">
        <f t="shared" si="5"/>
        <v>5.9459999999999999E-2</v>
      </c>
      <c r="K14" s="371">
        <f t="shared" si="5"/>
        <v>5.9459999999999999E-2</v>
      </c>
      <c r="L14" s="371">
        <f t="shared" si="5"/>
        <v>6.275E-2</v>
      </c>
      <c r="M14" s="371">
        <f t="shared" si="5"/>
        <v>6.275E-2</v>
      </c>
      <c r="N14" s="371">
        <f t="shared" si="5"/>
        <v>6.1630000000000004E-2</v>
      </c>
      <c r="O14" s="360">
        <f t="shared" si="0"/>
        <v>0.54419999999999991</v>
      </c>
    </row>
    <row r="15" spans="1:38" ht="39.75">
      <c r="A15" s="562"/>
      <c r="B15" s="229" t="s">
        <v>251</v>
      </c>
      <c r="C15" s="371">
        <f t="shared" ref="C15:N15" si="6">C9*$X$68</f>
        <v>0</v>
      </c>
      <c r="D15" s="371">
        <f t="shared" si="6"/>
        <v>0</v>
      </c>
      <c r="E15" s="371">
        <f t="shared" si="6"/>
        <v>0.10785000000000002</v>
      </c>
      <c r="F15" s="371">
        <f t="shared" si="6"/>
        <v>0</v>
      </c>
      <c r="G15" s="371">
        <f t="shared" si="6"/>
        <v>0.23700000000000002</v>
      </c>
      <c r="H15" s="371">
        <f t="shared" si="6"/>
        <v>0</v>
      </c>
      <c r="I15" s="371">
        <f t="shared" si="6"/>
        <v>0.36960000000000004</v>
      </c>
      <c r="J15" s="371">
        <f t="shared" si="6"/>
        <v>0.17838000000000001</v>
      </c>
      <c r="K15" s="371">
        <f t="shared" si="6"/>
        <v>0.17838000000000001</v>
      </c>
      <c r="L15" s="371">
        <f t="shared" si="6"/>
        <v>0.18825</v>
      </c>
      <c r="M15" s="371">
        <f t="shared" si="6"/>
        <v>0.18825</v>
      </c>
      <c r="N15" s="371">
        <f t="shared" si="6"/>
        <v>0.18489</v>
      </c>
      <c r="O15" s="360">
        <f t="shared" si="0"/>
        <v>1.6326000000000001</v>
      </c>
    </row>
    <row r="16" spans="1:38" ht="39.75">
      <c r="A16" s="562"/>
      <c r="B16" s="229" t="s">
        <v>155</v>
      </c>
      <c r="C16" s="371">
        <f t="shared" ref="C16:N16" si="7">C9*$Y$68</f>
        <v>0</v>
      </c>
      <c r="D16" s="371">
        <f t="shared" si="7"/>
        <v>0</v>
      </c>
      <c r="E16" s="371">
        <f t="shared" si="7"/>
        <v>11.61185</v>
      </c>
      <c r="F16" s="371">
        <f t="shared" si="7"/>
        <v>0</v>
      </c>
      <c r="G16" s="371">
        <f t="shared" si="7"/>
        <v>25.516999999999999</v>
      </c>
      <c r="H16" s="371">
        <f t="shared" si="7"/>
        <v>0</v>
      </c>
      <c r="I16" s="371">
        <f t="shared" si="7"/>
        <v>39.793600000000005</v>
      </c>
      <c r="J16" s="371">
        <f t="shared" si="7"/>
        <v>19.205580000000001</v>
      </c>
      <c r="K16" s="371">
        <f t="shared" si="7"/>
        <v>19.205580000000001</v>
      </c>
      <c r="L16" s="371">
        <f t="shared" si="7"/>
        <v>20.268250000000002</v>
      </c>
      <c r="M16" s="371">
        <f t="shared" si="7"/>
        <v>20.268250000000002</v>
      </c>
      <c r="N16" s="371">
        <f t="shared" si="7"/>
        <v>19.906490000000002</v>
      </c>
      <c r="O16" s="360">
        <f t="shared" si="0"/>
        <v>175.77659999999997</v>
      </c>
    </row>
    <row r="17" spans="1:63" ht="39.75">
      <c r="A17" s="562"/>
      <c r="B17" s="229" t="s">
        <v>156</v>
      </c>
      <c r="C17" s="371">
        <f t="shared" ref="C17:N17" si="8">C9*$W$68</f>
        <v>0</v>
      </c>
      <c r="D17" s="371">
        <f t="shared" si="8"/>
        <v>0</v>
      </c>
      <c r="E17" s="371">
        <f t="shared" si="8"/>
        <v>0.10785000000000002</v>
      </c>
      <c r="F17" s="371">
        <f t="shared" si="8"/>
        <v>0</v>
      </c>
      <c r="G17" s="371">
        <f t="shared" si="8"/>
        <v>0.23700000000000002</v>
      </c>
      <c r="H17" s="371">
        <f t="shared" si="8"/>
        <v>0</v>
      </c>
      <c r="I17" s="371">
        <f t="shared" si="8"/>
        <v>0.36960000000000004</v>
      </c>
      <c r="J17" s="371">
        <f t="shared" si="8"/>
        <v>0.17838000000000001</v>
      </c>
      <c r="K17" s="371">
        <f t="shared" si="8"/>
        <v>0.17838000000000001</v>
      </c>
      <c r="L17" s="371">
        <f t="shared" si="8"/>
        <v>0.18825</v>
      </c>
      <c r="M17" s="371">
        <f t="shared" si="8"/>
        <v>0.18825</v>
      </c>
      <c r="N17" s="371">
        <f t="shared" si="8"/>
        <v>0.18489</v>
      </c>
      <c r="O17" s="360">
        <f t="shared" si="0"/>
        <v>1.6326000000000001</v>
      </c>
    </row>
    <row r="18" spans="1:63" ht="39.75">
      <c r="A18" s="562"/>
      <c r="B18" s="229" t="s">
        <v>59</v>
      </c>
      <c r="C18" s="370">
        <f>(C7/180)*11</f>
        <v>714.57222222222219</v>
      </c>
      <c r="D18" s="370">
        <f t="shared" ref="D18:N18" si="9">(D7/180)*11</f>
        <v>616.54999999999995</v>
      </c>
      <c r="E18" s="370">
        <f t="shared" si="9"/>
        <v>446.90555555555557</v>
      </c>
      <c r="F18" s="370">
        <f t="shared" si="9"/>
        <v>379.98888888888888</v>
      </c>
      <c r="G18" s="370">
        <f t="shared" si="9"/>
        <v>450.87777777777774</v>
      </c>
      <c r="H18" s="370">
        <f t="shared" si="9"/>
        <v>0</v>
      </c>
      <c r="I18" s="370">
        <f t="shared" si="9"/>
        <v>447.64499999999998</v>
      </c>
      <c r="J18" s="370">
        <f t="shared" si="9"/>
        <v>611.13555555555547</v>
      </c>
      <c r="K18" s="370">
        <f t="shared" si="9"/>
        <v>611.13555555555547</v>
      </c>
      <c r="L18" s="370">
        <f t="shared" si="9"/>
        <v>611.13555555555547</v>
      </c>
      <c r="M18" s="370">
        <f t="shared" si="9"/>
        <v>611.13555555555547</v>
      </c>
      <c r="N18" s="370">
        <f t="shared" si="9"/>
        <v>611.13555555555547</v>
      </c>
      <c r="O18" s="357">
        <f>SUM(C18:N18)</f>
        <v>6112.2172222222225</v>
      </c>
    </row>
    <row r="19" spans="1:63" ht="48.75" thickBot="1">
      <c r="A19" s="563"/>
      <c r="B19" s="335" t="s">
        <v>236</v>
      </c>
      <c r="C19" s="361">
        <f>C11-C12+C13+C14+C15+C16+C17</f>
        <v>80599.366464646475</v>
      </c>
      <c r="D19" s="361">
        <f>D11-D12+D13+D14+D15+D16+D17</f>
        <v>102260.87515151514</v>
      </c>
      <c r="E19" s="361">
        <f t="shared" ref="E19:I19" si="10">E11-E12+E13+E14+E15+E16+E17</f>
        <v>107459.28561616164</v>
      </c>
      <c r="F19" s="361">
        <f t="shared" si="10"/>
        <v>111000.02020202021</v>
      </c>
      <c r="G19" s="361">
        <f t="shared" si="10"/>
        <v>99381.374545454542</v>
      </c>
      <c r="H19" s="361">
        <f t="shared" si="10"/>
        <v>109220.78787878787</v>
      </c>
      <c r="I19" s="361">
        <f t="shared" si="10"/>
        <v>79609.787919191935</v>
      </c>
      <c r="J19" s="361">
        <f>J11-J12+J13+J14+J15+J16+J17</f>
        <v>69407.977414141409</v>
      </c>
      <c r="K19" s="361">
        <f t="shared" ref="K19:N19" si="11">K11-K12+K13+K14+K15+K16+K17</f>
        <v>92364.461252525231</v>
      </c>
      <c r="L19" s="361">
        <f t="shared" si="11"/>
        <v>92364.325919191921</v>
      </c>
      <c r="M19" s="361">
        <f>M11-M12+M13+M14+M15+M16+M17</f>
        <v>93078.467333333319</v>
      </c>
      <c r="N19" s="361">
        <f t="shared" si="11"/>
        <v>92713.31105454544</v>
      </c>
      <c r="O19" s="362">
        <f>O11-O12+O13+O14+O15+O16+O17</f>
        <v>1129460.040751515</v>
      </c>
    </row>
    <row r="20" spans="1:63" ht="14.25" customHeight="1" thickBot="1">
      <c r="A20" s="564"/>
      <c r="B20" s="565"/>
      <c r="C20" s="565"/>
      <c r="D20" s="565"/>
      <c r="E20" s="565"/>
      <c r="F20" s="565"/>
      <c r="G20" s="565"/>
      <c r="H20" s="565"/>
      <c r="I20" s="565"/>
      <c r="J20" s="565"/>
      <c r="K20" s="565"/>
      <c r="L20" s="565"/>
      <c r="M20" s="565"/>
      <c r="N20" s="565"/>
      <c r="O20" s="565"/>
    </row>
    <row r="21" spans="1:63" ht="72.75">
      <c r="A21" s="555" t="s">
        <v>158</v>
      </c>
      <c r="B21" s="556"/>
      <c r="C21" s="556"/>
      <c r="D21" s="556"/>
      <c r="E21" s="556"/>
      <c r="F21" s="556"/>
      <c r="G21" s="556"/>
      <c r="H21" s="556"/>
      <c r="I21" s="556"/>
      <c r="J21" s="556"/>
      <c r="K21" s="556"/>
      <c r="L21" s="556"/>
      <c r="M21" s="556"/>
      <c r="N21" s="556"/>
      <c r="O21" s="557"/>
      <c r="AL21" s="486"/>
    </row>
    <row r="22" spans="1:63" ht="40.5" customHeight="1">
      <c r="A22" s="558" t="s">
        <v>132</v>
      </c>
      <c r="B22" s="333" t="s">
        <v>123</v>
      </c>
      <c r="C22" s="358">
        <v>7998</v>
      </c>
      <c r="D22" s="358">
        <v>11341</v>
      </c>
      <c r="E22" s="358">
        <v>9232</v>
      </c>
      <c r="F22" s="358">
        <f>11172+10000</f>
        <v>21172</v>
      </c>
      <c r="G22" s="358">
        <f>9000+20000</f>
        <v>29000</v>
      </c>
      <c r="H22" s="358">
        <f>7236+19764</f>
        <v>27000</v>
      </c>
      <c r="I22" s="358">
        <f t="shared" ref="I22:N22" si="12">10670.1+39.33</f>
        <v>10709.43</v>
      </c>
      <c r="J22" s="358">
        <f t="shared" si="12"/>
        <v>10709.43</v>
      </c>
      <c r="K22" s="358">
        <f t="shared" si="12"/>
        <v>10709.43</v>
      </c>
      <c r="L22" s="358">
        <f t="shared" si="12"/>
        <v>10709.43</v>
      </c>
      <c r="M22" s="358">
        <f t="shared" si="12"/>
        <v>10709.43</v>
      </c>
      <c r="N22" s="358">
        <f t="shared" si="12"/>
        <v>10709.43</v>
      </c>
      <c r="O22" s="357">
        <f>SUM(C22:N22)</f>
        <v>169999.57999999996</v>
      </c>
      <c r="AK22" s="432"/>
    </row>
    <row r="23" spans="1:63" ht="36" hidden="1" customHeight="1">
      <c r="A23" s="558"/>
      <c r="B23" s="201" t="s">
        <v>12</v>
      </c>
      <c r="C23" s="358"/>
      <c r="D23" s="358"/>
      <c r="E23" s="358"/>
      <c r="F23" s="358"/>
      <c r="G23" s="358"/>
      <c r="H23" s="358"/>
      <c r="I23" s="358"/>
      <c r="J23" s="358"/>
      <c r="K23" s="358"/>
      <c r="L23" s="358"/>
      <c r="M23" s="358"/>
      <c r="N23" s="358"/>
      <c r="O23" s="368">
        <f t="shared" ref="O23:O27" si="13">SUM(C23:N23)</f>
        <v>0</v>
      </c>
    </row>
    <row r="24" spans="1:63" ht="36" hidden="1" customHeight="1">
      <c r="A24" s="558"/>
      <c r="B24" s="202" t="s">
        <v>137</v>
      </c>
      <c r="C24" s="358"/>
      <c r="D24" s="358"/>
      <c r="E24" s="358"/>
      <c r="F24" s="358"/>
      <c r="G24" s="358"/>
      <c r="H24" s="358"/>
      <c r="I24" s="358"/>
      <c r="J24" s="358"/>
      <c r="K24" s="358"/>
      <c r="L24" s="358"/>
      <c r="M24" s="358"/>
      <c r="N24" s="358"/>
      <c r="O24" s="368">
        <f t="shared" si="13"/>
        <v>0</v>
      </c>
      <c r="P24" s="276"/>
      <c r="Q24" s="276"/>
      <c r="R24" s="276"/>
      <c r="S24" s="276"/>
      <c r="T24" s="276"/>
      <c r="U24" s="276"/>
      <c r="V24" s="276"/>
      <c r="W24" s="276"/>
      <c r="X24" s="276"/>
      <c r="Y24" s="276"/>
      <c r="Z24" s="276"/>
    </row>
    <row r="25" spans="1:63" ht="36" hidden="1" customHeight="1" thickBot="1">
      <c r="A25" s="558"/>
      <c r="B25" s="202" t="s">
        <v>175</v>
      </c>
      <c r="C25" s="358"/>
      <c r="D25" s="358"/>
      <c r="E25" s="358"/>
      <c r="F25" s="358"/>
      <c r="G25" s="358"/>
      <c r="H25" s="358"/>
      <c r="I25" s="358"/>
      <c r="J25" s="358"/>
      <c r="K25" s="358"/>
      <c r="L25" s="358"/>
      <c r="M25" s="358"/>
      <c r="N25" s="358"/>
      <c r="O25" s="368">
        <f t="shared" si="13"/>
        <v>0</v>
      </c>
    </row>
    <row r="26" spans="1:63" ht="36" hidden="1" customHeight="1" thickBot="1">
      <c r="A26" s="558"/>
      <c r="B26" s="202" t="s">
        <v>176</v>
      </c>
      <c r="C26" s="358"/>
      <c r="D26" s="358"/>
      <c r="E26" s="358"/>
      <c r="F26" s="358"/>
      <c r="G26" s="358"/>
      <c r="H26" s="358"/>
      <c r="I26" s="358"/>
      <c r="J26" s="358"/>
      <c r="K26" s="358"/>
      <c r="L26" s="358"/>
      <c r="M26" s="358"/>
      <c r="N26" s="358"/>
      <c r="O26" s="368">
        <f t="shared" si="13"/>
        <v>0</v>
      </c>
    </row>
    <row r="27" spans="1:63" ht="36" hidden="1" customHeight="1" thickBot="1">
      <c r="A27" s="558"/>
      <c r="B27" s="202" t="s">
        <v>138</v>
      </c>
      <c r="C27" s="358"/>
      <c r="D27" s="358"/>
      <c r="E27" s="358"/>
      <c r="F27" s="358"/>
      <c r="G27" s="358"/>
      <c r="H27" s="358"/>
      <c r="I27" s="358"/>
      <c r="J27" s="358"/>
      <c r="K27" s="358"/>
      <c r="L27" s="358"/>
      <c r="M27" s="358"/>
      <c r="N27" s="358"/>
      <c r="O27" s="368">
        <f t="shared" si="13"/>
        <v>0</v>
      </c>
    </row>
    <row r="28" spans="1:63" ht="48.75" thickBot="1">
      <c r="A28" s="559"/>
      <c r="B28" s="337" t="s">
        <v>237</v>
      </c>
      <c r="C28" s="369">
        <f>C22</f>
        <v>7998</v>
      </c>
      <c r="D28" s="369">
        <f t="shared" ref="D28:N28" si="14">D22</f>
        <v>11341</v>
      </c>
      <c r="E28" s="369">
        <f t="shared" si="14"/>
        <v>9232</v>
      </c>
      <c r="F28" s="369">
        <f t="shared" si="14"/>
        <v>21172</v>
      </c>
      <c r="G28" s="369">
        <f t="shared" si="14"/>
        <v>29000</v>
      </c>
      <c r="H28" s="369">
        <f t="shared" si="14"/>
        <v>27000</v>
      </c>
      <c r="I28" s="369">
        <f t="shared" si="14"/>
        <v>10709.43</v>
      </c>
      <c r="J28" s="369">
        <f t="shared" si="14"/>
        <v>10709.43</v>
      </c>
      <c r="K28" s="369">
        <f t="shared" si="14"/>
        <v>10709.43</v>
      </c>
      <c r="L28" s="369">
        <f t="shared" si="14"/>
        <v>10709.43</v>
      </c>
      <c r="M28" s="369">
        <f t="shared" si="14"/>
        <v>10709.43</v>
      </c>
      <c r="N28" s="369">
        <f t="shared" si="14"/>
        <v>10709.43</v>
      </c>
      <c r="O28" s="362">
        <f>SUM(C28:N28)</f>
        <v>169999.57999999996</v>
      </c>
      <c r="P28" s="321"/>
      <c r="Q28" s="316"/>
      <c r="S28" s="322"/>
      <c r="AJ28" s="382"/>
      <c r="AK28" s="431"/>
      <c r="AL28" s="279"/>
      <c r="AM28" s="431"/>
      <c r="AN28" s="431"/>
      <c r="AO28" s="431"/>
      <c r="AP28" s="431"/>
      <c r="AQ28" s="431"/>
      <c r="AR28" s="431"/>
      <c r="AS28" s="431"/>
      <c r="AT28" s="431"/>
      <c r="AU28" s="431"/>
      <c r="AV28" s="431"/>
      <c r="AW28" s="431"/>
      <c r="AX28" s="431"/>
      <c r="AY28" s="431"/>
      <c r="AZ28" s="431"/>
      <c r="BA28" s="431"/>
      <c r="BB28" s="431"/>
      <c r="BC28" s="431"/>
      <c r="BD28" s="431"/>
      <c r="BE28" s="431"/>
      <c r="BF28" s="431"/>
      <c r="BG28" s="431"/>
      <c r="BH28" s="431"/>
      <c r="BI28" s="431"/>
      <c r="BJ28" s="431"/>
      <c r="BK28" s="431"/>
    </row>
    <row r="29" spans="1:63" ht="36">
      <c r="A29" s="566" t="s">
        <v>230</v>
      </c>
      <c r="B29" s="567"/>
      <c r="C29" s="567"/>
      <c r="D29" s="567"/>
      <c r="E29" s="567"/>
      <c r="F29" s="567"/>
      <c r="G29" s="567"/>
      <c r="H29" s="567"/>
      <c r="I29" s="567"/>
      <c r="J29" s="567"/>
      <c r="K29" s="567"/>
      <c r="L29" s="567"/>
      <c r="M29" s="567"/>
      <c r="N29" s="567"/>
      <c r="O29" s="568"/>
      <c r="P29" s="321"/>
      <c r="Q29" s="316"/>
      <c r="S29" s="322"/>
      <c r="AK29" s="431"/>
      <c r="AL29" s="486"/>
    </row>
    <row r="30" spans="1:63" ht="39.75">
      <c r="A30" s="569" t="s">
        <v>132</v>
      </c>
      <c r="B30" s="333" t="s">
        <v>123</v>
      </c>
      <c r="C30" s="358">
        <v>0</v>
      </c>
      <c r="D30" s="358">
        <v>0</v>
      </c>
      <c r="E30" s="358">
        <v>0</v>
      </c>
      <c r="F30" s="358">
        <v>0</v>
      </c>
      <c r="G30" s="358">
        <v>0</v>
      </c>
      <c r="H30" s="358">
        <v>0</v>
      </c>
      <c r="I30" s="358">
        <v>0</v>
      </c>
      <c r="J30" s="358">
        <v>0</v>
      </c>
      <c r="K30" s="358">
        <v>0</v>
      </c>
      <c r="L30" s="358">
        <v>0</v>
      </c>
      <c r="M30" s="358">
        <v>0</v>
      </c>
      <c r="N30" s="358">
        <v>0</v>
      </c>
      <c r="O30" s="357">
        <f>SUM(C30:N30)</f>
        <v>0</v>
      </c>
      <c r="P30" s="321"/>
      <c r="Q30" s="316"/>
      <c r="S30" s="322"/>
      <c r="AK30" s="432"/>
      <c r="AM30" s="432"/>
      <c r="AN30" s="432"/>
      <c r="AO30" s="432"/>
      <c r="AP30" s="432"/>
      <c r="AQ30" s="432"/>
      <c r="AR30" s="432"/>
      <c r="AS30" s="432"/>
      <c r="AT30" s="432"/>
      <c r="AU30" s="432"/>
      <c r="AV30" s="432"/>
      <c r="AW30" s="432"/>
      <c r="AX30" s="432"/>
    </row>
    <row r="31" spans="1:63" ht="48">
      <c r="A31" s="569"/>
      <c r="B31" s="336" t="s">
        <v>231</v>
      </c>
      <c r="C31" s="366">
        <f t="shared" ref="C31:H31" si="15">C30</f>
        <v>0</v>
      </c>
      <c r="D31" s="366">
        <f t="shared" si="15"/>
        <v>0</v>
      </c>
      <c r="E31" s="366">
        <f t="shared" si="15"/>
        <v>0</v>
      </c>
      <c r="F31" s="366">
        <f t="shared" si="15"/>
        <v>0</v>
      </c>
      <c r="G31" s="366">
        <f t="shared" si="15"/>
        <v>0</v>
      </c>
      <c r="H31" s="366">
        <f t="shared" si="15"/>
        <v>0</v>
      </c>
      <c r="I31" s="366">
        <f t="shared" ref="I31:N31" si="16">I30</f>
        <v>0</v>
      </c>
      <c r="J31" s="366">
        <f t="shared" si="16"/>
        <v>0</v>
      </c>
      <c r="K31" s="366">
        <f t="shared" si="16"/>
        <v>0</v>
      </c>
      <c r="L31" s="366">
        <f t="shared" si="16"/>
        <v>0</v>
      </c>
      <c r="M31" s="366">
        <f t="shared" si="16"/>
        <v>0</v>
      </c>
      <c r="N31" s="366">
        <f t="shared" si="16"/>
        <v>0</v>
      </c>
      <c r="O31" s="367">
        <f>O30</f>
        <v>0</v>
      </c>
      <c r="P31" s="321"/>
      <c r="Q31" s="316"/>
      <c r="S31" s="322"/>
      <c r="AK31" s="432"/>
      <c r="AL31" s="432"/>
    </row>
    <row r="32" spans="1:63" ht="39.75">
      <c r="A32" s="570" t="s">
        <v>161</v>
      </c>
      <c r="B32" s="229" t="s">
        <v>160</v>
      </c>
      <c r="C32" s="358">
        <f>'مقدار فروش '!C32-0</f>
        <v>36301.1</v>
      </c>
      <c r="D32" s="358">
        <f>'مقدار فروش '!D32-0</f>
        <v>37153.4</v>
      </c>
      <c r="E32" s="358">
        <f>'مقدار فروش '!E32-0</f>
        <v>33478.6</v>
      </c>
      <c r="F32" s="358">
        <f>'مقدار فروش '!F32-F45</f>
        <v>33715.300000000003</v>
      </c>
      <c r="G32" s="358">
        <f>'مقدار فروش '!G32-G45</f>
        <v>11253</v>
      </c>
      <c r="H32" s="358">
        <f>'مقدار فروش '!H32-H45</f>
        <v>3624.5</v>
      </c>
      <c r="I32" s="358">
        <f>'مقدار فروش '!I32-I45</f>
        <v>10906.199999999999</v>
      </c>
      <c r="J32" s="358">
        <f>'مقدار فروش '!J32-J45</f>
        <v>15035.599999999997</v>
      </c>
      <c r="K32" s="358">
        <f>'مقدار فروش '!K32-K45</f>
        <v>12537.5</v>
      </c>
      <c r="L32" s="358">
        <f>'مقدار فروش '!L32-L45</f>
        <v>11537.5</v>
      </c>
      <c r="M32" s="358">
        <f>'مقدار فروش '!M32-M45</f>
        <v>12237.5</v>
      </c>
      <c r="N32" s="358">
        <f>'مقدار فروش '!N32-N45</f>
        <v>12219.5</v>
      </c>
      <c r="O32" s="357">
        <f>SUM(C32:N32)</f>
        <v>229999.70000000004</v>
      </c>
      <c r="P32" s="321"/>
      <c r="Q32" s="316"/>
      <c r="R32" s="322"/>
      <c r="S32" s="322"/>
      <c r="V32" s="132"/>
      <c r="W32" s="313"/>
      <c r="X32" s="313"/>
      <c r="Y32" s="313"/>
      <c r="Z32" s="313"/>
      <c r="AK32" s="432"/>
      <c r="AL32" s="432"/>
    </row>
    <row r="33" spans="1:38" ht="39.75">
      <c r="A33" s="571"/>
      <c r="B33" s="230" t="s">
        <v>240</v>
      </c>
      <c r="C33" s="373">
        <v>0</v>
      </c>
      <c r="D33" s="373">
        <v>0</v>
      </c>
      <c r="E33" s="373">
        <v>0</v>
      </c>
      <c r="F33" s="373">
        <v>0</v>
      </c>
      <c r="G33" s="373">
        <v>0</v>
      </c>
      <c r="H33" s="373">
        <v>0</v>
      </c>
      <c r="I33" s="373">
        <v>0</v>
      </c>
      <c r="J33" s="373">
        <v>0</v>
      </c>
      <c r="K33" s="373">
        <v>0</v>
      </c>
      <c r="L33" s="373">
        <v>0</v>
      </c>
      <c r="M33" s="373">
        <v>0</v>
      </c>
      <c r="N33" s="373">
        <v>0</v>
      </c>
      <c r="O33" s="378">
        <f>SUM(C33:N33)</f>
        <v>0</v>
      </c>
      <c r="P33" s="321"/>
      <c r="Q33" s="316"/>
      <c r="R33" s="322"/>
      <c r="S33" s="322"/>
      <c r="V33" s="132"/>
      <c r="W33" s="313"/>
      <c r="X33" s="313"/>
      <c r="Y33" s="313"/>
      <c r="Z33" s="313"/>
      <c r="AK33" s="432"/>
      <c r="AL33" s="432"/>
    </row>
    <row r="34" spans="1:38" ht="48.75" thickBot="1">
      <c r="A34" s="572"/>
      <c r="B34" s="335" t="s">
        <v>234</v>
      </c>
      <c r="C34" s="361">
        <f>C33</f>
        <v>0</v>
      </c>
      <c r="D34" s="361">
        <f t="shared" ref="D34:N34" si="17">D33</f>
        <v>0</v>
      </c>
      <c r="E34" s="361">
        <f t="shared" si="17"/>
        <v>0</v>
      </c>
      <c r="F34" s="361">
        <f t="shared" si="17"/>
        <v>0</v>
      </c>
      <c r="G34" s="361">
        <f t="shared" si="17"/>
        <v>0</v>
      </c>
      <c r="H34" s="361">
        <f t="shared" si="17"/>
        <v>0</v>
      </c>
      <c r="I34" s="361">
        <f t="shared" si="17"/>
        <v>0</v>
      </c>
      <c r="J34" s="361">
        <f t="shared" si="17"/>
        <v>0</v>
      </c>
      <c r="K34" s="361">
        <f t="shared" si="17"/>
        <v>0</v>
      </c>
      <c r="L34" s="361">
        <f t="shared" si="17"/>
        <v>0</v>
      </c>
      <c r="M34" s="361">
        <f t="shared" si="17"/>
        <v>0</v>
      </c>
      <c r="N34" s="361">
        <f t="shared" si="17"/>
        <v>0</v>
      </c>
      <c r="O34" s="362">
        <f>SUM(C34:N34)</f>
        <v>0</v>
      </c>
      <c r="P34" s="321"/>
      <c r="Q34" s="316"/>
      <c r="R34" s="323"/>
      <c r="S34" s="323"/>
      <c r="T34" s="323"/>
      <c r="U34" s="323"/>
      <c r="V34" s="323"/>
      <c r="W34" s="323"/>
      <c r="X34" s="323"/>
      <c r="AK34" s="432"/>
      <c r="AL34" s="432"/>
    </row>
    <row r="35" spans="1:38" ht="36">
      <c r="A35" s="575" t="s">
        <v>232</v>
      </c>
      <c r="B35" s="576"/>
      <c r="C35" s="576"/>
      <c r="D35" s="576"/>
      <c r="E35" s="576"/>
      <c r="F35" s="576"/>
      <c r="G35" s="576"/>
      <c r="H35" s="576"/>
      <c r="I35" s="576"/>
      <c r="J35" s="576"/>
      <c r="K35" s="576"/>
      <c r="L35" s="576"/>
      <c r="M35" s="576"/>
      <c r="N35" s="576"/>
      <c r="O35" s="577"/>
      <c r="P35" s="321"/>
      <c r="Q35" s="316"/>
      <c r="R35" s="323"/>
      <c r="S35" s="323"/>
      <c r="T35" s="323"/>
      <c r="U35" s="323"/>
      <c r="V35" s="323"/>
      <c r="W35" s="323"/>
      <c r="X35" s="323"/>
    </row>
    <row r="36" spans="1:38" ht="39.75">
      <c r="A36" s="569" t="s">
        <v>132</v>
      </c>
      <c r="B36" s="333" t="s">
        <v>123</v>
      </c>
      <c r="C36" s="358">
        <f>C22</f>
        <v>7998</v>
      </c>
      <c r="D36" s="358">
        <f t="shared" ref="D36:N36" si="18">D22</f>
        <v>11341</v>
      </c>
      <c r="E36" s="358">
        <f t="shared" si="18"/>
        <v>9232</v>
      </c>
      <c r="F36" s="358">
        <f t="shared" si="18"/>
        <v>21172</v>
      </c>
      <c r="G36" s="358">
        <f t="shared" si="18"/>
        <v>29000</v>
      </c>
      <c r="H36" s="358">
        <f t="shared" si="18"/>
        <v>27000</v>
      </c>
      <c r="I36" s="358">
        <f t="shared" si="18"/>
        <v>10709.43</v>
      </c>
      <c r="J36" s="358">
        <f t="shared" si="18"/>
        <v>10709.43</v>
      </c>
      <c r="K36" s="358">
        <f t="shared" si="18"/>
        <v>10709.43</v>
      </c>
      <c r="L36" s="358">
        <f t="shared" si="18"/>
        <v>10709.43</v>
      </c>
      <c r="M36" s="358">
        <f t="shared" si="18"/>
        <v>10709.43</v>
      </c>
      <c r="N36" s="358">
        <f t="shared" si="18"/>
        <v>10709.43</v>
      </c>
      <c r="O36" s="357">
        <f>SUM(C36:N36)</f>
        <v>169999.57999999996</v>
      </c>
      <c r="P36" s="321"/>
      <c r="Q36" s="316"/>
      <c r="R36" s="323"/>
      <c r="S36" s="323"/>
      <c r="T36" s="323"/>
      <c r="U36" s="323"/>
      <c r="V36" s="323"/>
      <c r="W36" s="323"/>
      <c r="X36" s="323"/>
    </row>
    <row r="37" spans="1:38" ht="48">
      <c r="A37" s="569"/>
      <c r="B37" s="336" t="s">
        <v>233</v>
      </c>
      <c r="C37" s="365">
        <f>C36</f>
        <v>7998</v>
      </c>
      <c r="D37" s="365">
        <f t="shared" ref="D37:N37" si="19">D36</f>
        <v>11341</v>
      </c>
      <c r="E37" s="365">
        <f t="shared" si="19"/>
        <v>9232</v>
      </c>
      <c r="F37" s="365">
        <f t="shared" si="19"/>
        <v>21172</v>
      </c>
      <c r="G37" s="365">
        <f t="shared" si="19"/>
        <v>29000</v>
      </c>
      <c r="H37" s="365">
        <f t="shared" si="19"/>
        <v>27000</v>
      </c>
      <c r="I37" s="365">
        <f t="shared" si="19"/>
        <v>10709.43</v>
      </c>
      <c r="J37" s="365">
        <f t="shared" si="19"/>
        <v>10709.43</v>
      </c>
      <c r="K37" s="365">
        <f t="shared" si="19"/>
        <v>10709.43</v>
      </c>
      <c r="L37" s="365">
        <f t="shared" si="19"/>
        <v>10709.43</v>
      </c>
      <c r="M37" s="365">
        <f t="shared" si="19"/>
        <v>10709.43</v>
      </c>
      <c r="N37" s="365">
        <f t="shared" si="19"/>
        <v>10709.43</v>
      </c>
      <c r="O37" s="367">
        <f>SUM(C37:N37)</f>
        <v>169999.57999999996</v>
      </c>
      <c r="P37" s="324"/>
      <c r="Q37" s="324"/>
      <c r="R37" s="324"/>
      <c r="S37" s="324"/>
      <c r="T37" s="48"/>
      <c r="U37" s="48"/>
      <c r="V37" s="48"/>
    </row>
    <row r="38" spans="1:38" ht="39.75">
      <c r="A38" s="569" t="s">
        <v>161</v>
      </c>
      <c r="B38" s="229" t="s">
        <v>257</v>
      </c>
      <c r="C38" s="358">
        <f>(C36/0.995)</f>
        <v>8038.1909547738696</v>
      </c>
      <c r="D38" s="358">
        <f t="shared" ref="D38:N38" si="20">(D36/0.995)</f>
        <v>11397.989949748744</v>
      </c>
      <c r="E38" s="358">
        <f t="shared" si="20"/>
        <v>9278.3919597989952</v>
      </c>
      <c r="F38" s="358">
        <f t="shared" si="20"/>
        <v>21278.391959798995</v>
      </c>
      <c r="G38" s="358">
        <f t="shared" si="20"/>
        <v>29145.72864321608</v>
      </c>
      <c r="H38" s="358">
        <f t="shared" si="20"/>
        <v>27135.678391959798</v>
      </c>
      <c r="I38" s="358">
        <f t="shared" si="20"/>
        <v>10763.246231155779</v>
      </c>
      <c r="J38" s="358">
        <f t="shared" si="20"/>
        <v>10763.246231155779</v>
      </c>
      <c r="K38" s="358">
        <f t="shared" si="20"/>
        <v>10763.246231155779</v>
      </c>
      <c r="L38" s="358">
        <f t="shared" si="20"/>
        <v>10763.246231155779</v>
      </c>
      <c r="M38" s="358">
        <f t="shared" si="20"/>
        <v>10763.246231155779</v>
      </c>
      <c r="N38" s="358">
        <f t="shared" si="20"/>
        <v>10763.246231155779</v>
      </c>
      <c r="O38" s="357">
        <f>SUM(C38:N38)</f>
        <v>170853.84924623117</v>
      </c>
      <c r="P38" s="324"/>
      <c r="Q38" s="324"/>
      <c r="R38" s="324"/>
      <c r="S38" s="324"/>
      <c r="T38" s="48"/>
      <c r="U38" s="48"/>
      <c r="V38" s="48"/>
    </row>
    <row r="39" spans="1:38" ht="39.75" hidden="1">
      <c r="A39" s="573"/>
      <c r="B39" s="229" t="s">
        <v>163</v>
      </c>
      <c r="C39" s="373">
        <v>0</v>
      </c>
      <c r="D39" s="373">
        <v>0</v>
      </c>
      <c r="E39" s="373">
        <v>0</v>
      </c>
      <c r="F39" s="373">
        <v>0</v>
      </c>
      <c r="G39" s="373">
        <v>0</v>
      </c>
      <c r="H39" s="373">
        <v>0</v>
      </c>
      <c r="I39" s="373">
        <v>0</v>
      </c>
      <c r="J39" s="373">
        <v>0</v>
      </c>
      <c r="K39" s="373">
        <v>0</v>
      </c>
      <c r="L39" s="373">
        <v>0</v>
      </c>
      <c r="M39" s="373">
        <v>0</v>
      </c>
      <c r="N39" s="373">
        <v>0</v>
      </c>
      <c r="O39" s="357">
        <f>SUM(C39:N39)</f>
        <v>0</v>
      </c>
      <c r="P39" s="324"/>
      <c r="Q39" s="324"/>
      <c r="R39" s="324"/>
      <c r="S39" s="324"/>
      <c r="T39" s="48"/>
      <c r="U39" s="48"/>
      <c r="V39" s="48"/>
    </row>
    <row r="40" spans="1:38" ht="48.75" thickBot="1">
      <c r="A40" s="574"/>
      <c r="B40" s="335" t="s">
        <v>235</v>
      </c>
      <c r="C40" s="361">
        <f>SUM(C38)</f>
        <v>8038.1909547738696</v>
      </c>
      <c r="D40" s="361">
        <f t="shared" ref="D40:N40" si="21">SUM(D38)</f>
        <v>11397.989949748744</v>
      </c>
      <c r="E40" s="361">
        <f t="shared" si="21"/>
        <v>9278.3919597989952</v>
      </c>
      <c r="F40" s="361">
        <f t="shared" si="21"/>
        <v>21278.391959798995</v>
      </c>
      <c r="G40" s="361">
        <f>G38+G39</f>
        <v>29145.72864321608</v>
      </c>
      <c r="H40" s="361">
        <f t="shared" si="21"/>
        <v>27135.678391959798</v>
      </c>
      <c r="I40" s="361">
        <f t="shared" si="21"/>
        <v>10763.246231155779</v>
      </c>
      <c r="J40" s="361">
        <f t="shared" si="21"/>
        <v>10763.246231155779</v>
      </c>
      <c r="K40" s="361">
        <f t="shared" si="21"/>
        <v>10763.246231155779</v>
      </c>
      <c r="L40" s="361">
        <f t="shared" si="21"/>
        <v>10763.246231155779</v>
      </c>
      <c r="M40" s="361">
        <f t="shared" si="21"/>
        <v>10763.246231155779</v>
      </c>
      <c r="N40" s="361">
        <f t="shared" si="21"/>
        <v>10763.246231155779</v>
      </c>
      <c r="O40" s="362">
        <f>SUM(C40:N40)</f>
        <v>170853.84924623117</v>
      </c>
      <c r="P40" s="324"/>
      <c r="Q40" s="324"/>
      <c r="R40" s="324"/>
      <c r="S40" s="324"/>
      <c r="T40" s="48"/>
      <c r="U40" s="48"/>
      <c r="V40" s="48"/>
    </row>
    <row r="41" spans="1:38" ht="15" customHeight="1" thickBot="1">
      <c r="A41" s="338"/>
      <c r="B41" s="338"/>
      <c r="C41" s="338"/>
      <c r="D41" s="338"/>
      <c r="E41" s="338"/>
      <c r="F41" s="338"/>
      <c r="G41" s="338"/>
      <c r="H41" s="338"/>
      <c r="I41" s="338"/>
      <c r="J41" s="338"/>
      <c r="K41" s="338"/>
      <c r="L41" s="338"/>
      <c r="M41" s="338"/>
      <c r="N41" s="338"/>
      <c r="O41" s="338"/>
      <c r="P41" s="334"/>
      <c r="Q41" s="334"/>
      <c r="R41" s="334"/>
      <c r="S41" s="334"/>
      <c r="T41" s="334"/>
      <c r="U41" s="334"/>
      <c r="V41" s="334"/>
      <c r="W41" s="334"/>
      <c r="X41" s="334"/>
      <c r="Y41" s="334"/>
      <c r="Z41" s="334"/>
      <c r="AA41" s="334"/>
      <c r="AB41" s="334"/>
      <c r="AC41" s="334"/>
      <c r="AD41" s="334"/>
      <c r="AE41" s="334"/>
      <c r="AF41" s="334"/>
      <c r="AG41" s="334"/>
      <c r="AH41" s="334"/>
    </row>
    <row r="42" spans="1:38" ht="72.75">
      <c r="A42" s="555" t="s">
        <v>262</v>
      </c>
      <c r="B42" s="556"/>
      <c r="C42" s="556"/>
      <c r="D42" s="556"/>
      <c r="E42" s="556"/>
      <c r="F42" s="556"/>
      <c r="G42" s="556"/>
      <c r="H42" s="556"/>
      <c r="I42" s="556"/>
      <c r="J42" s="556"/>
      <c r="K42" s="556"/>
      <c r="L42" s="556"/>
      <c r="M42" s="556"/>
      <c r="N42" s="556"/>
      <c r="O42" s="557"/>
    </row>
    <row r="43" spans="1:38" ht="40.5" customHeight="1">
      <c r="A43" s="558" t="s">
        <v>132</v>
      </c>
      <c r="B43" s="333" t="s">
        <v>123</v>
      </c>
      <c r="C43" s="358" t="str">
        <f>'مقدار فروش '!C24</f>
        <v>-</v>
      </c>
      <c r="D43" s="358" t="str">
        <f>'مقدار فروش '!D24</f>
        <v>-</v>
      </c>
      <c r="E43" s="358" t="str">
        <f>'مقدار فروش '!E24</f>
        <v>-</v>
      </c>
      <c r="F43" s="358">
        <f>'مقدار فروش '!F24</f>
        <v>0</v>
      </c>
      <c r="G43" s="358">
        <f>'مقدار فروش '!G24</f>
        <v>0</v>
      </c>
      <c r="H43" s="358">
        <f>'مقدار فروش '!H24</f>
        <v>0</v>
      </c>
      <c r="I43" s="358">
        <f>'مقدار فروش '!I24</f>
        <v>0</v>
      </c>
      <c r="J43" s="358">
        <f>'مقدار فروش '!J24</f>
        <v>0</v>
      </c>
      <c r="K43" s="358">
        <f>'مقدار فروش '!K24</f>
        <v>15000</v>
      </c>
      <c r="L43" s="358">
        <f>'مقدار فروش '!L24</f>
        <v>15000</v>
      </c>
      <c r="M43" s="358">
        <f>'مقدار فروش '!M24</f>
        <v>15000</v>
      </c>
      <c r="N43" s="358">
        <f>'مقدار فروش '!N24</f>
        <v>15000</v>
      </c>
      <c r="O43" s="441">
        <f>SUM(C43:N43)</f>
        <v>60000</v>
      </c>
    </row>
    <row r="44" spans="1:38" ht="48.75" thickBot="1">
      <c r="A44" s="559"/>
      <c r="B44" s="337" t="s">
        <v>261</v>
      </c>
      <c r="C44" s="369" t="str">
        <f t="shared" ref="C44:N44" si="22">C43</f>
        <v>-</v>
      </c>
      <c r="D44" s="369" t="str">
        <f t="shared" si="22"/>
        <v>-</v>
      </c>
      <c r="E44" s="369" t="str">
        <f>E43</f>
        <v>-</v>
      </c>
      <c r="F44" s="369">
        <f>F43</f>
        <v>0</v>
      </c>
      <c r="G44" s="369">
        <f t="shared" si="22"/>
        <v>0</v>
      </c>
      <c r="H44" s="369">
        <f t="shared" si="22"/>
        <v>0</v>
      </c>
      <c r="I44" s="369">
        <f t="shared" si="22"/>
        <v>0</v>
      </c>
      <c r="J44" s="369">
        <f t="shared" si="22"/>
        <v>0</v>
      </c>
      <c r="K44" s="369">
        <f t="shared" si="22"/>
        <v>15000</v>
      </c>
      <c r="L44" s="369">
        <f t="shared" si="22"/>
        <v>15000</v>
      </c>
      <c r="M44" s="369">
        <f t="shared" si="22"/>
        <v>15000</v>
      </c>
      <c r="N44" s="369">
        <f t="shared" si="22"/>
        <v>15000</v>
      </c>
      <c r="O44" s="442">
        <f t="shared" ref="O44:O47" si="23">SUM(C44:N44)</f>
        <v>60000</v>
      </c>
      <c r="P44" s="321"/>
      <c r="Q44" s="316"/>
      <c r="S44" s="322"/>
      <c r="AJ44" s="382"/>
    </row>
    <row r="45" spans="1:38" ht="39.75">
      <c r="A45" s="570" t="s">
        <v>263</v>
      </c>
      <c r="B45" s="229" t="s">
        <v>160</v>
      </c>
      <c r="C45" s="358" t="str">
        <f t="shared" ref="C45:H45" si="24">C43</f>
        <v>-</v>
      </c>
      <c r="D45" s="358" t="str">
        <f t="shared" si="24"/>
        <v>-</v>
      </c>
      <c r="E45" s="358" t="str">
        <f t="shared" si="24"/>
        <v>-</v>
      </c>
      <c r="F45" s="358">
        <f t="shared" si="24"/>
        <v>0</v>
      </c>
      <c r="G45" s="358">
        <f t="shared" si="24"/>
        <v>0</v>
      </c>
      <c r="H45" s="358">
        <f t="shared" si="24"/>
        <v>0</v>
      </c>
      <c r="I45" s="358">
        <f>I43</f>
        <v>0</v>
      </c>
      <c r="J45" s="358">
        <f t="shared" ref="J45:N45" si="25">J43</f>
        <v>0</v>
      </c>
      <c r="K45" s="358">
        <f t="shared" si="25"/>
        <v>15000</v>
      </c>
      <c r="L45" s="358">
        <f t="shared" si="25"/>
        <v>15000</v>
      </c>
      <c r="M45" s="358">
        <f t="shared" si="25"/>
        <v>15000</v>
      </c>
      <c r="N45" s="358">
        <f t="shared" si="25"/>
        <v>15000</v>
      </c>
      <c r="O45" s="441">
        <f>SUM(C45:N45)</f>
        <v>60000</v>
      </c>
      <c r="P45" s="321"/>
      <c r="Q45" s="316"/>
      <c r="R45" s="322"/>
      <c r="S45" s="322"/>
      <c r="V45" s="132"/>
      <c r="W45" s="313"/>
      <c r="X45" s="313"/>
      <c r="Y45" s="313"/>
      <c r="Z45" s="313"/>
    </row>
    <row r="46" spans="1:38" ht="39.75">
      <c r="A46" s="571"/>
      <c r="B46" s="230" t="s">
        <v>240</v>
      </c>
      <c r="C46" s="373">
        <v>0</v>
      </c>
      <c r="D46" s="373">
        <v>0</v>
      </c>
      <c r="E46" s="373">
        <v>0</v>
      </c>
      <c r="F46" s="373">
        <v>0</v>
      </c>
      <c r="G46" s="373">
        <v>0</v>
      </c>
      <c r="H46" s="373">
        <v>0</v>
      </c>
      <c r="I46" s="373">
        <v>0</v>
      </c>
      <c r="J46" s="373">
        <v>0</v>
      </c>
      <c r="K46" s="373">
        <v>0</v>
      </c>
      <c r="L46" s="373">
        <v>0</v>
      </c>
      <c r="M46" s="373">
        <v>0</v>
      </c>
      <c r="N46" s="373">
        <v>0</v>
      </c>
      <c r="O46" s="443">
        <f t="shared" si="23"/>
        <v>0</v>
      </c>
      <c r="P46" s="321"/>
      <c r="Q46" s="316"/>
      <c r="R46" s="322"/>
      <c r="S46" s="322"/>
      <c r="V46" s="132"/>
      <c r="W46" s="313"/>
      <c r="X46" s="313"/>
      <c r="Y46" s="313"/>
      <c r="Z46" s="313"/>
    </row>
    <row r="47" spans="1:38" ht="48.75" thickBot="1">
      <c r="A47" s="572"/>
      <c r="B47" s="335" t="s">
        <v>264</v>
      </c>
      <c r="C47" s="361">
        <f>C46</f>
        <v>0</v>
      </c>
      <c r="D47" s="361">
        <f t="shared" ref="D47:N47" si="26">D46</f>
        <v>0</v>
      </c>
      <c r="E47" s="361">
        <f t="shared" si="26"/>
        <v>0</v>
      </c>
      <c r="F47" s="361">
        <f t="shared" si="26"/>
        <v>0</v>
      </c>
      <c r="G47" s="361">
        <f t="shared" si="26"/>
        <v>0</v>
      </c>
      <c r="H47" s="361">
        <f t="shared" si="26"/>
        <v>0</v>
      </c>
      <c r="I47" s="361">
        <f t="shared" si="26"/>
        <v>0</v>
      </c>
      <c r="J47" s="361">
        <f t="shared" si="26"/>
        <v>0</v>
      </c>
      <c r="K47" s="361">
        <f t="shared" si="26"/>
        <v>0</v>
      </c>
      <c r="L47" s="361">
        <f t="shared" si="26"/>
        <v>0</v>
      </c>
      <c r="M47" s="361">
        <f t="shared" si="26"/>
        <v>0</v>
      </c>
      <c r="N47" s="361">
        <f t="shared" si="26"/>
        <v>0</v>
      </c>
      <c r="O47" s="442">
        <f t="shared" si="23"/>
        <v>0</v>
      </c>
      <c r="P47" s="321"/>
      <c r="Q47" s="316"/>
      <c r="R47" s="323"/>
      <c r="S47" s="323"/>
      <c r="T47" s="323"/>
      <c r="U47" s="323"/>
      <c r="V47" s="323"/>
      <c r="W47" s="323"/>
      <c r="X47" s="323"/>
    </row>
    <row r="48" spans="1:38" ht="56.25" thickBot="1">
      <c r="A48" s="531" t="s">
        <v>274</v>
      </c>
      <c r="B48" s="532"/>
      <c r="C48" s="339">
        <f>C28+C10</f>
        <v>87005</v>
      </c>
      <c r="D48" s="339">
        <f t="shared" ref="D48:J48" si="27">D28+D10</f>
        <v>111577</v>
      </c>
      <c r="E48" s="339">
        <f t="shared" si="27"/>
        <v>114569</v>
      </c>
      <c r="F48" s="339">
        <f t="shared" si="27"/>
        <v>129974</v>
      </c>
      <c r="G48" s="339">
        <f>G28+G10</f>
        <v>126414</v>
      </c>
      <c r="H48" s="339">
        <f t="shared" si="27"/>
        <v>134058</v>
      </c>
      <c r="I48" s="339">
        <f>I28+I10</f>
        <v>88747.73000000001</v>
      </c>
      <c r="J48" s="339">
        <f t="shared" si="27"/>
        <v>78745.38</v>
      </c>
      <c r="K48" s="339">
        <f>K28+K10</f>
        <v>101247.28</v>
      </c>
      <c r="L48" s="339">
        <f>L28+L10</f>
        <v>101247.28</v>
      </c>
      <c r="M48" s="339">
        <f>M28+M10</f>
        <v>101947.28</v>
      </c>
      <c r="N48" s="339">
        <f>N28+N10</f>
        <v>101589.31</v>
      </c>
      <c r="O48" s="444">
        <f>SUM(C48:N48)</f>
        <v>1277121.26</v>
      </c>
      <c r="P48" s="325"/>
      <c r="Q48" s="325"/>
      <c r="R48" s="325"/>
      <c r="S48" s="324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</row>
    <row r="49" spans="1:34" ht="15" customHeight="1" thickBot="1">
      <c r="A49" s="343"/>
      <c r="B49" s="344"/>
      <c r="C49" s="340"/>
      <c r="D49" s="340"/>
      <c r="E49" s="340"/>
      <c r="F49" s="340"/>
      <c r="G49" s="340"/>
      <c r="H49" s="340"/>
      <c r="I49" s="340"/>
      <c r="J49" s="340"/>
      <c r="K49" s="340"/>
      <c r="L49" s="340"/>
      <c r="M49" s="340"/>
      <c r="N49" s="340"/>
      <c r="O49" s="341"/>
      <c r="P49" s="324"/>
      <c r="Q49" s="324"/>
      <c r="R49" s="324"/>
      <c r="S49" s="324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</row>
    <row r="50" spans="1:34" ht="39.75">
      <c r="A50" s="536" t="s">
        <v>241</v>
      </c>
      <c r="B50" s="326" t="s">
        <v>242</v>
      </c>
      <c r="C50" s="354">
        <f>C11</f>
        <v>79618.323232323237</v>
      </c>
      <c r="D50" s="354">
        <f t="shared" ref="D50:N50" si="28">D11</f>
        <v>101243.75757575757</v>
      </c>
      <c r="E50" s="354">
        <f t="shared" si="28"/>
        <v>106114.28080808082</v>
      </c>
      <c r="F50" s="354">
        <f t="shared" si="28"/>
        <v>109901.01010101011</v>
      </c>
      <c r="G50" s="354">
        <f t="shared" si="28"/>
        <v>98368.727272727279</v>
      </c>
      <c r="H50" s="354">
        <f t="shared" si="28"/>
        <v>108139.39393939394</v>
      </c>
      <c r="I50" s="354">
        <f t="shared" si="28"/>
        <v>78574.39595959596</v>
      </c>
      <c r="J50" s="354">
        <f t="shared" si="28"/>
        <v>68601.370707070702</v>
      </c>
      <c r="K50" s="354">
        <f t="shared" si="28"/>
        <v>91330.562626262617</v>
      </c>
      <c r="L50" s="354">
        <f t="shared" si="28"/>
        <v>91323.795959595955</v>
      </c>
      <c r="M50" s="354">
        <f t="shared" si="28"/>
        <v>92030.866666666654</v>
      </c>
      <c r="N50" s="354">
        <f t="shared" si="28"/>
        <v>91671.552727272719</v>
      </c>
      <c r="O50" s="355">
        <f>SUM(C50:N50)</f>
        <v>1116918.0375757576</v>
      </c>
      <c r="P50" s="327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</row>
    <row r="51" spans="1:34" ht="39.75">
      <c r="A51" s="537"/>
      <c r="B51" s="328" t="s">
        <v>167</v>
      </c>
      <c r="C51" s="356">
        <f t="shared" ref="C51:N51" si="29">C38</f>
        <v>8038.1909547738696</v>
      </c>
      <c r="D51" s="356">
        <f t="shared" si="29"/>
        <v>11397.989949748744</v>
      </c>
      <c r="E51" s="356">
        <f t="shared" si="29"/>
        <v>9278.3919597989952</v>
      </c>
      <c r="F51" s="356">
        <f t="shared" si="29"/>
        <v>21278.391959798995</v>
      </c>
      <c r="G51" s="356">
        <f t="shared" si="29"/>
        <v>29145.72864321608</v>
      </c>
      <c r="H51" s="356">
        <f t="shared" si="29"/>
        <v>27135.678391959798</v>
      </c>
      <c r="I51" s="356">
        <f>I38</f>
        <v>10763.246231155779</v>
      </c>
      <c r="J51" s="356">
        <f t="shared" si="29"/>
        <v>10763.246231155779</v>
      </c>
      <c r="K51" s="356">
        <f t="shared" si="29"/>
        <v>10763.246231155779</v>
      </c>
      <c r="L51" s="356">
        <f t="shared" si="29"/>
        <v>10763.246231155779</v>
      </c>
      <c r="M51" s="356">
        <f t="shared" si="29"/>
        <v>10763.246231155779</v>
      </c>
      <c r="N51" s="356">
        <f t="shared" si="29"/>
        <v>10763.246231155779</v>
      </c>
      <c r="O51" s="357">
        <f t="shared" ref="O51:O57" si="30">SUM(C51:N51)</f>
        <v>170853.84924623117</v>
      </c>
      <c r="P51" s="327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</row>
    <row r="52" spans="1:34" ht="39.75">
      <c r="A52" s="537"/>
      <c r="B52" s="328" t="s">
        <v>170</v>
      </c>
      <c r="C52" s="359">
        <f t="shared" ref="C52:N52" si="31">C13</f>
        <v>184.86</v>
      </c>
      <c r="D52" s="359">
        <f t="shared" si="31"/>
        <v>4.68</v>
      </c>
      <c r="E52" s="359">
        <f t="shared" si="31"/>
        <v>271.99850000000004</v>
      </c>
      <c r="F52" s="359">
        <f t="shared" si="31"/>
        <v>0</v>
      </c>
      <c r="G52" s="359">
        <f t="shared" si="31"/>
        <v>2.89</v>
      </c>
      <c r="H52" s="359">
        <f t="shared" si="31"/>
        <v>0</v>
      </c>
      <c r="I52" s="359">
        <f t="shared" si="31"/>
        <v>208.99200000000002</v>
      </c>
      <c r="J52" s="359">
        <f t="shared" si="31"/>
        <v>100.97120000000001</v>
      </c>
      <c r="K52" s="359">
        <f t="shared" si="31"/>
        <v>100.97120000000001</v>
      </c>
      <c r="L52" s="359">
        <f t="shared" si="31"/>
        <v>106.58449999999999</v>
      </c>
      <c r="M52" s="359">
        <f t="shared" si="31"/>
        <v>106.58449999999999</v>
      </c>
      <c r="N52" s="359">
        <f t="shared" si="31"/>
        <v>104.70490000000001</v>
      </c>
      <c r="O52" s="357">
        <f t="shared" si="30"/>
        <v>1193.2367999999999</v>
      </c>
      <c r="P52" s="327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</row>
    <row r="53" spans="1:34" ht="39.75">
      <c r="A53" s="537"/>
      <c r="B53" s="328" t="s">
        <v>171</v>
      </c>
      <c r="C53" s="359">
        <f t="shared" ref="C53:N53" si="32">C14</f>
        <v>0</v>
      </c>
      <c r="D53" s="359">
        <f t="shared" si="32"/>
        <v>0</v>
      </c>
      <c r="E53" s="359">
        <f t="shared" si="32"/>
        <v>3.5950000000000003E-2</v>
      </c>
      <c r="F53" s="359">
        <f t="shared" si="32"/>
        <v>0</v>
      </c>
      <c r="G53" s="359">
        <f t="shared" si="32"/>
        <v>7.9000000000000001E-2</v>
      </c>
      <c r="H53" s="359">
        <f t="shared" si="32"/>
        <v>0</v>
      </c>
      <c r="I53" s="359">
        <f t="shared" si="32"/>
        <v>0.1232</v>
      </c>
      <c r="J53" s="359">
        <f t="shared" si="32"/>
        <v>5.9459999999999999E-2</v>
      </c>
      <c r="K53" s="359">
        <f t="shared" si="32"/>
        <v>5.9459999999999999E-2</v>
      </c>
      <c r="L53" s="359">
        <f t="shared" si="32"/>
        <v>6.275E-2</v>
      </c>
      <c r="M53" s="359">
        <f t="shared" si="32"/>
        <v>6.275E-2</v>
      </c>
      <c r="N53" s="359">
        <f t="shared" si="32"/>
        <v>6.1630000000000004E-2</v>
      </c>
      <c r="O53" s="360">
        <f t="shared" si="30"/>
        <v>0.54419999999999991</v>
      </c>
      <c r="P53" s="327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</row>
    <row r="54" spans="1:34" ht="39.75">
      <c r="A54" s="537"/>
      <c r="B54" s="328" t="s">
        <v>172</v>
      </c>
      <c r="C54" s="359">
        <f t="shared" ref="C54:N54" si="33">C15</f>
        <v>0</v>
      </c>
      <c r="D54" s="359">
        <f t="shared" si="33"/>
        <v>0</v>
      </c>
      <c r="E54" s="359">
        <f t="shared" si="33"/>
        <v>0.10785000000000002</v>
      </c>
      <c r="F54" s="359">
        <f t="shared" si="33"/>
        <v>0</v>
      </c>
      <c r="G54" s="359">
        <f t="shared" si="33"/>
        <v>0.23700000000000002</v>
      </c>
      <c r="H54" s="359">
        <f t="shared" si="33"/>
        <v>0</v>
      </c>
      <c r="I54" s="359">
        <f t="shared" si="33"/>
        <v>0.36960000000000004</v>
      </c>
      <c r="J54" s="359">
        <f t="shared" si="33"/>
        <v>0.17838000000000001</v>
      </c>
      <c r="K54" s="359">
        <f t="shared" si="33"/>
        <v>0.17838000000000001</v>
      </c>
      <c r="L54" s="359">
        <f t="shared" si="33"/>
        <v>0.18825</v>
      </c>
      <c r="M54" s="359">
        <f t="shared" si="33"/>
        <v>0.18825</v>
      </c>
      <c r="N54" s="359">
        <f t="shared" si="33"/>
        <v>0.18489</v>
      </c>
      <c r="O54" s="360">
        <f t="shared" si="30"/>
        <v>1.6326000000000001</v>
      </c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</row>
    <row r="55" spans="1:34" ht="39.75">
      <c r="A55" s="537"/>
      <c r="B55" s="328" t="s">
        <v>173</v>
      </c>
      <c r="C55" s="359">
        <f t="shared" ref="C55:N55" si="34">C17</f>
        <v>0</v>
      </c>
      <c r="D55" s="359">
        <f t="shared" si="34"/>
        <v>0</v>
      </c>
      <c r="E55" s="359">
        <f t="shared" si="34"/>
        <v>0.10785000000000002</v>
      </c>
      <c r="F55" s="359">
        <f t="shared" si="34"/>
        <v>0</v>
      </c>
      <c r="G55" s="359">
        <f t="shared" si="34"/>
        <v>0.23700000000000002</v>
      </c>
      <c r="H55" s="359">
        <f t="shared" si="34"/>
        <v>0</v>
      </c>
      <c r="I55" s="359">
        <f t="shared" si="34"/>
        <v>0.36960000000000004</v>
      </c>
      <c r="J55" s="359">
        <f t="shared" si="34"/>
        <v>0.17838000000000001</v>
      </c>
      <c r="K55" s="359">
        <f t="shared" si="34"/>
        <v>0.17838000000000001</v>
      </c>
      <c r="L55" s="359">
        <f t="shared" si="34"/>
        <v>0.18825</v>
      </c>
      <c r="M55" s="359">
        <f t="shared" si="34"/>
        <v>0.18825</v>
      </c>
      <c r="N55" s="359">
        <f t="shared" si="34"/>
        <v>0.18489</v>
      </c>
      <c r="O55" s="360">
        <f t="shared" si="30"/>
        <v>1.6326000000000001</v>
      </c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</row>
    <row r="56" spans="1:34" ht="39.75">
      <c r="A56" s="537"/>
      <c r="B56" s="328" t="s">
        <v>155</v>
      </c>
      <c r="C56" s="359">
        <f t="shared" ref="C56:N56" si="35">C16</f>
        <v>0</v>
      </c>
      <c r="D56" s="359">
        <f t="shared" si="35"/>
        <v>0</v>
      </c>
      <c r="E56" s="359">
        <f t="shared" si="35"/>
        <v>11.61185</v>
      </c>
      <c r="F56" s="359">
        <f t="shared" si="35"/>
        <v>0</v>
      </c>
      <c r="G56" s="359">
        <f t="shared" si="35"/>
        <v>25.516999999999999</v>
      </c>
      <c r="H56" s="359">
        <f t="shared" si="35"/>
        <v>0</v>
      </c>
      <c r="I56" s="359">
        <f t="shared" si="35"/>
        <v>39.793600000000005</v>
      </c>
      <c r="J56" s="359">
        <f t="shared" si="35"/>
        <v>19.205580000000001</v>
      </c>
      <c r="K56" s="359">
        <f t="shared" si="35"/>
        <v>19.205580000000001</v>
      </c>
      <c r="L56" s="359">
        <f t="shared" si="35"/>
        <v>20.268250000000002</v>
      </c>
      <c r="M56" s="359">
        <f t="shared" si="35"/>
        <v>20.268250000000002</v>
      </c>
      <c r="N56" s="359">
        <f t="shared" si="35"/>
        <v>19.906490000000002</v>
      </c>
      <c r="O56" s="360">
        <f t="shared" si="30"/>
        <v>175.77659999999997</v>
      </c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</row>
    <row r="57" spans="1:34" ht="39.75">
      <c r="A57" s="537"/>
      <c r="B57" s="328" t="s">
        <v>59</v>
      </c>
      <c r="C57" s="356">
        <f t="shared" ref="C57:N57" si="36">C18</f>
        <v>714.57222222222219</v>
      </c>
      <c r="D57" s="356">
        <f t="shared" si="36"/>
        <v>616.54999999999995</v>
      </c>
      <c r="E57" s="356">
        <f t="shared" si="36"/>
        <v>446.90555555555557</v>
      </c>
      <c r="F57" s="356">
        <f t="shared" si="36"/>
        <v>379.98888888888888</v>
      </c>
      <c r="G57" s="356">
        <f t="shared" si="36"/>
        <v>450.87777777777774</v>
      </c>
      <c r="H57" s="356">
        <f t="shared" si="36"/>
        <v>0</v>
      </c>
      <c r="I57" s="356">
        <f t="shared" si="36"/>
        <v>447.64499999999998</v>
      </c>
      <c r="J57" s="356">
        <f t="shared" si="36"/>
        <v>611.13555555555547</v>
      </c>
      <c r="K57" s="356">
        <f t="shared" si="36"/>
        <v>611.13555555555547</v>
      </c>
      <c r="L57" s="356">
        <f t="shared" si="36"/>
        <v>611.13555555555547</v>
      </c>
      <c r="M57" s="356">
        <f t="shared" si="36"/>
        <v>611.13555555555547</v>
      </c>
      <c r="N57" s="356">
        <f t="shared" si="36"/>
        <v>611.13555555555547</v>
      </c>
      <c r="O57" s="357">
        <f t="shared" si="30"/>
        <v>6112.2172222222225</v>
      </c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</row>
    <row r="58" spans="1:34" ht="48.75" thickBot="1">
      <c r="A58" s="538"/>
      <c r="B58" s="335" t="s">
        <v>239</v>
      </c>
      <c r="C58" s="361">
        <f>SUM(C50:C56)</f>
        <v>87841.374187097113</v>
      </c>
      <c r="D58" s="361">
        <f>SUM(D50:D56)</f>
        <v>112646.42752550631</v>
      </c>
      <c r="E58" s="361">
        <f t="shared" ref="E58:N58" si="37">SUM(E50:E56)</f>
        <v>115676.53476787983</v>
      </c>
      <c r="F58" s="361">
        <f t="shared" si="37"/>
        <v>131179.40206080911</v>
      </c>
      <c r="G58" s="361">
        <f t="shared" si="37"/>
        <v>127543.41591594335</v>
      </c>
      <c r="H58" s="361">
        <f t="shared" si="37"/>
        <v>135275.07233135373</v>
      </c>
      <c r="I58" s="361">
        <f t="shared" si="37"/>
        <v>89587.290190751752</v>
      </c>
      <c r="J58" s="361">
        <f t="shared" si="37"/>
        <v>79485.209938226471</v>
      </c>
      <c r="K58" s="361">
        <f t="shared" si="37"/>
        <v>102214.40185741839</v>
      </c>
      <c r="L58" s="361">
        <f t="shared" si="37"/>
        <v>102214.33419075173</v>
      </c>
      <c r="M58" s="361">
        <f t="shared" si="37"/>
        <v>102921.40489782243</v>
      </c>
      <c r="N58" s="361">
        <f t="shared" si="37"/>
        <v>102559.84175842849</v>
      </c>
      <c r="O58" s="362">
        <f>SUM(C58:N58)</f>
        <v>1289144.7096219887</v>
      </c>
    </row>
    <row r="59" spans="1:34" ht="12" customHeight="1" thickBot="1">
      <c r="A59" s="345"/>
      <c r="B59" s="346"/>
      <c r="C59" s="347"/>
      <c r="D59" s="347"/>
      <c r="E59" s="347"/>
      <c r="F59" s="347"/>
      <c r="G59" s="347"/>
      <c r="H59" s="347"/>
      <c r="I59" s="347"/>
      <c r="J59" s="347"/>
      <c r="K59" s="347"/>
      <c r="L59" s="347"/>
      <c r="M59" s="347"/>
      <c r="N59" s="347"/>
      <c r="O59" s="353"/>
    </row>
    <row r="60" spans="1:34" ht="48.75" thickBot="1">
      <c r="A60" s="551" t="s">
        <v>269</v>
      </c>
      <c r="B60" s="552"/>
      <c r="C60" s="363">
        <f>'مقدار فروش '!C32</f>
        <v>36301.1</v>
      </c>
      <c r="D60" s="363">
        <f>'مقدار فروش '!D32</f>
        <v>37153.4</v>
      </c>
      <c r="E60" s="363">
        <f>'مقدار فروش '!E32</f>
        <v>33478.6</v>
      </c>
      <c r="F60" s="363">
        <f>'مقدار فروش '!F32</f>
        <v>33715.300000000003</v>
      </c>
      <c r="G60" s="363">
        <f>'مقدار فروش '!G32</f>
        <v>11253</v>
      </c>
      <c r="H60" s="363">
        <f>'مقدار فروش '!H32</f>
        <v>3624.5</v>
      </c>
      <c r="I60" s="363">
        <f>'مقدار فروش '!I32</f>
        <v>10906.199999999999</v>
      </c>
      <c r="J60" s="363">
        <f>'مقدار فروش '!J32</f>
        <v>15035.599999999997</v>
      </c>
      <c r="K60" s="363">
        <f>'مقدار فروش '!K32</f>
        <v>27537.5</v>
      </c>
      <c r="L60" s="363">
        <f>'مقدار فروش '!L32</f>
        <v>26537.5</v>
      </c>
      <c r="M60" s="363">
        <f>'مقدار فروش '!M32</f>
        <v>27237.5</v>
      </c>
      <c r="N60" s="363">
        <f>'مقدار فروش '!N32</f>
        <v>27219.5</v>
      </c>
      <c r="O60" s="364">
        <f t="shared" ref="O60" si="38">SUM(C60:N60)</f>
        <v>289999.70000000007</v>
      </c>
    </row>
    <row r="61" spans="1:34">
      <c r="A61" s="345"/>
      <c r="B61" s="348"/>
      <c r="C61" s="349"/>
      <c r="D61" s="349"/>
      <c r="E61" s="349"/>
      <c r="F61" s="349"/>
      <c r="G61" s="349"/>
      <c r="H61" s="349"/>
      <c r="I61" s="349"/>
      <c r="J61" s="349"/>
      <c r="K61" s="349"/>
      <c r="L61" s="349"/>
      <c r="M61" s="349"/>
      <c r="N61" s="349"/>
      <c r="O61" s="350"/>
    </row>
    <row r="62" spans="1:34" ht="43.5">
      <c r="A62" s="345"/>
      <c r="B62" s="348"/>
      <c r="C62" s="351"/>
      <c r="D62" s="351"/>
      <c r="E62" s="351"/>
      <c r="F62" s="351"/>
      <c r="G62" s="351"/>
      <c r="H62" s="351"/>
      <c r="I62" s="351"/>
      <c r="J62" s="351"/>
      <c r="K62" s="351"/>
      <c r="L62" s="351"/>
      <c r="M62" s="351"/>
      <c r="N62" s="351"/>
      <c r="O62" s="350"/>
      <c r="R62" s="539" t="s">
        <v>199</v>
      </c>
      <c r="S62" s="539"/>
      <c r="T62" s="539"/>
      <c r="U62" s="539"/>
      <c r="V62" s="539"/>
      <c r="W62" s="539"/>
      <c r="X62" s="539"/>
      <c r="Y62" s="539"/>
      <c r="Z62" s="2"/>
      <c r="AA62" s="2"/>
      <c r="AB62" s="2"/>
      <c r="AC62" s="2"/>
      <c r="AD62" s="2"/>
      <c r="AE62" s="2"/>
      <c r="AF62" s="2"/>
      <c r="AG62" s="2"/>
    </row>
    <row r="63" spans="1:34">
      <c r="A63" s="345"/>
      <c r="B63" s="348"/>
      <c r="C63" s="342"/>
      <c r="D63" s="342"/>
      <c r="E63" s="342"/>
      <c r="F63" s="342"/>
      <c r="G63" s="342"/>
      <c r="H63" s="342"/>
      <c r="I63" s="342"/>
      <c r="J63" s="350"/>
      <c r="K63" s="350"/>
      <c r="L63" s="350"/>
      <c r="M63" s="350"/>
      <c r="N63" s="350"/>
      <c r="O63" s="350"/>
      <c r="R63" s="540" t="s">
        <v>200</v>
      </c>
      <c r="S63" s="542" t="s">
        <v>201</v>
      </c>
      <c r="T63" s="542" t="s">
        <v>202</v>
      </c>
      <c r="U63" s="542" t="s">
        <v>203</v>
      </c>
      <c r="V63" s="542" t="s">
        <v>153</v>
      </c>
      <c r="W63" s="542" t="s">
        <v>204</v>
      </c>
      <c r="X63" s="544" t="s">
        <v>251</v>
      </c>
      <c r="Y63" s="544" t="s">
        <v>155</v>
      </c>
    </row>
    <row r="64" spans="1:34" ht="30">
      <c r="A64" s="345"/>
      <c r="B64" s="348"/>
      <c r="C64" s="352"/>
      <c r="D64" s="352"/>
      <c r="E64" s="352"/>
      <c r="F64" s="352"/>
      <c r="G64" s="352"/>
      <c r="H64" s="352"/>
      <c r="I64" s="352"/>
      <c r="J64" s="352"/>
      <c r="K64" s="352"/>
      <c r="L64" s="352"/>
      <c r="M64" s="352"/>
      <c r="N64" s="352"/>
      <c r="O64" s="342"/>
      <c r="R64" s="540"/>
      <c r="S64" s="543"/>
      <c r="T64" s="543"/>
      <c r="U64" s="543"/>
      <c r="V64" s="543"/>
      <c r="W64" s="543"/>
      <c r="X64" s="545"/>
      <c r="Y64" s="545" t="s">
        <v>155</v>
      </c>
    </row>
    <row r="65" spans="1:32" ht="30">
      <c r="A65" s="345"/>
      <c r="B65" s="348"/>
      <c r="C65" s="352"/>
      <c r="D65" s="352"/>
      <c r="E65" s="352"/>
      <c r="F65" s="352"/>
      <c r="G65" s="352"/>
      <c r="H65" s="352"/>
      <c r="I65" s="352"/>
      <c r="J65" s="352"/>
      <c r="K65" s="352"/>
      <c r="L65" s="352"/>
      <c r="M65" s="352"/>
      <c r="N65" s="352"/>
      <c r="O65" s="342"/>
      <c r="R65" s="540"/>
      <c r="S65" s="329" t="s">
        <v>36</v>
      </c>
      <c r="T65" s="291">
        <v>1</v>
      </c>
      <c r="U65" s="291">
        <v>0</v>
      </c>
      <c r="V65" s="291">
        <v>0</v>
      </c>
      <c r="W65" s="291">
        <v>0</v>
      </c>
      <c r="X65" s="291">
        <v>0</v>
      </c>
      <c r="Y65" s="292"/>
    </row>
    <row r="66" spans="1:32" ht="30">
      <c r="A66" s="345"/>
      <c r="B66" s="348"/>
      <c r="C66" s="352"/>
      <c r="D66" s="342"/>
      <c r="E66" s="342"/>
      <c r="F66" s="342"/>
      <c r="G66" s="342"/>
      <c r="H66" s="342"/>
      <c r="I66" s="342"/>
      <c r="J66" s="342"/>
      <c r="K66" s="342"/>
      <c r="L66" s="342"/>
      <c r="M66" s="342"/>
      <c r="N66" s="342"/>
      <c r="O66" s="342"/>
      <c r="R66" s="540"/>
      <c r="S66" s="290" t="s">
        <v>205</v>
      </c>
      <c r="T66" s="291">
        <v>1</v>
      </c>
      <c r="U66" s="291">
        <v>0</v>
      </c>
      <c r="V66" s="291">
        <v>0</v>
      </c>
      <c r="W66" s="291">
        <v>0</v>
      </c>
      <c r="X66" s="291">
        <v>0</v>
      </c>
      <c r="Y66" s="292"/>
    </row>
    <row r="67" spans="1:32" ht="30">
      <c r="A67" s="345"/>
      <c r="B67" s="348"/>
      <c r="C67" s="342"/>
      <c r="D67" s="342"/>
      <c r="E67" s="342"/>
      <c r="F67" s="342"/>
      <c r="G67" s="342"/>
      <c r="H67" s="342"/>
      <c r="I67" s="342"/>
      <c r="J67" s="342"/>
      <c r="K67" s="342"/>
      <c r="L67" s="342"/>
      <c r="M67" s="342"/>
      <c r="N67" s="342"/>
      <c r="O67" s="342"/>
      <c r="R67" s="540"/>
      <c r="S67" s="311" t="s">
        <v>38</v>
      </c>
      <c r="T67" s="291">
        <v>0.74</v>
      </c>
      <c r="U67" s="291">
        <v>0.26</v>
      </c>
      <c r="V67" s="291">
        <v>0</v>
      </c>
      <c r="W67" s="291">
        <v>0</v>
      </c>
      <c r="X67" s="291">
        <v>0</v>
      </c>
      <c r="Y67" s="292"/>
    </row>
    <row r="68" spans="1:32" ht="29.25">
      <c r="A68" s="345"/>
      <c r="B68" s="348"/>
      <c r="C68" s="342"/>
      <c r="D68" s="342"/>
      <c r="E68" s="342"/>
      <c r="F68" s="342"/>
      <c r="G68" s="342"/>
      <c r="H68" s="342"/>
      <c r="I68" s="342"/>
      <c r="J68" s="342"/>
      <c r="K68" s="342"/>
      <c r="L68" s="342"/>
      <c r="M68" s="342"/>
      <c r="N68" s="342"/>
      <c r="O68" s="342"/>
      <c r="R68" s="540"/>
      <c r="S68" s="311" t="s">
        <v>18</v>
      </c>
      <c r="T68" s="291">
        <v>0.64</v>
      </c>
      <c r="U68" s="291">
        <v>0.03</v>
      </c>
      <c r="V68" s="330">
        <v>1E-3</v>
      </c>
      <c r="W68" s="331">
        <v>3.0000000000000001E-3</v>
      </c>
      <c r="X68" s="331">
        <v>3.0000000000000001E-3</v>
      </c>
      <c r="Y68" s="330">
        <v>0.32300000000000001</v>
      </c>
    </row>
    <row r="69" spans="1:32" ht="30">
      <c r="A69" s="345"/>
      <c r="B69" s="348"/>
      <c r="C69" s="342"/>
      <c r="D69" s="342"/>
      <c r="E69" s="342"/>
      <c r="F69" s="342"/>
      <c r="G69" s="342"/>
      <c r="H69" s="342"/>
      <c r="I69" s="342"/>
      <c r="J69" s="342"/>
      <c r="K69" s="342"/>
      <c r="L69" s="342"/>
      <c r="M69" s="342"/>
      <c r="N69" s="342"/>
      <c r="O69" s="342"/>
      <c r="R69" s="540"/>
      <c r="S69" s="311" t="s">
        <v>39</v>
      </c>
      <c r="T69" s="291">
        <v>1</v>
      </c>
      <c r="U69" s="291">
        <v>0</v>
      </c>
      <c r="V69" s="291">
        <v>0</v>
      </c>
      <c r="W69" s="291">
        <v>0</v>
      </c>
      <c r="X69" s="291">
        <v>0</v>
      </c>
      <c r="Y69" s="292"/>
    </row>
    <row r="70" spans="1:32" ht="30" hidden="1">
      <c r="A70" s="345"/>
      <c r="B70" s="348"/>
      <c r="C70" s="372" t="e">
        <f>C50+C51+#REF!+#REF!+#REF!+#REF!+#REF!+#REF!</f>
        <v>#REF!</v>
      </c>
      <c r="D70" s="372" t="e">
        <f>D50+D51+#REF!+#REF!+#REF!+#REF!+#REF!+#REF!</f>
        <v>#REF!</v>
      </c>
      <c r="E70" s="372" t="e">
        <f>E50+E51+#REF!+#REF!+#REF!+#REF!+#REF!+#REF!</f>
        <v>#REF!</v>
      </c>
      <c r="F70" s="372" t="e">
        <f>F50+F51+#REF!+#REF!+#REF!+#REF!+#REF!+#REF!</f>
        <v>#REF!</v>
      </c>
      <c r="G70" s="372" t="e">
        <f>G50+G51+#REF!+#REF!+#REF!+#REF!+#REF!+#REF!</f>
        <v>#REF!</v>
      </c>
      <c r="H70" s="372" t="e">
        <f>H50+H51+#REF!+#REF!+#REF!+#REF!+#REF!+#REF!</f>
        <v>#REF!</v>
      </c>
      <c r="I70" s="372" t="e">
        <f>I50+I51+#REF!+#REF!+#REF!+#REF!+#REF!+#REF!</f>
        <v>#REF!</v>
      </c>
      <c r="J70" s="372" t="e">
        <f>J50+J51+#REF!+#REF!+#REF!+#REF!+#REF!+#REF!</f>
        <v>#REF!</v>
      </c>
      <c r="K70" s="372" t="e">
        <f>K50+K51+#REF!+#REF!+#REF!+#REF!+#REF!+#REF!</f>
        <v>#REF!</v>
      </c>
      <c r="L70" s="372" t="e">
        <f>L50+L51+#REF!+#REF!+#REF!+#REF!+#REF!+#REF!</f>
        <v>#REF!</v>
      </c>
      <c r="M70" s="372" t="e">
        <f>M50+M51+#REF!+#REF!+#REF!+#REF!+#REF!+#REF!</f>
        <v>#REF!</v>
      </c>
      <c r="N70" s="372" t="e">
        <f>N50+N51+#REF!+#REF!+#REF!+#REF!+#REF!+#REF!</f>
        <v>#REF!</v>
      </c>
      <c r="O70" s="372" t="e">
        <f>O50+O51+#REF!+#REF!+#REF!+#REF!+#REF!+#REF!</f>
        <v>#REF!</v>
      </c>
      <c r="R70" s="540"/>
      <c r="S70" s="290" t="s">
        <v>206</v>
      </c>
      <c r="T70" s="291">
        <v>1</v>
      </c>
      <c r="U70" s="291">
        <v>0</v>
      </c>
      <c r="V70" s="291">
        <v>0</v>
      </c>
      <c r="W70" s="291">
        <v>0</v>
      </c>
      <c r="X70" s="291">
        <v>0</v>
      </c>
      <c r="Y70" s="292"/>
    </row>
    <row r="71" spans="1:32" ht="30" hidden="1">
      <c r="A71" s="345"/>
      <c r="B71" s="348"/>
      <c r="C71" s="342"/>
      <c r="D71" s="342"/>
      <c r="E71" s="342"/>
      <c r="F71" s="342"/>
      <c r="G71" s="342"/>
      <c r="H71" s="342"/>
      <c r="I71" s="342"/>
      <c r="J71" s="342"/>
      <c r="K71" s="342"/>
      <c r="L71" s="342"/>
      <c r="M71" s="342"/>
      <c r="N71" s="342"/>
      <c r="O71" s="342"/>
      <c r="R71" s="540"/>
      <c r="S71" s="290" t="s">
        <v>207</v>
      </c>
      <c r="T71" s="291">
        <v>1</v>
      </c>
      <c r="U71" s="291">
        <v>0</v>
      </c>
      <c r="V71" s="291">
        <v>0</v>
      </c>
      <c r="W71" s="291">
        <v>0</v>
      </c>
      <c r="X71" s="291">
        <v>0</v>
      </c>
      <c r="Y71" s="292"/>
    </row>
    <row r="72" spans="1:32" ht="40.5" hidden="1" thickBot="1">
      <c r="A72" s="206"/>
      <c r="B72" s="208"/>
      <c r="C72" s="356">
        <v>410</v>
      </c>
      <c r="D72" s="356">
        <v>2352</v>
      </c>
      <c r="E72" s="356">
        <v>966</v>
      </c>
      <c r="F72" s="356">
        <v>242</v>
      </c>
      <c r="G72" s="356">
        <v>475</v>
      </c>
      <c r="H72" s="356">
        <v>75</v>
      </c>
      <c r="I72" s="356">
        <v>881.56424581005581</v>
      </c>
      <c r="J72" s="356">
        <v>1116.6480446927376</v>
      </c>
      <c r="K72" s="356">
        <v>1116.6480446927376</v>
      </c>
      <c r="L72" s="356">
        <v>1116.6480446927376</v>
      </c>
      <c r="M72" s="356">
        <v>1116.6480446927376</v>
      </c>
      <c r="N72" s="356">
        <v>881.56424581005581</v>
      </c>
      <c r="O72" s="357">
        <v>10749.720670391063</v>
      </c>
      <c r="R72" s="541"/>
      <c r="S72" s="293" t="s">
        <v>208</v>
      </c>
      <c r="T72" s="291">
        <v>1</v>
      </c>
      <c r="U72" s="291">
        <v>0</v>
      </c>
      <c r="V72" s="291">
        <v>0</v>
      </c>
      <c r="W72" s="291">
        <v>0</v>
      </c>
      <c r="X72" s="291">
        <v>0</v>
      </c>
      <c r="Y72" s="292"/>
    </row>
    <row r="73" spans="1:32">
      <c r="A73" s="206"/>
      <c r="B73" s="208"/>
    </row>
    <row r="74" spans="1:32">
      <c r="A74" s="206"/>
      <c r="B74" s="208"/>
    </row>
    <row r="75" spans="1:32" ht="29.25">
      <c r="A75" s="206"/>
      <c r="B75" s="208"/>
      <c r="R75" s="294"/>
      <c r="S75" s="295" t="s">
        <v>201</v>
      </c>
      <c r="T75" s="296" t="s">
        <v>209</v>
      </c>
      <c r="U75" s="295" t="s">
        <v>210</v>
      </c>
      <c r="V75" s="296" t="s">
        <v>211</v>
      </c>
      <c r="W75" s="296" t="s">
        <v>212</v>
      </c>
      <c r="X75" s="296" t="s">
        <v>213</v>
      </c>
      <c r="Y75" s="296" t="s">
        <v>214</v>
      </c>
      <c r="Z75" s="296" t="s">
        <v>215</v>
      </c>
      <c r="AB75" s="296" t="s">
        <v>216</v>
      </c>
      <c r="AC75" s="296" t="s">
        <v>211</v>
      </c>
      <c r="AD75" s="296" t="s">
        <v>212</v>
      </c>
      <c r="AE75" s="296" t="s">
        <v>213</v>
      </c>
      <c r="AF75" s="296" t="s">
        <v>215</v>
      </c>
    </row>
    <row r="76" spans="1:32" ht="29.25">
      <c r="A76" s="206"/>
      <c r="B76" s="208"/>
      <c r="R76" s="550" t="s">
        <v>114</v>
      </c>
      <c r="S76" s="546" t="s">
        <v>217</v>
      </c>
      <c r="T76" s="297">
        <v>0.92</v>
      </c>
      <c r="U76" s="297">
        <v>0.08</v>
      </c>
      <c r="V76" s="297"/>
      <c r="W76" s="297"/>
      <c r="X76" s="297"/>
      <c r="Y76" s="297"/>
      <c r="Z76" s="297"/>
      <c r="AA76" s="298"/>
      <c r="AB76" s="297">
        <v>0.64</v>
      </c>
      <c r="AC76" s="297"/>
      <c r="AD76" s="297"/>
      <c r="AE76" s="297"/>
      <c r="AF76" s="297"/>
    </row>
    <row r="77" spans="1:32" ht="29.25">
      <c r="A77" s="206"/>
      <c r="B77" s="208"/>
      <c r="R77" s="550"/>
      <c r="S77" s="547"/>
      <c r="T77" s="297">
        <v>0.7</v>
      </c>
      <c r="U77" s="297"/>
      <c r="V77" s="297">
        <v>0.3</v>
      </c>
      <c r="W77" s="297"/>
      <c r="X77" s="297"/>
      <c r="Y77" s="297"/>
      <c r="Z77" s="297"/>
      <c r="AA77" s="298"/>
      <c r="AB77" s="297">
        <v>0.6</v>
      </c>
      <c r="AC77" s="297"/>
      <c r="AD77" s="297"/>
      <c r="AE77" s="297">
        <v>0.4</v>
      </c>
      <c r="AF77" s="297"/>
    </row>
    <row r="78" spans="1:32" ht="29.25">
      <c r="A78" s="206"/>
      <c r="B78" s="208"/>
      <c r="R78" s="550"/>
      <c r="S78" s="547"/>
      <c r="T78" s="297">
        <v>0.73</v>
      </c>
      <c r="U78" s="297"/>
      <c r="V78" s="297"/>
      <c r="W78" s="297"/>
      <c r="X78" s="297">
        <v>0.27</v>
      </c>
      <c r="Y78" s="297"/>
      <c r="Z78" s="297"/>
      <c r="AA78" s="298"/>
      <c r="AB78" s="297">
        <v>0.56999999999999995</v>
      </c>
      <c r="AC78" s="297">
        <v>0.43</v>
      </c>
      <c r="AD78" s="297"/>
      <c r="AE78" s="297"/>
      <c r="AF78" s="297"/>
    </row>
    <row r="79" spans="1:32" ht="29.25">
      <c r="A79" s="206"/>
      <c r="B79" s="208"/>
      <c r="R79" s="550"/>
      <c r="S79" s="547"/>
      <c r="T79" s="297">
        <v>0.54</v>
      </c>
      <c r="U79" s="297"/>
      <c r="V79" s="297"/>
      <c r="W79" s="297">
        <v>0.46</v>
      </c>
      <c r="X79" s="297"/>
      <c r="Y79" s="297"/>
      <c r="Z79" s="297"/>
      <c r="AA79" s="298"/>
      <c r="AB79" s="297">
        <v>0.46</v>
      </c>
      <c r="AC79" s="297"/>
      <c r="AD79" s="297">
        <v>0.54</v>
      </c>
      <c r="AE79" s="297"/>
      <c r="AF79" s="297"/>
    </row>
    <row r="80" spans="1:32" ht="29.25">
      <c r="A80" s="206"/>
      <c r="B80" s="208"/>
      <c r="R80" s="550"/>
      <c r="S80" s="547"/>
      <c r="T80" s="297">
        <v>0.76</v>
      </c>
      <c r="U80" s="297"/>
      <c r="V80" s="297"/>
      <c r="W80" s="297"/>
      <c r="X80" s="297"/>
      <c r="Y80" s="297"/>
      <c r="Z80" s="297">
        <v>0.24</v>
      </c>
      <c r="AA80" s="298"/>
      <c r="AB80" s="297">
        <v>0.64</v>
      </c>
      <c r="AC80" s="297"/>
      <c r="AD80" s="297"/>
      <c r="AE80" s="297"/>
      <c r="AF80" s="297">
        <v>0.36</v>
      </c>
    </row>
    <row r="81" spans="1:32" ht="29.25">
      <c r="A81" s="206"/>
      <c r="B81" s="208"/>
      <c r="R81" s="550"/>
      <c r="S81" s="547"/>
      <c r="T81" s="299">
        <v>0.76</v>
      </c>
      <c r="U81" s="299"/>
      <c r="V81" s="299"/>
      <c r="W81" s="299"/>
      <c r="X81" s="299"/>
      <c r="Y81" s="299">
        <v>0.24</v>
      </c>
      <c r="Z81" s="299"/>
      <c r="AA81" s="298"/>
      <c r="AB81" s="299"/>
      <c r="AC81" s="299"/>
      <c r="AD81" s="299"/>
      <c r="AE81" s="299"/>
      <c r="AF81" s="299"/>
    </row>
    <row r="82" spans="1:32" ht="29.25">
      <c r="A82" s="206"/>
      <c r="B82" s="208"/>
      <c r="R82" s="550"/>
      <c r="S82" s="300"/>
      <c r="T82" s="301"/>
      <c r="U82" s="301"/>
      <c r="V82" s="301"/>
      <c r="W82" s="301"/>
      <c r="X82" s="301"/>
      <c r="Y82" s="301"/>
      <c r="Z82" s="301"/>
      <c r="AB82" s="301"/>
      <c r="AC82" s="301"/>
      <c r="AD82" s="301"/>
      <c r="AE82" s="301"/>
      <c r="AF82" s="301"/>
    </row>
    <row r="83" spans="1:32" ht="33.75">
      <c r="A83" s="206"/>
      <c r="B83" s="208"/>
      <c r="R83" s="550"/>
      <c r="S83" s="548" t="s">
        <v>218</v>
      </c>
      <c r="T83" s="302">
        <v>0.96</v>
      </c>
      <c r="U83" s="303">
        <v>0.04</v>
      </c>
      <c r="V83" s="303"/>
      <c r="W83" s="303"/>
      <c r="X83" s="303"/>
      <c r="Y83" s="303"/>
      <c r="Z83" s="303"/>
      <c r="AA83" s="304"/>
      <c r="AB83" s="302">
        <v>0.6</v>
      </c>
      <c r="AC83" s="302"/>
      <c r="AD83" s="302"/>
      <c r="AE83" s="302"/>
      <c r="AF83" s="302"/>
    </row>
    <row r="84" spans="1:32" ht="29.25">
      <c r="A84" s="206"/>
      <c r="B84" s="208"/>
      <c r="R84" s="550"/>
      <c r="S84" s="549"/>
      <c r="T84" s="305">
        <v>0.89</v>
      </c>
      <c r="U84" s="305"/>
      <c r="V84" s="305"/>
      <c r="W84" s="305"/>
      <c r="X84" s="305"/>
      <c r="Y84" s="305">
        <v>0.11</v>
      </c>
      <c r="Z84" s="305"/>
      <c r="AA84" s="304"/>
      <c r="AB84" s="305">
        <v>0.56999999999999995</v>
      </c>
      <c r="AC84" s="305"/>
      <c r="AD84" s="305"/>
      <c r="AE84" s="305">
        <v>0.43</v>
      </c>
      <c r="AF84" s="305"/>
    </row>
    <row r="85" spans="1:32" ht="29.25">
      <c r="A85" s="206"/>
      <c r="B85" s="208"/>
      <c r="R85" s="550"/>
      <c r="S85" s="549"/>
      <c r="T85" s="305">
        <v>0.88</v>
      </c>
      <c r="U85" s="305"/>
      <c r="V85" s="305"/>
      <c r="W85" s="305"/>
      <c r="X85" s="305">
        <v>0.12</v>
      </c>
      <c r="Y85" s="305"/>
      <c r="Z85" s="305"/>
      <c r="AA85" s="304"/>
      <c r="AB85" s="305">
        <v>0.54</v>
      </c>
      <c r="AC85" s="305">
        <v>0.46</v>
      </c>
      <c r="AD85" s="305"/>
      <c r="AE85" s="305"/>
      <c r="AF85" s="305"/>
    </row>
    <row r="86" spans="1:32" ht="29.25">
      <c r="A86" s="206"/>
      <c r="B86" s="208"/>
      <c r="R86" s="550"/>
      <c r="S86" s="549"/>
      <c r="T86" s="305">
        <v>0.86</v>
      </c>
      <c r="U86" s="305"/>
      <c r="V86" s="305">
        <v>0.14000000000000001</v>
      </c>
      <c r="W86" s="305"/>
      <c r="X86" s="305"/>
      <c r="Y86" s="305"/>
      <c r="Z86" s="305"/>
      <c r="AA86" s="304"/>
      <c r="AB86" s="305">
        <v>0.42</v>
      </c>
      <c r="AC86" s="305"/>
      <c r="AD86" s="305">
        <v>0.57999999999999996</v>
      </c>
      <c r="AE86" s="305"/>
      <c r="AF86" s="305"/>
    </row>
    <row r="87" spans="1:32" ht="29.25">
      <c r="A87" s="206"/>
      <c r="B87" s="208"/>
      <c r="R87" s="550"/>
      <c r="S87" s="549"/>
      <c r="T87" s="305">
        <v>0.79</v>
      </c>
      <c r="U87" s="305"/>
      <c r="V87" s="305"/>
      <c r="W87" s="305">
        <v>0.21</v>
      </c>
      <c r="X87" s="305"/>
      <c r="Y87" s="305"/>
      <c r="Z87" s="305"/>
      <c r="AA87" s="304"/>
      <c r="AB87" s="305">
        <v>0.6</v>
      </c>
      <c r="AC87" s="305"/>
      <c r="AD87" s="305"/>
      <c r="AE87" s="305"/>
      <c r="AF87" s="305">
        <v>0.4</v>
      </c>
    </row>
    <row r="88" spans="1:32" ht="29.25">
      <c r="A88" s="206"/>
      <c r="B88" s="208"/>
      <c r="R88" s="550"/>
      <c r="S88" s="549"/>
      <c r="T88" s="305">
        <v>0.89</v>
      </c>
      <c r="U88" s="305"/>
      <c r="V88" s="305"/>
      <c r="W88" s="305"/>
      <c r="X88" s="305"/>
      <c r="Y88" s="305"/>
      <c r="Z88" s="305">
        <v>0.11</v>
      </c>
      <c r="AA88" s="304"/>
      <c r="AB88" s="305"/>
      <c r="AC88" s="305"/>
      <c r="AD88" s="305"/>
      <c r="AE88" s="305"/>
      <c r="AF88" s="305"/>
    </row>
    <row r="89" spans="1:32">
      <c r="A89" s="206"/>
      <c r="B89" s="208"/>
      <c r="R89" s="550"/>
    </row>
    <row r="90" spans="1:32" ht="33.75">
      <c r="A90" s="206"/>
      <c r="B90" s="208"/>
      <c r="R90" s="550"/>
      <c r="S90" s="533" t="s">
        <v>207</v>
      </c>
      <c r="T90" s="306">
        <v>0.99</v>
      </c>
      <c r="U90" s="307">
        <v>0.01</v>
      </c>
      <c r="V90" s="307"/>
      <c r="W90" s="307"/>
      <c r="X90" s="307"/>
      <c r="Y90" s="307"/>
      <c r="Z90" s="307"/>
      <c r="AA90" s="308"/>
      <c r="AB90" s="306">
        <v>0.66</v>
      </c>
      <c r="AC90" s="306"/>
      <c r="AD90" s="306"/>
      <c r="AE90" s="306"/>
      <c r="AF90" s="306"/>
    </row>
    <row r="91" spans="1:32" ht="29.25">
      <c r="A91" s="206"/>
      <c r="B91" s="208"/>
      <c r="R91" s="550"/>
      <c r="S91" s="534"/>
      <c r="T91" s="306">
        <v>0.96</v>
      </c>
      <c r="U91" s="306"/>
      <c r="V91" s="306"/>
      <c r="W91" s="306"/>
      <c r="X91" s="306"/>
      <c r="Y91" s="306">
        <v>0.04</v>
      </c>
      <c r="Z91" s="306"/>
      <c r="AA91" s="308"/>
      <c r="AB91" s="306">
        <v>0.62</v>
      </c>
      <c r="AC91" s="306"/>
      <c r="AD91" s="306"/>
      <c r="AE91" s="306">
        <v>0.38</v>
      </c>
      <c r="AF91" s="306"/>
    </row>
    <row r="92" spans="1:32" ht="29.25">
      <c r="A92" s="206"/>
      <c r="B92" s="208"/>
      <c r="R92" s="550"/>
      <c r="S92" s="534"/>
      <c r="T92" s="306">
        <v>0.93</v>
      </c>
      <c r="U92" s="306"/>
      <c r="V92" s="306"/>
      <c r="W92" s="306"/>
      <c r="X92" s="306">
        <v>7.0000000000000007E-2</v>
      </c>
      <c r="Y92" s="306"/>
      <c r="Z92" s="306"/>
      <c r="AA92" s="308"/>
      <c r="AB92" s="306">
        <v>0.59</v>
      </c>
      <c r="AC92" s="306">
        <v>0.41</v>
      </c>
      <c r="AD92" s="306"/>
      <c r="AE92" s="306"/>
      <c r="AF92" s="306"/>
    </row>
    <row r="93" spans="1:32" ht="29.25">
      <c r="A93" s="206"/>
      <c r="B93" s="208"/>
      <c r="R93" s="550"/>
      <c r="S93" s="534"/>
      <c r="T93" s="306">
        <v>0.95</v>
      </c>
      <c r="U93" s="306"/>
      <c r="V93" s="306">
        <v>0.05</v>
      </c>
      <c r="W93" s="306"/>
      <c r="X93" s="306"/>
      <c r="Y93" s="306"/>
      <c r="Z93" s="306"/>
      <c r="AA93" s="308"/>
      <c r="AB93" s="306">
        <v>0.48</v>
      </c>
      <c r="AC93" s="306"/>
      <c r="AD93" s="306">
        <v>0.52</v>
      </c>
      <c r="AE93" s="306"/>
      <c r="AF93" s="306"/>
    </row>
    <row r="94" spans="1:32" ht="29.25">
      <c r="A94" s="206"/>
      <c r="B94" s="208"/>
      <c r="R94" s="550"/>
      <c r="S94" s="534"/>
      <c r="T94" s="306">
        <v>0.93</v>
      </c>
      <c r="U94" s="306"/>
      <c r="V94" s="306"/>
      <c r="W94" s="306">
        <v>7.0000000000000007E-2</v>
      </c>
      <c r="X94" s="306"/>
      <c r="Y94" s="306"/>
      <c r="Z94" s="306"/>
      <c r="AA94" s="308"/>
      <c r="AB94" s="306">
        <v>0.65</v>
      </c>
      <c r="AC94" s="306"/>
      <c r="AD94" s="306"/>
      <c r="AE94" s="306"/>
      <c r="AF94" s="306">
        <v>0.35</v>
      </c>
    </row>
    <row r="95" spans="1:32" ht="29.25">
      <c r="A95" s="206"/>
      <c r="B95" s="208"/>
      <c r="R95" s="550"/>
      <c r="S95" s="535"/>
      <c r="T95" s="306">
        <v>0.96</v>
      </c>
      <c r="U95" s="306"/>
      <c r="V95" s="306"/>
      <c r="W95" s="306"/>
      <c r="X95" s="306"/>
      <c r="Y95" s="306"/>
      <c r="Z95" s="306">
        <v>0.04</v>
      </c>
      <c r="AA95" s="308"/>
      <c r="AB95" s="306"/>
      <c r="AC95" s="306"/>
      <c r="AD95" s="306"/>
      <c r="AE95" s="306"/>
      <c r="AF95" s="306"/>
    </row>
    <row r="96" spans="1:32">
      <c r="A96" s="206"/>
      <c r="B96" s="208"/>
      <c r="R96" s="309"/>
    </row>
    <row r="97" spans="1:29">
      <c r="A97" s="206"/>
      <c r="B97" s="208"/>
      <c r="R97" s="310" t="s">
        <v>217</v>
      </c>
      <c r="S97" s="311" t="s">
        <v>219</v>
      </c>
      <c r="T97" s="311" t="s">
        <v>220</v>
      </c>
      <c r="W97" s="310" t="s">
        <v>221</v>
      </c>
      <c r="X97" s="311" t="s">
        <v>219</v>
      </c>
      <c r="Y97" s="311" t="s">
        <v>220</v>
      </c>
    </row>
    <row r="98" spans="1:29" ht="29.25">
      <c r="A98" s="206"/>
      <c r="B98" s="208"/>
      <c r="R98" s="311" t="s">
        <v>222</v>
      </c>
      <c r="S98" s="297">
        <v>0.92</v>
      </c>
      <c r="T98" s="297">
        <v>0.08</v>
      </c>
      <c r="U98" s="297">
        <f>T98+S98</f>
        <v>1</v>
      </c>
      <c r="W98" s="311" t="s">
        <v>222</v>
      </c>
      <c r="X98" s="297">
        <v>0.98</v>
      </c>
      <c r="Y98" s="297">
        <v>0.02</v>
      </c>
      <c r="Z98" s="297">
        <f>Y98+X98</f>
        <v>1</v>
      </c>
    </row>
    <row r="99" spans="1:29" ht="54">
      <c r="A99" s="206"/>
      <c r="B99" s="208"/>
      <c r="R99" s="311" t="s">
        <v>223</v>
      </c>
      <c r="S99" s="297">
        <f>AVERAGE(T77:T81)</f>
        <v>0.69800000000000006</v>
      </c>
      <c r="T99" s="297">
        <v>0.3</v>
      </c>
      <c r="U99" s="297">
        <f>T99+S99</f>
        <v>0.998</v>
      </c>
      <c r="W99" s="311" t="s">
        <v>223</v>
      </c>
      <c r="X99" s="297">
        <v>0.95</v>
      </c>
      <c r="Y99" s="297">
        <v>0.05</v>
      </c>
      <c r="Z99" s="297">
        <f>Y99+X99</f>
        <v>1</v>
      </c>
    </row>
    <row r="100" spans="1:29" ht="54">
      <c r="A100" s="206"/>
      <c r="B100" s="208"/>
      <c r="R100" s="311" t="s">
        <v>224</v>
      </c>
      <c r="S100" s="297">
        <v>0.57999999999999996</v>
      </c>
      <c r="T100" s="297">
        <v>0.42</v>
      </c>
      <c r="U100" s="297">
        <f>T100+S100</f>
        <v>1</v>
      </c>
      <c r="W100" s="311" t="s">
        <v>224</v>
      </c>
      <c r="X100" s="297">
        <v>0.6</v>
      </c>
      <c r="Y100" s="297">
        <v>0.4</v>
      </c>
      <c r="Z100" s="297">
        <f>Y100+X100</f>
        <v>1</v>
      </c>
    </row>
    <row r="101" spans="1:29">
      <c r="A101" s="206"/>
      <c r="B101" s="208"/>
    </row>
    <row r="102" spans="1:29">
      <c r="A102" s="206"/>
      <c r="B102" s="208"/>
      <c r="R102" s="310" t="s">
        <v>218</v>
      </c>
      <c r="S102" s="311" t="s">
        <v>219</v>
      </c>
      <c r="T102" s="311" t="s">
        <v>220</v>
      </c>
      <c r="W102" s="312"/>
    </row>
    <row r="103" spans="1:29" ht="37.5">
      <c r="A103" s="206"/>
      <c r="B103" s="208"/>
      <c r="R103" s="311" t="s">
        <v>222</v>
      </c>
      <c r="S103" s="297">
        <v>0.94</v>
      </c>
      <c r="T103" s="297">
        <v>0.06</v>
      </c>
      <c r="U103" s="297">
        <f>T103+S103</f>
        <v>1</v>
      </c>
      <c r="W103" s="313"/>
      <c r="X103" s="314">
        <f>Y103/$Y$106</f>
        <v>0.6111111111111116</v>
      </c>
      <c r="Y103" s="315">
        <v>146666.66666666701</v>
      </c>
      <c r="Z103" s="311" t="s">
        <v>225</v>
      </c>
      <c r="AB103" s="316"/>
      <c r="AC103" s="317"/>
    </row>
    <row r="104" spans="1:29" ht="54">
      <c r="A104" s="206"/>
      <c r="B104" s="208"/>
      <c r="R104" s="311" t="s">
        <v>223</v>
      </c>
      <c r="S104" s="297">
        <v>0.86</v>
      </c>
      <c r="T104" s="297">
        <v>0.14000000000000001</v>
      </c>
      <c r="U104" s="297">
        <f>T104+S104</f>
        <v>1</v>
      </c>
      <c r="V104" s="313"/>
      <c r="W104" s="313"/>
      <c r="X104" s="314">
        <f>Y104/$Y$106</f>
        <v>0.33333333333333287</v>
      </c>
      <c r="Y104" s="315">
        <v>80000</v>
      </c>
      <c r="Z104" s="311" t="s">
        <v>226</v>
      </c>
      <c r="AB104" s="316"/>
      <c r="AC104" s="317"/>
    </row>
    <row r="105" spans="1:29" ht="49.5">
      <c r="A105" s="206"/>
      <c r="B105" s="208"/>
      <c r="R105" s="318" t="s">
        <v>224</v>
      </c>
      <c r="S105" s="297">
        <v>0.55000000000000004</v>
      </c>
      <c r="T105" s="297">
        <v>0.45</v>
      </c>
      <c r="U105" s="297">
        <f>T105+S105</f>
        <v>1</v>
      </c>
      <c r="V105" s="313"/>
      <c r="W105" s="313"/>
      <c r="X105" s="314">
        <f>Y105/$Y$106</f>
        <v>5.5555555555555469E-2</v>
      </c>
      <c r="Y105" s="315">
        <v>13333.333333333332</v>
      </c>
      <c r="Z105" s="311" t="s">
        <v>227</v>
      </c>
    </row>
    <row r="106" spans="1:29" ht="54">
      <c r="A106" s="206"/>
      <c r="B106" s="208"/>
      <c r="V106" s="313"/>
      <c r="W106" s="313"/>
      <c r="X106" s="319"/>
      <c r="Y106" s="320">
        <f>SUM(Y103:Y105)</f>
        <v>240000.00000000035</v>
      </c>
      <c r="Z106" s="311" t="s">
        <v>228</v>
      </c>
    </row>
    <row r="107" spans="1:29">
      <c r="A107" s="206"/>
      <c r="B107" s="208"/>
    </row>
    <row r="108" spans="1:29">
      <c r="A108" s="206"/>
      <c r="B108" s="208"/>
    </row>
    <row r="109" spans="1:29">
      <c r="A109" s="206"/>
      <c r="B109" s="208"/>
    </row>
    <row r="110" spans="1:29">
      <c r="A110" s="206"/>
      <c r="B110" s="208"/>
    </row>
    <row r="111" spans="1:29">
      <c r="A111" s="206"/>
      <c r="B111" s="208"/>
    </row>
  </sheetData>
  <mergeCells count="34">
    <mergeCell ref="A29:O29"/>
    <mergeCell ref="A30:A31"/>
    <mergeCell ref="A43:A44"/>
    <mergeCell ref="A45:A47"/>
    <mergeCell ref="A38:A40"/>
    <mergeCell ref="A36:A37"/>
    <mergeCell ref="A35:O35"/>
    <mergeCell ref="A42:O42"/>
    <mergeCell ref="A32:A34"/>
    <mergeCell ref="A1:N1"/>
    <mergeCell ref="A2:O2"/>
    <mergeCell ref="A5:O5"/>
    <mergeCell ref="A22:A28"/>
    <mergeCell ref="A4:B4"/>
    <mergeCell ref="A11:A19"/>
    <mergeCell ref="A6:A10"/>
    <mergeCell ref="A20:O20"/>
    <mergeCell ref="A21:O21"/>
    <mergeCell ref="A48:B48"/>
    <mergeCell ref="S90:S95"/>
    <mergeCell ref="A50:A58"/>
    <mergeCell ref="R62:Y62"/>
    <mergeCell ref="R63:R72"/>
    <mergeCell ref="S63:S64"/>
    <mergeCell ref="T63:T64"/>
    <mergeCell ref="U63:U64"/>
    <mergeCell ref="V63:V64"/>
    <mergeCell ref="W63:W64"/>
    <mergeCell ref="X63:X64"/>
    <mergeCell ref="Y63:Y64"/>
    <mergeCell ref="S76:S81"/>
    <mergeCell ref="S83:S88"/>
    <mergeCell ref="R76:R95"/>
    <mergeCell ref="A60:B60"/>
  </mergeCells>
  <dataValidations count="1">
    <dataValidation operator="greaterThanOrEqual" allowBlank="1" showInputMessage="1" showErrorMessage="1" sqref="AE3:AH3 A1:A3 Z62:AG62 O1 B3:O3 P1:AH2" xr:uid="{B793078B-6CEF-4239-B0A6-A5B6F526180D}"/>
  </dataValidations>
  <printOptions horizontalCentered="1"/>
  <pageMargins left="0" right="0" top="0" bottom="0" header="0" footer="0"/>
  <pageSetup paperSize="9" scale="2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3098A-2DE9-4B2C-ABAD-B47E4DA48EC7}">
  <dimension ref="A1:D6"/>
  <sheetViews>
    <sheetView showGridLines="0" rightToLeft="1" zoomScale="90" zoomScaleNormal="90" workbookViewId="0">
      <selection activeCell="B5" sqref="B5"/>
    </sheetView>
  </sheetViews>
  <sheetFormatPr defaultRowHeight="15"/>
  <cols>
    <col min="1" max="1" width="40" customWidth="1"/>
    <col min="2" max="2" width="39.28515625" customWidth="1"/>
    <col min="3" max="3" width="43.7109375" customWidth="1"/>
    <col min="4" max="4" width="42.5703125" customWidth="1"/>
  </cols>
  <sheetData>
    <row r="1" spans="1:4" ht="60.75" customHeight="1">
      <c r="A1" s="578" t="s">
        <v>271</v>
      </c>
      <c r="B1" s="578"/>
      <c r="C1" s="578"/>
      <c r="D1" s="578"/>
    </row>
    <row r="2" spans="1:4" ht="27" customHeight="1">
      <c r="A2" s="579" t="s">
        <v>0</v>
      </c>
      <c r="B2" s="580"/>
      <c r="C2" s="580"/>
      <c r="D2" s="580"/>
    </row>
    <row r="3" spans="1:4" ht="30" customHeight="1">
      <c r="A3" s="579"/>
      <c r="B3" s="403" t="s">
        <v>4</v>
      </c>
      <c r="C3" s="403" t="s">
        <v>85</v>
      </c>
      <c r="D3" s="403" t="s">
        <v>10</v>
      </c>
    </row>
    <row r="4" spans="1:4" ht="30.75" customHeight="1">
      <c r="A4" s="579"/>
      <c r="B4" s="403" t="s">
        <v>177</v>
      </c>
      <c r="C4" s="403" t="s">
        <v>178</v>
      </c>
      <c r="D4" s="403" t="s">
        <v>178</v>
      </c>
    </row>
    <row r="5" spans="1:4" ht="36" customHeight="1">
      <c r="A5" s="401" t="s">
        <v>179</v>
      </c>
      <c r="B5" s="405">
        <v>700000</v>
      </c>
      <c r="C5" s="437">
        <v>15300</v>
      </c>
      <c r="D5" s="405">
        <f>C5*B5</f>
        <v>10710000000</v>
      </c>
    </row>
    <row r="6" spans="1:4" ht="36.75" customHeight="1">
      <c r="A6" s="402"/>
      <c r="B6" s="406"/>
      <c r="C6" s="406"/>
      <c r="D6" s="407">
        <f>SUM(D5:D5)</f>
        <v>10710000000</v>
      </c>
    </row>
  </sheetData>
  <mergeCells count="3">
    <mergeCell ref="A1:D1"/>
    <mergeCell ref="A2:A4"/>
    <mergeCell ref="B2:D2"/>
  </mergeCells>
  <printOptions horizontalCentered="1"/>
  <pageMargins left="0" right="0" top="0.5" bottom="0" header="0" footer="0"/>
  <pageSetup paperSize="9" scale="71" orientation="landscape" r:id="rId1"/>
  <colBreaks count="1" manualBreakCount="1">
    <brk id="4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73958-16D8-4353-B54C-39DB284FA25D}">
  <dimension ref="A1:AH113"/>
  <sheetViews>
    <sheetView rightToLeft="1" view="pageBreakPreview" zoomScale="50" zoomScaleNormal="60" zoomScaleSheetLayoutView="50" workbookViewId="0">
      <selection activeCell="B47" sqref="B47"/>
    </sheetView>
  </sheetViews>
  <sheetFormatPr defaultRowHeight="15"/>
  <cols>
    <col min="1" max="1" width="68.140625" customWidth="1"/>
    <col min="2" max="2" width="77" customWidth="1"/>
    <col min="3" max="14" width="25.7109375" customWidth="1"/>
    <col min="15" max="15" width="52.5703125" customWidth="1"/>
    <col min="18" max="18" width="10.42578125" bestFit="1" customWidth="1"/>
    <col min="19" max="19" width="16.140625" bestFit="1" customWidth="1"/>
    <col min="20" max="21" width="13.85546875" bestFit="1" customWidth="1"/>
    <col min="22" max="22" width="16.140625" bestFit="1" customWidth="1"/>
    <col min="23" max="24" width="13.85546875" bestFit="1" customWidth="1"/>
    <col min="25" max="25" width="19.28515625" bestFit="1" customWidth="1"/>
    <col min="26" max="27" width="10.140625" bestFit="1" customWidth="1"/>
  </cols>
  <sheetData>
    <row r="1" spans="1:15" ht="36">
      <c r="A1" s="195"/>
      <c r="B1" s="196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97"/>
    </row>
    <row r="2" spans="1:15" ht="53.25">
      <c r="A2" s="594" t="s">
        <v>128</v>
      </c>
      <c r="B2" s="594"/>
      <c r="C2" s="594"/>
      <c r="D2" s="594"/>
      <c r="E2" s="594"/>
      <c r="F2" s="594"/>
      <c r="G2" s="594"/>
      <c r="H2" s="594"/>
      <c r="I2" s="594"/>
      <c r="J2" s="594"/>
      <c r="K2" s="594"/>
      <c r="L2" s="594"/>
      <c r="M2" s="594"/>
      <c r="N2" s="594"/>
      <c r="O2" s="594"/>
    </row>
    <row r="3" spans="1:15" ht="36.75" thickBot="1">
      <c r="A3" s="195"/>
      <c r="B3" s="196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98" t="s">
        <v>129</v>
      </c>
      <c r="O3" s="197"/>
    </row>
    <row r="4" spans="1:15" ht="40.5" thickBot="1">
      <c r="A4" s="560" t="s">
        <v>0</v>
      </c>
      <c r="B4" s="561"/>
      <c r="C4" s="199" t="s">
        <v>21</v>
      </c>
      <c r="D4" s="199" t="s">
        <v>22</v>
      </c>
      <c r="E4" s="199" t="s">
        <v>23</v>
      </c>
      <c r="F4" s="199" t="s">
        <v>24</v>
      </c>
      <c r="G4" s="199" t="s">
        <v>25</v>
      </c>
      <c r="H4" s="199" t="s">
        <v>26</v>
      </c>
      <c r="I4" s="199" t="s">
        <v>27</v>
      </c>
      <c r="J4" s="199" t="s">
        <v>28</v>
      </c>
      <c r="K4" s="199" t="s">
        <v>29</v>
      </c>
      <c r="L4" s="199" t="s">
        <v>30</v>
      </c>
      <c r="M4" s="199" t="s">
        <v>31</v>
      </c>
      <c r="N4" s="199" t="s">
        <v>32</v>
      </c>
      <c r="O4" s="200" t="s">
        <v>130</v>
      </c>
    </row>
    <row r="5" spans="1:15" ht="39.75">
      <c r="A5" s="595" t="s">
        <v>131</v>
      </c>
      <c r="B5" s="596"/>
      <c r="C5" s="596"/>
      <c r="D5" s="596"/>
      <c r="E5" s="596"/>
      <c r="F5" s="596"/>
      <c r="G5" s="596"/>
      <c r="H5" s="596"/>
      <c r="I5" s="596"/>
      <c r="J5" s="596"/>
      <c r="K5" s="596"/>
      <c r="L5" s="596"/>
      <c r="M5" s="596"/>
      <c r="N5" s="596"/>
      <c r="O5" s="597"/>
    </row>
    <row r="6" spans="1:15" ht="36">
      <c r="A6" s="598" t="s">
        <v>132</v>
      </c>
      <c r="B6" s="201" t="s">
        <v>12</v>
      </c>
      <c r="C6" s="244">
        <v>43808</v>
      </c>
      <c r="D6" s="244">
        <v>27177</v>
      </c>
      <c r="E6" s="244">
        <v>16903</v>
      </c>
      <c r="F6" s="244">
        <v>17581</v>
      </c>
      <c r="G6" s="244">
        <v>32157</v>
      </c>
      <c r="H6" s="244">
        <v>27107</v>
      </c>
      <c r="I6" s="244">
        <f>22000+I22</f>
        <v>36000</v>
      </c>
      <c r="J6" s="244">
        <f t="shared" ref="J6:N6" si="0">22000+J22</f>
        <v>38000</v>
      </c>
      <c r="K6" s="244">
        <f t="shared" si="0"/>
        <v>38000</v>
      </c>
      <c r="L6" s="244">
        <f t="shared" si="0"/>
        <v>38000</v>
      </c>
      <c r="M6" s="244">
        <f t="shared" si="0"/>
        <v>38000</v>
      </c>
      <c r="N6" s="244">
        <f t="shared" si="0"/>
        <v>36682</v>
      </c>
      <c r="O6" s="203">
        <f>SUM(C6:N6)</f>
        <v>389415</v>
      </c>
    </row>
    <row r="7" spans="1:15" ht="36">
      <c r="A7" s="588"/>
      <c r="B7" s="201" t="s">
        <v>14</v>
      </c>
      <c r="C7" s="245">
        <v>3834</v>
      </c>
      <c r="D7" s="245"/>
      <c r="E7" s="245"/>
      <c r="F7" s="245">
        <v>144</v>
      </c>
      <c r="G7" s="245">
        <v>7772</v>
      </c>
      <c r="H7" s="245"/>
      <c r="I7" s="245">
        <v>7250</v>
      </c>
      <c r="J7" s="245">
        <v>8350</v>
      </c>
      <c r="K7" s="245">
        <v>9450</v>
      </c>
      <c r="L7" s="245">
        <v>8950</v>
      </c>
      <c r="M7" s="245">
        <v>8250</v>
      </c>
      <c r="N7" s="245">
        <v>6250</v>
      </c>
      <c r="O7" s="203">
        <f t="shared" ref="O7:O22" si="1">SUM(C7:N7)</f>
        <v>60250</v>
      </c>
    </row>
    <row r="8" spans="1:15" ht="36">
      <c r="A8" s="588"/>
      <c r="B8" s="201" t="s">
        <v>133</v>
      </c>
      <c r="C8" s="245">
        <v>654</v>
      </c>
      <c r="D8" s="245">
        <v>782</v>
      </c>
      <c r="E8" s="245">
        <v>845</v>
      </c>
      <c r="F8" s="245">
        <v>2496</v>
      </c>
      <c r="G8" s="245">
        <v>139</v>
      </c>
      <c r="H8" s="245">
        <v>1874</v>
      </c>
      <c r="I8" s="245">
        <v>500</v>
      </c>
      <c r="J8" s="245">
        <v>300</v>
      </c>
      <c r="K8" s="245">
        <v>300</v>
      </c>
      <c r="L8" s="245">
        <v>600</v>
      </c>
      <c r="M8" s="245">
        <v>400</v>
      </c>
      <c r="N8" s="245">
        <v>400</v>
      </c>
      <c r="O8" s="203">
        <f t="shared" si="1"/>
        <v>9290</v>
      </c>
    </row>
    <row r="9" spans="1:15" ht="36">
      <c r="A9" s="588"/>
      <c r="B9" s="201" t="s">
        <v>134</v>
      </c>
      <c r="C9" s="245">
        <v>107</v>
      </c>
      <c r="D9" s="245">
        <v>47</v>
      </c>
      <c r="E9" s="245">
        <v>225</v>
      </c>
      <c r="F9" s="245">
        <v>130</v>
      </c>
      <c r="G9" s="245">
        <v>145</v>
      </c>
      <c r="H9" s="245">
        <v>319</v>
      </c>
      <c r="I9" s="245">
        <v>50</v>
      </c>
      <c r="J9" s="245">
        <v>50</v>
      </c>
      <c r="K9" s="245">
        <v>50</v>
      </c>
      <c r="L9" s="245">
        <v>50</v>
      </c>
      <c r="M9" s="245">
        <v>50</v>
      </c>
      <c r="N9" s="245">
        <v>50</v>
      </c>
      <c r="O9" s="203">
        <f t="shared" si="1"/>
        <v>1273</v>
      </c>
    </row>
    <row r="10" spans="1:15" ht="36">
      <c r="A10" s="588"/>
      <c r="B10" s="201" t="s">
        <v>135</v>
      </c>
      <c r="C10" s="245">
        <v>14314</v>
      </c>
      <c r="D10" s="245">
        <v>14548</v>
      </c>
      <c r="E10" s="245">
        <v>22551</v>
      </c>
      <c r="F10" s="245">
        <v>40095</v>
      </c>
      <c r="G10" s="245">
        <v>21830</v>
      </c>
      <c r="H10" s="245">
        <v>22899</v>
      </c>
      <c r="I10" s="245">
        <v>23890</v>
      </c>
      <c r="J10" s="245">
        <v>24000</v>
      </c>
      <c r="K10" s="245">
        <v>26000</v>
      </c>
      <c r="L10" s="245">
        <v>19000</v>
      </c>
      <c r="M10" s="245">
        <v>20000</v>
      </c>
      <c r="N10" s="245">
        <v>19000</v>
      </c>
      <c r="O10" s="203">
        <f t="shared" si="1"/>
        <v>268127</v>
      </c>
    </row>
    <row r="11" spans="1:15" ht="36">
      <c r="A11" s="588"/>
      <c r="B11" s="202" t="s">
        <v>136</v>
      </c>
      <c r="C11" s="246"/>
      <c r="D11" s="246"/>
      <c r="E11" s="246"/>
      <c r="F11" s="246"/>
      <c r="G11" s="246"/>
      <c r="H11" s="246"/>
      <c r="I11" s="246"/>
      <c r="J11" s="246"/>
      <c r="K11" s="246"/>
      <c r="L11" s="246"/>
      <c r="M11" s="246"/>
      <c r="N11" s="246"/>
      <c r="O11" s="203">
        <f t="shared" si="1"/>
        <v>0</v>
      </c>
    </row>
    <row r="12" spans="1:15" ht="36">
      <c r="A12" s="588"/>
      <c r="B12" s="202" t="s">
        <v>137</v>
      </c>
      <c r="C12" s="246">
        <v>5465</v>
      </c>
      <c r="D12" s="246">
        <v>4515</v>
      </c>
      <c r="E12" s="246">
        <v>19878</v>
      </c>
      <c r="F12" s="246"/>
      <c r="G12" s="246">
        <v>3158</v>
      </c>
      <c r="H12" s="246">
        <v>1612</v>
      </c>
      <c r="I12" s="246">
        <v>200</v>
      </c>
      <c r="J12" s="246">
        <v>300</v>
      </c>
      <c r="K12" s="246">
        <v>200</v>
      </c>
      <c r="L12" s="246">
        <v>400</v>
      </c>
      <c r="M12" s="246">
        <v>300</v>
      </c>
      <c r="N12" s="246">
        <v>300</v>
      </c>
      <c r="O12" s="203">
        <f t="shared" si="1"/>
        <v>36328</v>
      </c>
    </row>
    <row r="13" spans="1:15" ht="36">
      <c r="A13" s="588"/>
      <c r="B13" s="202" t="s">
        <v>138</v>
      </c>
      <c r="C13" s="247"/>
      <c r="D13" s="247"/>
      <c r="E13" s="247"/>
      <c r="F13" s="247"/>
      <c r="G13" s="247"/>
      <c r="H13" s="247">
        <v>3301</v>
      </c>
      <c r="I13" s="247"/>
      <c r="J13" s="247"/>
      <c r="K13" s="247"/>
      <c r="L13" s="247"/>
      <c r="M13" s="247"/>
      <c r="N13" s="247"/>
      <c r="O13" s="203">
        <f t="shared" si="1"/>
        <v>3301</v>
      </c>
    </row>
    <row r="14" spans="1:15" ht="36">
      <c r="A14" s="588"/>
      <c r="B14" s="202" t="s">
        <v>139</v>
      </c>
      <c r="C14" s="247"/>
      <c r="D14" s="247"/>
      <c r="E14" s="247"/>
      <c r="F14" s="247"/>
      <c r="G14" s="247"/>
      <c r="H14" s="247">
        <v>1425</v>
      </c>
      <c r="I14" s="247"/>
      <c r="J14" s="247"/>
      <c r="K14" s="247"/>
      <c r="L14" s="247"/>
      <c r="M14" s="247"/>
      <c r="N14" s="247"/>
      <c r="O14" s="203">
        <f t="shared" si="1"/>
        <v>1425</v>
      </c>
    </row>
    <row r="15" spans="1:15" ht="36">
      <c r="A15" s="588"/>
      <c r="B15" s="202" t="s">
        <v>140</v>
      </c>
      <c r="C15" s="246">
        <v>2948</v>
      </c>
      <c r="D15" s="246">
        <v>5012</v>
      </c>
      <c r="E15" s="246">
        <v>4231</v>
      </c>
      <c r="F15" s="246">
        <v>5364</v>
      </c>
      <c r="G15" s="246">
        <v>8239</v>
      </c>
      <c r="H15" s="246">
        <v>10143</v>
      </c>
      <c r="I15" s="246">
        <v>9000</v>
      </c>
      <c r="J15" s="246">
        <v>12000</v>
      </c>
      <c r="K15" s="246">
        <v>12000</v>
      </c>
      <c r="L15" s="246">
        <v>12000</v>
      </c>
      <c r="M15" s="246">
        <v>12000</v>
      </c>
      <c r="N15" s="246">
        <v>9000</v>
      </c>
      <c r="O15" s="203">
        <f t="shared" si="1"/>
        <v>101937</v>
      </c>
    </row>
    <row r="16" spans="1:15" ht="36">
      <c r="A16" s="588"/>
      <c r="B16" s="202" t="s">
        <v>141</v>
      </c>
      <c r="C16" s="246">
        <v>7684</v>
      </c>
      <c r="D16" s="246">
        <v>4106</v>
      </c>
      <c r="E16" s="246">
        <v>3627</v>
      </c>
      <c r="F16" s="246">
        <v>4640</v>
      </c>
      <c r="G16" s="246">
        <v>5702</v>
      </c>
      <c r="H16" s="246">
        <v>11150</v>
      </c>
      <c r="I16" s="246">
        <v>6000</v>
      </c>
      <c r="J16" s="246">
        <v>7000</v>
      </c>
      <c r="K16" s="246">
        <v>7000</v>
      </c>
      <c r="L16" s="246">
        <v>7000</v>
      </c>
      <c r="M16" s="246">
        <v>7000</v>
      </c>
      <c r="N16" s="246">
        <v>6000</v>
      </c>
      <c r="O16" s="203">
        <f t="shared" si="1"/>
        <v>76909</v>
      </c>
    </row>
    <row r="17" spans="1:18" ht="36">
      <c r="A17" s="588"/>
      <c r="B17" s="202" t="s">
        <v>142</v>
      </c>
      <c r="C17" s="247">
        <v>136</v>
      </c>
      <c r="D17" s="247"/>
      <c r="E17" s="247"/>
      <c r="F17" s="247">
        <v>411</v>
      </c>
      <c r="G17" s="247"/>
      <c r="H17" s="247">
        <v>265</v>
      </c>
      <c r="I17" s="247"/>
      <c r="J17" s="247"/>
      <c r="K17" s="247"/>
      <c r="L17" s="247"/>
      <c r="M17" s="247"/>
      <c r="N17" s="247"/>
      <c r="O17" s="203">
        <f t="shared" si="1"/>
        <v>812</v>
      </c>
    </row>
    <row r="18" spans="1:18" ht="36">
      <c r="A18" s="588"/>
      <c r="B18" s="202" t="s">
        <v>143</v>
      </c>
      <c r="C18" s="247">
        <v>2964</v>
      </c>
      <c r="D18" s="247"/>
      <c r="E18" s="247"/>
      <c r="F18" s="247"/>
      <c r="G18" s="247"/>
      <c r="H18" s="247"/>
      <c r="I18" s="247"/>
      <c r="J18" s="247"/>
      <c r="K18" s="247"/>
      <c r="L18" s="247"/>
      <c r="M18" s="247"/>
      <c r="N18" s="247"/>
      <c r="O18" s="203">
        <f t="shared" si="1"/>
        <v>2964</v>
      </c>
    </row>
    <row r="19" spans="1:18" ht="36">
      <c r="A19" s="588"/>
      <c r="B19" s="202" t="s">
        <v>144</v>
      </c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  <c r="N19" s="247"/>
      <c r="O19" s="203">
        <f t="shared" si="1"/>
        <v>0</v>
      </c>
    </row>
    <row r="20" spans="1:18" ht="36">
      <c r="A20" s="588"/>
      <c r="B20" s="202" t="s">
        <v>145</v>
      </c>
      <c r="C20" s="247"/>
      <c r="D20" s="247"/>
      <c r="E20" s="247"/>
      <c r="F20" s="247"/>
      <c r="G20" s="247"/>
      <c r="H20" s="247"/>
      <c r="I20" s="247"/>
      <c r="J20" s="247"/>
      <c r="K20" s="247"/>
      <c r="L20" s="247"/>
      <c r="M20" s="247"/>
      <c r="N20" s="247"/>
      <c r="O20" s="203">
        <f t="shared" si="1"/>
        <v>0</v>
      </c>
    </row>
    <row r="21" spans="1:18" ht="36">
      <c r="A21" s="588"/>
      <c r="B21" s="202" t="s">
        <v>146</v>
      </c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  <c r="N21" s="247"/>
      <c r="O21" s="203">
        <f t="shared" si="1"/>
        <v>0</v>
      </c>
    </row>
    <row r="22" spans="1:18" ht="36">
      <c r="A22" s="588"/>
      <c r="B22" s="202" t="s">
        <v>147</v>
      </c>
      <c r="C22" s="247">
        <v>9649</v>
      </c>
      <c r="D22" s="247">
        <v>7068</v>
      </c>
      <c r="E22" s="247">
        <v>23547</v>
      </c>
      <c r="F22" s="247">
        <v>1092</v>
      </c>
      <c r="G22" s="247">
        <v>5801</v>
      </c>
      <c r="H22" s="247">
        <v>15161</v>
      </c>
      <c r="I22" s="247">
        <v>14000</v>
      </c>
      <c r="J22" s="247">
        <v>16000</v>
      </c>
      <c r="K22" s="247">
        <v>16000</v>
      </c>
      <c r="L22" s="247">
        <v>16000</v>
      </c>
      <c r="M22" s="247">
        <v>16000</v>
      </c>
      <c r="N22" s="247">
        <v>14682</v>
      </c>
      <c r="O22" s="203">
        <f t="shared" si="1"/>
        <v>155000</v>
      </c>
    </row>
    <row r="23" spans="1:18" ht="45" thickBot="1">
      <c r="A23" s="588"/>
      <c r="B23" s="228" t="s">
        <v>148</v>
      </c>
      <c r="C23" s="248">
        <f>SUM(C6:C21)</f>
        <v>81914</v>
      </c>
      <c r="D23" s="248">
        <f t="shared" ref="D23:G23" si="2">SUM(D6:D21)</f>
        <v>56187</v>
      </c>
      <c r="E23" s="248">
        <f t="shared" si="2"/>
        <v>68260</v>
      </c>
      <c r="F23" s="248">
        <f t="shared" si="2"/>
        <v>70861</v>
      </c>
      <c r="G23" s="248">
        <f t="shared" si="2"/>
        <v>79142</v>
      </c>
      <c r="H23" s="248">
        <f>SUM(H6:H21)</f>
        <v>80095</v>
      </c>
      <c r="I23" s="248">
        <f>SUM(I6:I21)</f>
        <v>82890</v>
      </c>
      <c r="J23" s="248">
        <f t="shared" ref="J23:N23" si="3">SUM(J6:J21)</f>
        <v>90000</v>
      </c>
      <c r="K23" s="248">
        <f t="shared" si="3"/>
        <v>93000</v>
      </c>
      <c r="L23" s="248">
        <f t="shared" si="3"/>
        <v>86000</v>
      </c>
      <c r="M23" s="248">
        <f>SUM(M6:M21)</f>
        <v>86000</v>
      </c>
      <c r="N23" s="248">
        <f t="shared" si="3"/>
        <v>77682</v>
      </c>
      <c r="O23" s="249">
        <f t="shared" ref="O23:O30" si="4">SUM(C23:N23)</f>
        <v>952031</v>
      </c>
    </row>
    <row r="24" spans="1:18" ht="36">
      <c r="A24" s="587" t="s">
        <v>149</v>
      </c>
      <c r="B24" s="231" t="s">
        <v>150</v>
      </c>
      <c r="C24" s="250">
        <v>81510</v>
      </c>
      <c r="D24" s="250">
        <v>55803</v>
      </c>
      <c r="E24" s="250">
        <v>67637</v>
      </c>
      <c r="F24" s="250">
        <v>70117</v>
      </c>
      <c r="G24" s="250">
        <v>78799</v>
      </c>
      <c r="H24" s="250">
        <v>77656</v>
      </c>
      <c r="I24" s="250">
        <f>((((I8/0.74)+(I9/0.63))/0.99)+(I6+I7+I10+I11+I12+I13+I14+I15+I16+I17+I18+I19+I20+I21)/0.99)</f>
        <v>83934.384601051264</v>
      </c>
      <c r="J24" s="250">
        <f t="shared" ref="J24:N24" si="5">((((J8/0.74)+(J9/0.63))/0.99)+(J6+J7+J10+J11+J12+J13+J14+J15+J16+J17+J18+J19+J20+J21)/0.99)</f>
        <v>91045.222711889379</v>
      </c>
      <c r="K24" s="250">
        <f t="shared" si="5"/>
        <v>94075.525742192403</v>
      </c>
      <c r="L24" s="250">
        <f t="shared" si="5"/>
        <v>87111.288777955444</v>
      </c>
      <c r="M24" s="250">
        <f t="shared" si="5"/>
        <v>87040.308706975367</v>
      </c>
      <c r="N24" s="250">
        <f t="shared" si="5"/>
        <v>78638.28850495517</v>
      </c>
      <c r="O24" s="204">
        <f t="shared" si="4"/>
        <v>953367.01904501906</v>
      </c>
    </row>
    <row r="25" spans="1:18" ht="36">
      <c r="A25" s="588"/>
      <c r="B25" s="229" t="s">
        <v>151</v>
      </c>
      <c r="C25" s="251">
        <f>-(C24)*0.01</f>
        <v>-815.1</v>
      </c>
      <c r="D25" s="251">
        <f t="shared" ref="D25:H25" si="6">-(D24)*0.01</f>
        <v>-558.03</v>
      </c>
      <c r="E25" s="251">
        <f t="shared" si="6"/>
        <v>-676.37</v>
      </c>
      <c r="F25" s="251">
        <f t="shared" si="6"/>
        <v>-701.17</v>
      </c>
      <c r="G25" s="251">
        <f t="shared" si="6"/>
        <v>-787.99</v>
      </c>
      <c r="H25" s="251">
        <f t="shared" si="6"/>
        <v>-776.56000000000006</v>
      </c>
      <c r="I25" s="251">
        <f>-(I24)*0.01</f>
        <v>-839.34384601051261</v>
      </c>
      <c r="J25" s="251">
        <f t="shared" ref="I25:M26" si="7">-(J24)*0.01</f>
        <v>-910.4522271188938</v>
      </c>
      <c r="K25" s="251">
        <f t="shared" si="7"/>
        <v>-940.75525742192406</v>
      </c>
      <c r="L25" s="251">
        <f t="shared" si="7"/>
        <v>-871.11288777955451</v>
      </c>
      <c r="M25" s="251">
        <f t="shared" si="7"/>
        <v>-870.40308706975372</v>
      </c>
      <c r="N25" s="251">
        <f>-(N24)*0.01</f>
        <v>-786.38288504955176</v>
      </c>
      <c r="O25" s="232">
        <f t="shared" si="4"/>
        <v>-9533.6701904501915</v>
      </c>
    </row>
    <row r="26" spans="1:18" ht="36">
      <c r="A26" s="588"/>
      <c r="B26" s="229" t="s">
        <v>152</v>
      </c>
      <c r="C26" s="251">
        <v>153</v>
      </c>
      <c r="D26" s="251">
        <v>195</v>
      </c>
      <c r="E26" s="251">
        <v>185</v>
      </c>
      <c r="F26" s="251">
        <v>771</v>
      </c>
      <c r="G26" s="251">
        <v>61</v>
      </c>
      <c r="H26" s="251"/>
      <c r="I26" s="252">
        <f t="shared" si="7"/>
        <v>8.3934384601051271</v>
      </c>
      <c r="J26" s="252">
        <f t="shared" si="7"/>
        <v>9.1045222711889391</v>
      </c>
      <c r="K26" s="252">
        <f t="shared" si="7"/>
        <v>9.4075525742192401</v>
      </c>
      <c r="L26" s="252">
        <f t="shared" si="7"/>
        <v>8.7111288777955451</v>
      </c>
      <c r="M26" s="252">
        <f t="shared" si="7"/>
        <v>8.7040308706975367</v>
      </c>
      <c r="N26" s="252">
        <f>-(N25)*0.01</f>
        <v>7.8638288504955174</v>
      </c>
      <c r="O26" s="232">
        <f t="shared" si="4"/>
        <v>1417.1845019045018</v>
      </c>
    </row>
    <row r="27" spans="1:18" ht="36">
      <c r="A27" s="588"/>
      <c r="B27" s="229" t="s">
        <v>153</v>
      </c>
      <c r="C27" s="252"/>
      <c r="D27" s="252"/>
      <c r="E27" s="252"/>
      <c r="F27" s="252"/>
      <c r="G27" s="252"/>
      <c r="H27" s="252"/>
      <c r="I27" s="252">
        <f>I9*$X$75</f>
        <v>0.17500000000000002</v>
      </c>
      <c r="J27" s="252">
        <f t="shared" ref="J27:N27" si="8">J9*$X$75</f>
        <v>0.17500000000000002</v>
      </c>
      <c r="K27" s="252">
        <f t="shared" si="8"/>
        <v>0.17500000000000002</v>
      </c>
      <c r="L27" s="252">
        <f t="shared" si="8"/>
        <v>0.17500000000000002</v>
      </c>
      <c r="M27" s="252">
        <f t="shared" si="8"/>
        <v>0.17500000000000002</v>
      </c>
      <c r="N27" s="252">
        <f t="shared" si="8"/>
        <v>0.17500000000000002</v>
      </c>
      <c r="O27" s="280">
        <f t="shared" si="4"/>
        <v>1.05</v>
      </c>
    </row>
    <row r="28" spans="1:18" ht="36">
      <c r="A28" s="588"/>
      <c r="B28" s="229" t="s">
        <v>154</v>
      </c>
      <c r="C28" s="247"/>
      <c r="D28" s="247"/>
      <c r="E28" s="247"/>
      <c r="F28" s="247"/>
      <c r="G28" s="247"/>
      <c r="H28" s="247"/>
      <c r="I28" s="252">
        <f t="shared" ref="I28:N28" si="9">I9*$Z$75</f>
        <v>1.2</v>
      </c>
      <c r="J28" s="252">
        <f t="shared" si="9"/>
        <v>1.2</v>
      </c>
      <c r="K28" s="252">
        <f t="shared" si="9"/>
        <v>1.2</v>
      </c>
      <c r="L28" s="252">
        <f t="shared" si="9"/>
        <v>1.2</v>
      </c>
      <c r="M28" s="252">
        <f t="shared" si="9"/>
        <v>1.2</v>
      </c>
      <c r="N28" s="252">
        <f t="shared" si="9"/>
        <v>1.2</v>
      </c>
      <c r="O28" s="280">
        <f t="shared" si="4"/>
        <v>7.2</v>
      </c>
    </row>
    <row r="29" spans="1:18" ht="36">
      <c r="A29" s="588"/>
      <c r="B29" s="229" t="s">
        <v>155</v>
      </c>
      <c r="C29" s="247"/>
      <c r="D29" s="247"/>
      <c r="E29" s="247"/>
      <c r="F29" s="247"/>
      <c r="G29" s="247"/>
      <c r="H29" s="247"/>
      <c r="I29" s="252">
        <f t="shared" ref="I29:N29" si="10">I9*$AA$75</f>
        <v>15.475</v>
      </c>
      <c r="J29" s="252">
        <f t="shared" si="10"/>
        <v>15.475</v>
      </c>
      <c r="K29" s="252">
        <f t="shared" si="10"/>
        <v>15.475</v>
      </c>
      <c r="L29" s="252">
        <f t="shared" si="10"/>
        <v>15.475</v>
      </c>
      <c r="M29" s="252">
        <f t="shared" si="10"/>
        <v>15.475</v>
      </c>
      <c r="N29" s="252">
        <f t="shared" si="10"/>
        <v>15.475</v>
      </c>
      <c r="O29" s="280">
        <f t="shared" si="4"/>
        <v>92.85</v>
      </c>
    </row>
    <row r="30" spans="1:18" ht="36">
      <c r="A30" s="588"/>
      <c r="B30" s="229" t="s">
        <v>156</v>
      </c>
      <c r="C30" s="253"/>
      <c r="D30" s="253"/>
      <c r="E30" s="253"/>
      <c r="F30" s="253">
        <v>3</v>
      </c>
      <c r="G30" s="253"/>
      <c r="H30" s="253"/>
      <c r="I30" s="252">
        <f t="shared" ref="I30:N30" si="11">I9*$Y$75</f>
        <v>0.15</v>
      </c>
      <c r="J30" s="252">
        <f t="shared" si="11"/>
        <v>0.15</v>
      </c>
      <c r="K30" s="252">
        <f t="shared" si="11"/>
        <v>0.15</v>
      </c>
      <c r="L30" s="252">
        <f t="shared" si="11"/>
        <v>0.15</v>
      </c>
      <c r="M30" s="252">
        <f t="shared" si="11"/>
        <v>0.15</v>
      </c>
      <c r="N30" s="252">
        <f t="shared" si="11"/>
        <v>0.15</v>
      </c>
      <c r="O30" s="280">
        <f t="shared" si="4"/>
        <v>3.8999999999999995</v>
      </c>
    </row>
    <row r="31" spans="1:18" ht="36.75" thickBot="1">
      <c r="A31" s="588"/>
      <c r="B31" s="230" t="s">
        <v>59</v>
      </c>
      <c r="C31" s="247">
        <v>410</v>
      </c>
      <c r="D31" s="247">
        <v>2352</v>
      </c>
      <c r="E31" s="247">
        <v>966</v>
      </c>
      <c r="F31" s="247">
        <v>242</v>
      </c>
      <c r="G31" s="247">
        <v>475</v>
      </c>
      <c r="H31" s="247">
        <v>75</v>
      </c>
      <c r="I31" s="251">
        <f t="shared" ref="I31:N31" si="12">((((I15+I16)*1000)/179)*10.52)/1000</f>
        <v>881.56424581005581</v>
      </c>
      <c r="J31" s="251">
        <f t="shared" si="12"/>
        <v>1116.6480446927376</v>
      </c>
      <c r="K31" s="251">
        <f t="shared" si="12"/>
        <v>1116.6480446927376</v>
      </c>
      <c r="L31" s="251">
        <f t="shared" si="12"/>
        <v>1116.6480446927376</v>
      </c>
      <c r="M31" s="251">
        <f t="shared" si="12"/>
        <v>1116.6480446927376</v>
      </c>
      <c r="N31" s="251">
        <f t="shared" si="12"/>
        <v>881.56424581005581</v>
      </c>
      <c r="O31" s="233">
        <f t="shared" ref="O31" si="13">SUM(C31:N31)</f>
        <v>10749.720670391063</v>
      </c>
    </row>
    <row r="32" spans="1:18" ht="45" thickBot="1">
      <c r="A32" s="589"/>
      <c r="B32" s="234" t="s">
        <v>157</v>
      </c>
      <c r="C32" s="254">
        <f>SUM(C24:C30)</f>
        <v>80847.899999999994</v>
      </c>
      <c r="D32" s="254">
        <f t="shared" ref="D32:N32" si="14">SUM(D24:D30)</f>
        <v>55439.97</v>
      </c>
      <c r="E32" s="254">
        <f t="shared" si="14"/>
        <v>67145.63</v>
      </c>
      <c r="F32" s="254">
        <f t="shared" si="14"/>
        <v>70189.83</v>
      </c>
      <c r="G32" s="254">
        <f t="shared" si="14"/>
        <v>78072.009999999995</v>
      </c>
      <c r="H32" s="254">
        <f t="shared" si="14"/>
        <v>76879.44</v>
      </c>
      <c r="I32" s="254">
        <f>SUM(I24:I30)</f>
        <v>83120.434193500856</v>
      </c>
      <c r="J32" s="254">
        <f>SUM(J24:J30)</f>
        <v>90160.875007041672</v>
      </c>
      <c r="K32" s="254">
        <f>SUM(K24:K30)</f>
        <v>93161.178037344696</v>
      </c>
      <c r="L32" s="254">
        <f>SUM(L24:L30)</f>
        <v>86265.887019053684</v>
      </c>
      <c r="M32" s="254">
        <f t="shared" si="14"/>
        <v>86195.6096507763</v>
      </c>
      <c r="N32" s="254">
        <f t="shared" si="14"/>
        <v>77876.769448756124</v>
      </c>
      <c r="O32" s="224">
        <f>SUM(C32:N32)</f>
        <v>945355.53335647332</v>
      </c>
      <c r="R32" s="240"/>
    </row>
    <row r="33" spans="1:27" ht="36.75" thickBot="1">
      <c r="A33" s="584" t="s">
        <v>158</v>
      </c>
      <c r="B33" s="585"/>
      <c r="C33" s="585"/>
      <c r="D33" s="585"/>
      <c r="E33" s="585"/>
      <c r="F33" s="585"/>
      <c r="G33" s="585"/>
      <c r="H33" s="585"/>
      <c r="I33" s="585"/>
      <c r="J33" s="585"/>
      <c r="K33" s="585"/>
      <c r="L33" s="585"/>
      <c r="M33" s="585"/>
      <c r="N33" s="585"/>
      <c r="O33" s="586"/>
      <c r="S33" s="279">
        <v>123.15237373737909</v>
      </c>
      <c r="T33" s="279">
        <v>69.014797979776631</v>
      </c>
      <c r="U33" s="279">
        <v>68.711767676752061</v>
      </c>
      <c r="V33" s="279">
        <v>147.12368686868285</v>
      </c>
      <c r="W33" s="279">
        <v>95.320454545450048</v>
      </c>
      <c r="X33" s="279">
        <v>97.473787878785515</v>
      </c>
      <c r="Y33" s="279">
        <f t="shared" ref="Y33:AA33" si="15">O23-O32</f>
        <v>6675.4666435266845</v>
      </c>
      <c r="Z33" s="279">
        <f t="shared" si="15"/>
        <v>0</v>
      </c>
      <c r="AA33" s="279">
        <f t="shared" si="15"/>
        <v>0</v>
      </c>
    </row>
    <row r="34" spans="1:27" ht="36">
      <c r="A34" s="587" t="s">
        <v>132</v>
      </c>
      <c r="B34" s="237" t="s">
        <v>12</v>
      </c>
      <c r="C34" s="255">
        <v>6916</v>
      </c>
      <c r="D34" s="255">
        <v>5402</v>
      </c>
      <c r="E34" s="255">
        <v>5089</v>
      </c>
      <c r="F34" s="255">
        <v>12000</v>
      </c>
      <c r="G34" s="255">
        <v>1230</v>
      </c>
      <c r="H34" s="255">
        <v>2657</v>
      </c>
      <c r="I34" s="255">
        <f>35000-I35</f>
        <v>35000</v>
      </c>
      <c r="J34" s="255">
        <f>40000-J35</f>
        <v>40000</v>
      </c>
      <c r="K34" s="255">
        <v>40000</v>
      </c>
      <c r="L34" s="255">
        <v>45000</v>
      </c>
      <c r="M34" s="255">
        <v>46000</v>
      </c>
      <c r="N34" s="255">
        <v>40348</v>
      </c>
      <c r="O34" s="221">
        <f>SUM(C34:N34)</f>
        <v>279642</v>
      </c>
    </row>
    <row r="35" spans="1:27" ht="36">
      <c r="A35" s="588"/>
      <c r="B35" s="238" t="s">
        <v>137</v>
      </c>
      <c r="C35" s="256"/>
      <c r="D35" s="256"/>
      <c r="E35" s="256">
        <v>2000</v>
      </c>
      <c r="F35" s="256"/>
      <c r="G35" s="256">
        <v>9400</v>
      </c>
      <c r="H35" s="256">
        <v>874</v>
      </c>
      <c r="I35" s="256"/>
      <c r="J35" s="256"/>
      <c r="K35" s="256"/>
      <c r="L35" s="256"/>
      <c r="M35" s="256"/>
      <c r="N35" s="256"/>
      <c r="O35" s="207">
        <f t="shared" ref="O35:O38" si="16">SUM(C35:N35)</f>
        <v>12274</v>
      </c>
    </row>
    <row r="36" spans="1:27" ht="36">
      <c r="A36" s="588"/>
      <c r="B36" s="238" t="s">
        <v>175</v>
      </c>
      <c r="C36" s="256"/>
      <c r="D36" s="256"/>
      <c r="E36" s="256">
        <v>4000</v>
      </c>
      <c r="F36" s="256"/>
      <c r="G36" s="256"/>
      <c r="H36" s="256"/>
      <c r="I36" s="256"/>
      <c r="J36" s="256"/>
      <c r="K36" s="256"/>
      <c r="L36" s="256"/>
      <c r="M36" s="256"/>
      <c r="N36" s="256"/>
      <c r="O36" s="207">
        <f t="shared" si="16"/>
        <v>4000</v>
      </c>
    </row>
    <row r="37" spans="1:27" ht="36">
      <c r="A37" s="588"/>
      <c r="B37" s="238" t="s">
        <v>176</v>
      </c>
      <c r="C37" s="256"/>
      <c r="D37" s="256"/>
      <c r="E37" s="256">
        <v>7924</v>
      </c>
      <c r="F37" s="256"/>
      <c r="G37" s="256"/>
      <c r="H37" s="256"/>
      <c r="I37" s="256"/>
      <c r="J37" s="256"/>
      <c r="K37" s="256"/>
      <c r="L37" s="256"/>
      <c r="M37" s="256"/>
      <c r="N37" s="256"/>
      <c r="O37" s="207">
        <f t="shared" si="16"/>
        <v>7924</v>
      </c>
    </row>
    <row r="38" spans="1:27" ht="36">
      <c r="A38" s="588"/>
      <c r="B38" s="238" t="s">
        <v>138</v>
      </c>
      <c r="C38" s="256">
        <v>16885</v>
      </c>
      <c r="D38" s="256">
        <v>7024</v>
      </c>
      <c r="E38" s="256"/>
      <c r="F38" s="256"/>
      <c r="G38" s="256"/>
      <c r="H38" s="256">
        <v>25652</v>
      </c>
      <c r="I38" s="256"/>
      <c r="J38" s="256"/>
      <c r="K38" s="256"/>
      <c r="L38" s="256"/>
      <c r="M38" s="256"/>
      <c r="N38" s="256"/>
      <c r="O38" s="207">
        <f t="shared" si="16"/>
        <v>49561</v>
      </c>
    </row>
    <row r="39" spans="1:27" ht="45" thickBot="1">
      <c r="A39" s="589"/>
      <c r="B39" s="239" t="s">
        <v>159</v>
      </c>
      <c r="C39" s="257">
        <f>SUM(C34:C38)</f>
        <v>23801</v>
      </c>
      <c r="D39" s="257">
        <f t="shared" ref="D39:N39" si="17">SUM(D34:D38)</f>
        <v>12426</v>
      </c>
      <c r="E39" s="257">
        <f t="shared" si="17"/>
        <v>19013</v>
      </c>
      <c r="F39" s="257">
        <f t="shared" si="17"/>
        <v>12000</v>
      </c>
      <c r="G39" s="257">
        <f t="shared" si="17"/>
        <v>10630</v>
      </c>
      <c r="H39" s="257">
        <f t="shared" si="17"/>
        <v>29183</v>
      </c>
      <c r="I39" s="257">
        <f t="shared" si="17"/>
        <v>35000</v>
      </c>
      <c r="J39" s="257">
        <f t="shared" si="17"/>
        <v>40000</v>
      </c>
      <c r="K39" s="257">
        <f t="shared" si="17"/>
        <v>40000</v>
      </c>
      <c r="L39" s="257">
        <f t="shared" si="17"/>
        <v>45000</v>
      </c>
      <c r="M39" s="257">
        <f t="shared" si="17"/>
        <v>46000</v>
      </c>
      <c r="N39" s="257">
        <f t="shared" si="17"/>
        <v>40348</v>
      </c>
      <c r="O39" s="258">
        <f>SUM(O34:O38)</f>
        <v>353401</v>
      </c>
    </row>
    <row r="40" spans="1:27" ht="36">
      <c r="A40" s="590" t="s">
        <v>161</v>
      </c>
      <c r="B40" s="235" t="s">
        <v>160</v>
      </c>
      <c r="C40" s="259">
        <v>9649</v>
      </c>
      <c r="D40" s="259">
        <v>7068</v>
      </c>
      <c r="E40" s="259">
        <v>23547</v>
      </c>
      <c r="F40" s="259">
        <v>1092</v>
      </c>
      <c r="G40" s="259">
        <v>5801</v>
      </c>
      <c r="H40" s="259">
        <v>15161</v>
      </c>
      <c r="I40" s="259">
        <v>14000</v>
      </c>
      <c r="J40" s="259">
        <v>16000</v>
      </c>
      <c r="K40" s="259">
        <v>16000</v>
      </c>
      <c r="L40" s="259">
        <v>16000</v>
      </c>
      <c r="M40" s="259">
        <v>16000</v>
      </c>
      <c r="N40" s="259">
        <v>14682</v>
      </c>
      <c r="O40" s="236">
        <f>SUM(C40:N40)</f>
        <v>155000</v>
      </c>
    </row>
    <row r="41" spans="1:27" ht="36">
      <c r="A41" s="591"/>
      <c r="B41" s="205" t="s">
        <v>162</v>
      </c>
      <c r="C41" s="256">
        <v>21522</v>
      </c>
      <c r="D41" s="256">
        <v>10517</v>
      </c>
      <c r="E41" s="256">
        <v>27873</v>
      </c>
      <c r="F41" s="256">
        <v>10144</v>
      </c>
      <c r="G41" s="256">
        <v>11532</v>
      </c>
      <c r="H41" s="256">
        <v>13793</v>
      </c>
      <c r="I41" s="256">
        <v>24619</v>
      </c>
      <c r="J41" s="256">
        <v>25000</v>
      </c>
      <c r="K41" s="256">
        <v>28000</v>
      </c>
      <c r="L41" s="256">
        <v>28000</v>
      </c>
      <c r="M41" s="256">
        <v>26000</v>
      </c>
      <c r="N41" s="256">
        <v>23000</v>
      </c>
      <c r="O41" s="207">
        <f t="shared" ref="O41:O43" si="18">SUM(C41:N41)</f>
        <v>250000</v>
      </c>
      <c r="Q41" s="240">
        <f>250000-O41</f>
        <v>0</v>
      </c>
    </row>
    <row r="42" spans="1:27" ht="36">
      <c r="A42" s="591"/>
      <c r="B42" s="205" t="s">
        <v>189</v>
      </c>
      <c r="C42" s="256">
        <v>3252</v>
      </c>
      <c r="D42" s="256">
        <v>3761</v>
      </c>
      <c r="E42" s="256"/>
      <c r="F42" s="256"/>
      <c r="G42" s="256"/>
      <c r="H42" s="256">
        <v>2657</v>
      </c>
      <c r="I42" s="256">
        <v>1500</v>
      </c>
      <c r="J42" s="256">
        <v>2000</v>
      </c>
      <c r="K42" s="256">
        <v>2000</v>
      </c>
      <c r="L42" s="256">
        <v>2000</v>
      </c>
      <c r="M42" s="256">
        <v>1500</v>
      </c>
      <c r="N42" s="256">
        <v>1330</v>
      </c>
      <c r="O42" s="207">
        <f t="shared" si="18"/>
        <v>20000</v>
      </c>
      <c r="Q42" s="240"/>
    </row>
    <row r="43" spans="1:27" ht="36.75" thickBot="1">
      <c r="A43" s="591"/>
      <c r="B43" s="227" t="s">
        <v>163</v>
      </c>
      <c r="C43" s="260"/>
      <c r="D43" s="260"/>
      <c r="E43" s="260"/>
      <c r="F43" s="260"/>
      <c r="G43" s="260">
        <v>1999</v>
      </c>
      <c r="H43" s="260"/>
      <c r="I43" s="260"/>
      <c r="J43" s="260"/>
      <c r="K43" s="260"/>
      <c r="L43" s="260"/>
      <c r="M43" s="260"/>
      <c r="N43" s="260"/>
      <c r="O43" s="225">
        <f t="shared" si="18"/>
        <v>1999</v>
      </c>
    </row>
    <row r="44" spans="1:27" ht="45" thickBot="1">
      <c r="A44" s="261" t="s">
        <v>164</v>
      </c>
      <c r="B44" s="226" t="s">
        <v>116</v>
      </c>
      <c r="C44" s="254">
        <f>SUM(C41:C43)</f>
        <v>24774</v>
      </c>
      <c r="D44" s="254">
        <f t="shared" ref="D44:N44" si="19">SUM(D41:D43)</f>
        <v>14278</v>
      </c>
      <c r="E44" s="254">
        <f t="shared" si="19"/>
        <v>27873</v>
      </c>
      <c r="F44" s="254">
        <f t="shared" si="19"/>
        <v>10144</v>
      </c>
      <c r="G44" s="254">
        <f t="shared" si="19"/>
        <v>13531</v>
      </c>
      <c r="H44" s="254">
        <f t="shared" si="19"/>
        <v>16450</v>
      </c>
      <c r="I44" s="254">
        <f t="shared" si="19"/>
        <v>26119</v>
      </c>
      <c r="J44" s="254">
        <f t="shared" si="19"/>
        <v>27000</v>
      </c>
      <c r="K44" s="254">
        <f t="shared" si="19"/>
        <v>30000</v>
      </c>
      <c r="L44" s="254">
        <f>SUM(L41:L43)</f>
        <v>30000</v>
      </c>
      <c r="M44" s="254">
        <f t="shared" si="19"/>
        <v>27500</v>
      </c>
      <c r="N44" s="254">
        <f t="shared" si="19"/>
        <v>24330</v>
      </c>
      <c r="O44" s="224">
        <f>SUM(O41:O43)</f>
        <v>271999</v>
      </c>
    </row>
    <row r="45" spans="1:27" ht="29.25" thickBot="1">
      <c r="B45" s="208"/>
      <c r="C45" s="209"/>
      <c r="D45" s="209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8"/>
    </row>
    <row r="46" spans="1:27" ht="41.25" thickBot="1">
      <c r="A46" s="592" t="s">
        <v>229</v>
      </c>
      <c r="B46" s="593"/>
      <c r="C46" s="210">
        <f t="shared" ref="C46:L46" si="20">C39+C23</f>
        <v>105715</v>
      </c>
      <c r="D46" s="210">
        <f t="shared" si="20"/>
        <v>68613</v>
      </c>
      <c r="E46" s="210">
        <f t="shared" si="20"/>
        <v>87273</v>
      </c>
      <c r="F46" s="210">
        <f t="shared" si="20"/>
        <v>82861</v>
      </c>
      <c r="G46" s="210">
        <f t="shared" si="20"/>
        <v>89772</v>
      </c>
      <c r="H46" s="210">
        <f>H39+H23</f>
        <v>109278</v>
      </c>
      <c r="I46" s="210">
        <f>I39+I23</f>
        <v>117890</v>
      </c>
      <c r="J46" s="210">
        <f t="shared" si="20"/>
        <v>130000</v>
      </c>
      <c r="K46" s="210">
        <f t="shared" si="20"/>
        <v>133000</v>
      </c>
      <c r="L46" s="210">
        <f t="shared" si="20"/>
        <v>131000</v>
      </c>
      <c r="M46" s="210">
        <f>M39+M23</f>
        <v>132000</v>
      </c>
      <c r="N46" s="210">
        <f>N39+N23</f>
        <v>118030</v>
      </c>
      <c r="O46" s="211">
        <f>SUM(C46:N46)</f>
        <v>1305432</v>
      </c>
    </row>
    <row r="47" spans="1:27" ht="33" thickBot="1">
      <c r="A47" s="222"/>
      <c r="B47" s="223"/>
      <c r="C47" s="223"/>
      <c r="D47" s="223"/>
      <c r="E47" s="223"/>
      <c r="F47" s="223"/>
      <c r="G47" s="223"/>
      <c r="H47" s="223"/>
      <c r="I47" s="223"/>
      <c r="J47" s="223"/>
      <c r="K47" s="223"/>
      <c r="L47" s="223"/>
      <c r="M47" s="223"/>
      <c r="N47" s="223"/>
      <c r="O47" s="223"/>
    </row>
    <row r="48" spans="1:27" ht="39.75">
      <c r="A48" s="581" t="s">
        <v>165</v>
      </c>
      <c r="B48" s="262" t="s">
        <v>166</v>
      </c>
      <c r="C48" s="263">
        <f t="shared" ref="C48:N48" si="21">C24</f>
        <v>81510</v>
      </c>
      <c r="D48" s="263">
        <f t="shared" si="21"/>
        <v>55803</v>
      </c>
      <c r="E48" s="263">
        <f t="shared" si="21"/>
        <v>67637</v>
      </c>
      <c r="F48" s="263">
        <f t="shared" si="21"/>
        <v>70117</v>
      </c>
      <c r="G48" s="263">
        <f t="shared" si="21"/>
        <v>78799</v>
      </c>
      <c r="H48" s="263">
        <f t="shared" si="21"/>
        <v>77656</v>
      </c>
      <c r="I48" s="263">
        <f>I24</f>
        <v>83934.384601051264</v>
      </c>
      <c r="J48" s="263">
        <f t="shared" si="21"/>
        <v>91045.222711889379</v>
      </c>
      <c r="K48" s="263">
        <f t="shared" si="21"/>
        <v>94075.525742192403</v>
      </c>
      <c r="L48" s="263">
        <f t="shared" si="21"/>
        <v>87111.288777955444</v>
      </c>
      <c r="M48" s="263">
        <f t="shared" si="21"/>
        <v>87040.308706975367</v>
      </c>
      <c r="N48" s="263">
        <f t="shared" si="21"/>
        <v>78638.28850495517</v>
      </c>
      <c r="O48" s="264">
        <f>SUM(C48:N48)</f>
        <v>953367.01904501906</v>
      </c>
    </row>
    <row r="49" spans="1:15" ht="39.75">
      <c r="A49" s="582"/>
      <c r="B49" s="265" t="s">
        <v>167</v>
      </c>
      <c r="C49" s="266">
        <f t="shared" ref="C49:N49" si="22">C41</f>
        <v>21522</v>
      </c>
      <c r="D49" s="266">
        <f t="shared" si="22"/>
        <v>10517</v>
      </c>
      <c r="E49" s="266">
        <f t="shared" si="22"/>
        <v>27873</v>
      </c>
      <c r="F49" s="266">
        <f t="shared" si="22"/>
        <v>10144</v>
      </c>
      <c r="G49" s="266">
        <f t="shared" si="22"/>
        <v>11532</v>
      </c>
      <c r="H49" s="266">
        <f t="shared" si="22"/>
        <v>13793</v>
      </c>
      <c r="I49" s="266">
        <f t="shared" si="22"/>
        <v>24619</v>
      </c>
      <c r="J49" s="266">
        <f t="shared" si="22"/>
        <v>25000</v>
      </c>
      <c r="K49" s="266">
        <f t="shared" si="22"/>
        <v>28000</v>
      </c>
      <c r="L49" s="266">
        <f t="shared" si="22"/>
        <v>28000</v>
      </c>
      <c r="M49" s="266">
        <f t="shared" si="22"/>
        <v>26000</v>
      </c>
      <c r="N49" s="266">
        <f t="shared" si="22"/>
        <v>23000</v>
      </c>
      <c r="O49" s="267">
        <f>ROUNDDOWN(SUM(C49:N49),-2)</f>
        <v>250000</v>
      </c>
    </row>
    <row r="50" spans="1:15" ht="39.75">
      <c r="A50" s="582"/>
      <c r="B50" s="268" t="s">
        <v>168</v>
      </c>
      <c r="C50" s="269">
        <f>C42</f>
        <v>3252</v>
      </c>
      <c r="D50" s="269">
        <f t="shared" ref="D50:N50" si="23">D42</f>
        <v>3761</v>
      </c>
      <c r="E50" s="269">
        <f t="shared" si="23"/>
        <v>0</v>
      </c>
      <c r="F50" s="269">
        <f t="shared" si="23"/>
        <v>0</v>
      </c>
      <c r="G50" s="269">
        <f t="shared" si="23"/>
        <v>0</v>
      </c>
      <c r="H50" s="269">
        <f t="shared" si="23"/>
        <v>2657</v>
      </c>
      <c r="I50" s="269">
        <f t="shared" si="23"/>
        <v>1500</v>
      </c>
      <c r="J50" s="269">
        <f t="shared" si="23"/>
        <v>2000</v>
      </c>
      <c r="K50" s="269">
        <f t="shared" si="23"/>
        <v>2000</v>
      </c>
      <c r="L50" s="269">
        <f t="shared" si="23"/>
        <v>2000</v>
      </c>
      <c r="M50" s="269">
        <f t="shared" si="23"/>
        <v>1500</v>
      </c>
      <c r="N50" s="269">
        <f t="shared" si="23"/>
        <v>1330</v>
      </c>
      <c r="O50" s="267">
        <f>ROUNDDOWN(SUM(C50:N50),-2)</f>
        <v>20000</v>
      </c>
    </row>
    <row r="51" spans="1:15" ht="39.75">
      <c r="A51" s="582"/>
      <c r="B51" s="268" t="s">
        <v>169</v>
      </c>
      <c r="C51" s="269">
        <f>C43</f>
        <v>0</v>
      </c>
      <c r="D51" s="269">
        <f t="shared" ref="D51:N51" si="24">D43</f>
        <v>0</v>
      </c>
      <c r="E51" s="269">
        <f t="shared" si="24"/>
        <v>0</v>
      </c>
      <c r="F51" s="269">
        <f t="shared" si="24"/>
        <v>0</v>
      </c>
      <c r="G51" s="269">
        <f t="shared" si="24"/>
        <v>1999</v>
      </c>
      <c r="H51" s="269">
        <f t="shared" si="24"/>
        <v>0</v>
      </c>
      <c r="I51" s="269">
        <f t="shared" si="24"/>
        <v>0</v>
      </c>
      <c r="J51" s="269">
        <f t="shared" si="24"/>
        <v>0</v>
      </c>
      <c r="K51" s="269">
        <f t="shared" si="24"/>
        <v>0</v>
      </c>
      <c r="L51" s="269">
        <f t="shared" si="24"/>
        <v>0</v>
      </c>
      <c r="M51" s="269">
        <f t="shared" si="24"/>
        <v>0</v>
      </c>
      <c r="N51" s="269">
        <f t="shared" si="24"/>
        <v>0</v>
      </c>
      <c r="O51" s="267">
        <f>G51</f>
        <v>1999</v>
      </c>
    </row>
    <row r="52" spans="1:15" ht="39.75">
      <c r="A52" s="582"/>
      <c r="B52" s="265" t="s">
        <v>170</v>
      </c>
      <c r="C52" s="266">
        <f t="shared" ref="C52:N52" si="25">C26</f>
        <v>153</v>
      </c>
      <c r="D52" s="266">
        <f t="shared" si="25"/>
        <v>195</v>
      </c>
      <c r="E52" s="266">
        <f t="shared" si="25"/>
        <v>185</v>
      </c>
      <c r="F52" s="266">
        <f t="shared" si="25"/>
        <v>771</v>
      </c>
      <c r="G52" s="266">
        <f t="shared" si="25"/>
        <v>61</v>
      </c>
      <c r="H52" s="266">
        <f t="shared" si="25"/>
        <v>0</v>
      </c>
      <c r="I52" s="266">
        <f t="shared" si="25"/>
        <v>8.3934384601051271</v>
      </c>
      <c r="J52" s="266">
        <f t="shared" si="25"/>
        <v>9.1045222711889391</v>
      </c>
      <c r="K52" s="266">
        <f t="shared" si="25"/>
        <v>9.4075525742192401</v>
      </c>
      <c r="L52" s="266">
        <f t="shared" si="25"/>
        <v>8.7111288777955451</v>
      </c>
      <c r="M52" s="266">
        <f t="shared" si="25"/>
        <v>8.7040308706975367</v>
      </c>
      <c r="N52" s="266">
        <f t="shared" si="25"/>
        <v>7.8638288504955174</v>
      </c>
      <c r="O52" s="270">
        <f t="shared" ref="O52:O57" si="26">SUM(C52:N52)</f>
        <v>1417.1845019045018</v>
      </c>
    </row>
    <row r="53" spans="1:15" ht="39.75">
      <c r="A53" s="582"/>
      <c r="B53" s="265" t="s">
        <v>171</v>
      </c>
      <c r="C53" s="266">
        <f t="shared" ref="C53:N53" si="27">C27</f>
        <v>0</v>
      </c>
      <c r="D53" s="266">
        <f t="shared" si="27"/>
        <v>0</v>
      </c>
      <c r="E53" s="266">
        <f t="shared" si="27"/>
        <v>0</v>
      </c>
      <c r="F53" s="266">
        <f t="shared" si="27"/>
        <v>0</v>
      </c>
      <c r="G53" s="266">
        <f t="shared" si="27"/>
        <v>0</v>
      </c>
      <c r="H53" s="266">
        <f t="shared" si="27"/>
        <v>0</v>
      </c>
      <c r="I53" s="266">
        <f t="shared" si="27"/>
        <v>0.17500000000000002</v>
      </c>
      <c r="J53" s="266">
        <f t="shared" si="27"/>
        <v>0.17500000000000002</v>
      </c>
      <c r="K53" s="266">
        <f t="shared" si="27"/>
        <v>0.17500000000000002</v>
      </c>
      <c r="L53" s="266">
        <f t="shared" si="27"/>
        <v>0.17500000000000002</v>
      </c>
      <c r="M53" s="266">
        <f t="shared" si="27"/>
        <v>0.17500000000000002</v>
      </c>
      <c r="N53" s="266">
        <f t="shared" si="27"/>
        <v>0.17500000000000002</v>
      </c>
      <c r="O53" s="270">
        <f t="shared" si="26"/>
        <v>1.05</v>
      </c>
    </row>
    <row r="54" spans="1:15" ht="39.75">
      <c r="A54" s="582"/>
      <c r="B54" s="265" t="s">
        <v>172</v>
      </c>
      <c r="C54" s="266">
        <f t="shared" ref="C54:N54" si="28">C28</f>
        <v>0</v>
      </c>
      <c r="D54" s="266">
        <f t="shared" si="28"/>
        <v>0</v>
      </c>
      <c r="E54" s="266">
        <f t="shared" si="28"/>
        <v>0</v>
      </c>
      <c r="F54" s="266">
        <f t="shared" si="28"/>
        <v>0</v>
      </c>
      <c r="G54" s="266">
        <f t="shared" si="28"/>
        <v>0</v>
      </c>
      <c r="H54" s="266">
        <f t="shared" si="28"/>
        <v>0</v>
      </c>
      <c r="I54" s="266">
        <f t="shared" si="28"/>
        <v>1.2</v>
      </c>
      <c r="J54" s="266">
        <f t="shared" si="28"/>
        <v>1.2</v>
      </c>
      <c r="K54" s="266">
        <f t="shared" si="28"/>
        <v>1.2</v>
      </c>
      <c r="L54" s="266">
        <f t="shared" si="28"/>
        <v>1.2</v>
      </c>
      <c r="M54" s="266">
        <f t="shared" si="28"/>
        <v>1.2</v>
      </c>
      <c r="N54" s="266">
        <f t="shared" si="28"/>
        <v>1.2</v>
      </c>
      <c r="O54" s="270">
        <f t="shared" si="26"/>
        <v>7.2</v>
      </c>
    </row>
    <row r="55" spans="1:15" ht="39.75">
      <c r="A55" s="582"/>
      <c r="B55" s="265" t="s">
        <v>173</v>
      </c>
      <c r="C55" s="271">
        <f t="shared" ref="C55:N55" si="29">C30</f>
        <v>0</v>
      </c>
      <c r="D55" s="271">
        <f t="shared" si="29"/>
        <v>0</v>
      </c>
      <c r="E55" s="271">
        <f t="shared" si="29"/>
        <v>0</v>
      </c>
      <c r="F55" s="271">
        <f t="shared" si="29"/>
        <v>3</v>
      </c>
      <c r="G55" s="271">
        <f t="shared" si="29"/>
        <v>0</v>
      </c>
      <c r="H55" s="271">
        <f t="shared" si="29"/>
        <v>0</v>
      </c>
      <c r="I55" s="271">
        <f t="shared" si="29"/>
        <v>0.15</v>
      </c>
      <c r="J55" s="271">
        <f t="shared" si="29"/>
        <v>0.15</v>
      </c>
      <c r="K55" s="271">
        <f t="shared" si="29"/>
        <v>0.15</v>
      </c>
      <c r="L55" s="271">
        <f t="shared" si="29"/>
        <v>0.15</v>
      </c>
      <c r="M55" s="271">
        <f t="shared" si="29"/>
        <v>0.15</v>
      </c>
      <c r="N55" s="271">
        <f t="shared" si="29"/>
        <v>0.15</v>
      </c>
      <c r="O55" s="270">
        <f t="shared" si="26"/>
        <v>3.8999999999999995</v>
      </c>
    </row>
    <row r="56" spans="1:15" ht="39.75">
      <c r="A56" s="582"/>
      <c r="B56" s="268" t="s">
        <v>155</v>
      </c>
      <c r="C56" s="269">
        <f t="shared" ref="C56:N56" si="30">C29</f>
        <v>0</v>
      </c>
      <c r="D56" s="269">
        <f t="shared" si="30"/>
        <v>0</v>
      </c>
      <c r="E56" s="269">
        <f t="shared" si="30"/>
        <v>0</v>
      </c>
      <c r="F56" s="269">
        <f t="shared" si="30"/>
        <v>0</v>
      </c>
      <c r="G56" s="269">
        <f t="shared" si="30"/>
        <v>0</v>
      </c>
      <c r="H56" s="269">
        <f t="shared" si="30"/>
        <v>0</v>
      </c>
      <c r="I56" s="269">
        <f t="shared" si="30"/>
        <v>15.475</v>
      </c>
      <c r="J56" s="269">
        <f t="shared" si="30"/>
        <v>15.475</v>
      </c>
      <c r="K56" s="269">
        <f t="shared" si="30"/>
        <v>15.475</v>
      </c>
      <c r="L56" s="269">
        <f t="shared" si="30"/>
        <v>15.475</v>
      </c>
      <c r="M56" s="269">
        <f t="shared" si="30"/>
        <v>15.475</v>
      </c>
      <c r="N56" s="269">
        <f t="shared" si="30"/>
        <v>15.475</v>
      </c>
      <c r="O56" s="272">
        <f t="shared" si="26"/>
        <v>92.85</v>
      </c>
    </row>
    <row r="57" spans="1:15" ht="40.5" thickBot="1">
      <c r="A57" s="582"/>
      <c r="B57" s="268" t="s">
        <v>59</v>
      </c>
      <c r="C57" s="269">
        <f t="shared" ref="C57:N57" si="31">C31</f>
        <v>410</v>
      </c>
      <c r="D57" s="269">
        <f t="shared" si="31"/>
        <v>2352</v>
      </c>
      <c r="E57" s="269">
        <f t="shared" si="31"/>
        <v>966</v>
      </c>
      <c r="F57" s="269">
        <f t="shared" si="31"/>
        <v>242</v>
      </c>
      <c r="G57" s="269">
        <f t="shared" si="31"/>
        <v>475</v>
      </c>
      <c r="H57" s="269">
        <f t="shared" si="31"/>
        <v>75</v>
      </c>
      <c r="I57" s="269">
        <f t="shared" si="31"/>
        <v>881.56424581005581</v>
      </c>
      <c r="J57" s="269">
        <f t="shared" si="31"/>
        <v>1116.6480446927376</v>
      </c>
      <c r="K57" s="269">
        <f t="shared" si="31"/>
        <v>1116.6480446927376</v>
      </c>
      <c r="L57" s="269">
        <f t="shared" si="31"/>
        <v>1116.6480446927376</v>
      </c>
      <c r="M57" s="269">
        <f t="shared" si="31"/>
        <v>1116.6480446927376</v>
      </c>
      <c r="N57" s="269">
        <f t="shared" si="31"/>
        <v>881.56424581005581</v>
      </c>
      <c r="O57" s="272">
        <f t="shared" si="26"/>
        <v>10749.720670391063</v>
      </c>
    </row>
    <row r="58" spans="1:15" ht="48.75" thickBot="1">
      <c r="A58" s="583"/>
      <c r="B58" s="273" t="s">
        <v>174</v>
      </c>
      <c r="C58" s="274">
        <f>SUM(C48:C56)</f>
        <v>106437</v>
      </c>
      <c r="D58" s="274">
        <f t="shared" ref="D58:N58" si="32">SUM(D48:D56)</f>
        <v>70276</v>
      </c>
      <c r="E58" s="274">
        <f t="shared" si="32"/>
        <v>95695</v>
      </c>
      <c r="F58" s="274">
        <f t="shared" si="32"/>
        <v>81035</v>
      </c>
      <c r="G58" s="274">
        <f t="shared" si="32"/>
        <v>92391</v>
      </c>
      <c r="H58" s="274">
        <f>SUM(H48:H56)</f>
        <v>94106</v>
      </c>
      <c r="I58" s="274">
        <f t="shared" si="32"/>
        <v>110078.77803951137</v>
      </c>
      <c r="J58" s="274">
        <f t="shared" si="32"/>
        <v>118071.32723416056</v>
      </c>
      <c r="K58" s="274">
        <f t="shared" si="32"/>
        <v>124101.93329476663</v>
      </c>
      <c r="L58" s="274">
        <f t="shared" si="32"/>
        <v>117136.99990683324</v>
      </c>
      <c r="M58" s="274">
        <f t="shared" si="32"/>
        <v>114566.01273784606</v>
      </c>
      <c r="N58" s="274">
        <f t="shared" si="32"/>
        <v>102993.15233380567</v>
      </c>
      <c r="O58" s="211">
        <f>SUM(O48:O56)</f>
        <v>1226888.2035469236</v>
      </c>
    </row>
    <row r="59" spans="1:15" ht="33.75">
      <c r="A59" s="206"/>
      <c r="B59" s="212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213"/>
    </row>
    <row r="60" spans="1:15" ht="28.5">
      <c r="A60" s="206"/>
      <c r="B60" s="208"/>
      <c r="C60" s="214"/>
      <c r="D60" s="214"/>
      <c r="E60" s="214"/>
      <c r="F60" s="214"/>
      <c r="G60" s="214"/>
      <c r="H60" s="214"/>
      <c r="I60" s="214"/>
      <c r="J60" s="214"/>
      <c r="K60" s="214"/>
      <c r="L60" s="214"/>
      <c r="M60" s="214"/>
      <c r="N60" s="214"/>
      <c r="O60" s="215"/>
    </row>
    <row r="61" spans="1:15" ht="28.5">
      <c r="A61" s="206"/>
      <c r="B61" s="208"/>
      <c r="C61" s="216"/>
      <c r="D61" s="216"/>
      <c r="E61" s="216"/>
      <c r="F61" s="216"/>
      <c r="G61" s="216"/>
      <c r="H61" s="216"/>
      <c r="I61" s="216"/>
      <c r="J61" s="216"/>
      <c r="K61" s="216"/>
      <c r="L61" s="216"/>
      <c r="M61" s="216"/>
      <c r="N61" s="216"/>
      <c r="O61" s="215"/>
    </row>
    <row r="62" spans="1:15" ht="28.5">
      <c r="A62" s="206"/>
      <c r="B62" s="208"/>
      <c r="C62" s="217"/>
      <c r="D62" s="217"/>
      <c r="E62" s="217"/>
      <c r="F62" s="217"/>
      <c r="G62" s="217"/>
      <c r="H62" s="217"/>
      <c r="I62" s="217"/>
      <c r="J62" s="217"/>
      <c r="K62" s="217"/>
      <c r="L62" s="217"/>
      <c r="M62" s="217"/>
      <c r="N62" s="217"/>
      <c r="O62" s="215"/>
    </row>
    <row r="63" spans="1:15" ht="28.5">
      <c r="A63" s="206"/>
      <c r="B63" s="208"/>
      <c r="J63" s="218"/>
      <c r="K63" s="218"/>
      <c r="L63" s="218"/>
      <c r="M63" s="218"/>
      <c r="N63" s="218"/>
      <c r="O63" s="219"/>
    </row>
    <row r="64" spans="1:15" ht="30">
      <c r="A64" s="206"/>
      <c r="B64" s="208"/>
      <c r="C64" s="220"/>
      <c r="D64" s="220"/>
      <c r="E64" s="220"/>
      <c r="F64" s="220"/>
      <c r="G64" s="220"/>
      <c r="H64" s="220"/>
      <c r="I64" s="220"/>
      <c r="J64" s="220"/>
      <c r="K64" s="220"/>
      <c r="L64" s="220"/>
      <c r="M64" s="220"/>
      <c r="N64" s="220"/>
      <c r="O64" s="219"/>
    </row>
    <row r="65" spans="1:34" ht="30">
      <c r="A65" s="206"/>
      <c r="B65" s="208"/>
      <c r="C65" s="220"/>
      <c r="D65" s="220"/>
      <c r="E65" s="220"/>
      <c r="F65" s="220"/>
      <c r="G65" s="220"/>
      <c r="H65" s="220"/>
      <c r="I65" s="220"/>
      <c r="J65" s="220"/>
      <c r="K65" s="220"/>
      <c r="L65" s="220"/>
      <c r="M65" s="220"/>
      <c r="N65" s="220"/>
      <c r="O65" s="208"/>
    </row>
    <row r="66" spans="1:34" ht="30">
      <c r="A66" s="206"/>
      <c r="B66" s="208"/>
      <c r="C66" s="220"/>
      <c r="O66" s="208"/>
    </row>
    <row r="67" spans="1:34" ht="28.5">
      <c r="A67" s="206"/>
      <c r="B67" s="208"/>
      <c r="O67" s="208"/>
    </row>
    <row r="68" spans="1:34" ht="28.5">
      <c r="A68" s="206"/>
      <c r="B68" s="208"/>
      <c r="O68" s="208"/>
    </row>
    <row r="69" spans="1:34" ht="43.5">
      <c r="A69" s="206"/>
      <c r="B69" s="208"/>
      <c r="O69" s="208"/>
      <c r="T69" s="599" t="s">
        <v>199</v>
      </c>
      <c r="U69" s="599"/>
      <c r="V69" s="599"/>
      <c r="W69" s="599"/>
      <c r="X69" s="599"/>
      <c r="Y69" s="599"/>
      <c r="Z69" s="599"/>
      <c r="AA69" s="599"/>
      <c r="AB69" s="281"/>
      <c r="AC69" s="281"/>
      <c r="AD69" s="281"/>
      <c r="AE69" s="281"/>
      <c r="AF69" s="281"/>
      <c r="AG69" s="281"/>
      <c r="AH69" s="281"/>
    </row>
    <row r="70" spans="1:34" ht="28.5">
      <c r="A70" s="206"/>
      <c r="B70" s="208"/>
      <c r="O70" s="208"/>
      <c r="T70" s="540" t="s">
        <v>200</v>
      </c>
      <c r="U70" s="600" t="s">
        <v>201</v>
      </c>
      <c r="V70" s="600" t="s">
        <v>202</v>
      </c>
      <c r="W70" s="600" t="s">
        <v>203</v>
      </c>
      <c r="X70" s="600" t="s">
        <v>153</v>
      </c>
      <c r="Y70" s="600" t="s">
        <v>204</v>
      </c>
      <c r="Z70" s="602" t="s">
        <v>154</v>
      </c>
      <c r="AA70" s="602" t="s">
        <v>155</v>
      </c>
      <c r="AB70" s="282"/>
      <c r="AC70" s="282"/>
      <c r="AD70" s="282"/>
      <c r="AE70" s="282"/>
      <c r="AF70" s="282"/>
      <c r="AG70" s="282"/>
      <c r="AH70" s="282"/>
    </row>
    <row r="71" spans="1:34" ht="28.5">
      <c r="A71" s="206"/>
      <c r="B71" s="208"/>
      <c r="O71" s="208"/>
      <c r="T71" s="540"/>
      <c r="U71" s="601"/>
      <c r="V71" s="601"/>
      <c r="W71" s="601"/>
      <c r="X71" s="601"/>
      <c r="Y71" s="601"/>
      <c r="Z71" s="603"/>
      <c r="AA71" s="603" t="s">
        <v>155</v>
      </c>
      <c r="AB71" s="282"/>
      <c r="AC71" s="282"/>
      <c r="AD71" s="282"/>
      <c r="AE71" s="282"/>
      <c r="AF71" s="282"/>
      <c r="AG71" s="282"/>
      <c r="AH71" s="282"/>
    </row>
    <row r="72" spans="1:34" ht="30">
      <c r="A72" s="206"/>
      <c r="B72" s="208"/>
      <c r="O72" s="208"/>
      <c r="T72" s="540"/>
      <c r="U72" s="283" t="s">
        <v>36</v>
      </c>
      <c r="V72" s="284">
        <v>1</v>
      </c>
      <c r="W72" s="284">
        <v>0</v>
      </c>
      <c r="X72" s="284">
        <v>0</v>
      </c>
      <c r="Y72" s="284">
        <v>0</v>
      </c>
      <c r="Z72" s="284">
        <v>0</v>
      </c>
      <c r="AA72" s="285"/>
      <c r="AB72" s="282"/>
      <c r="AC72" s="282"/>
      <c r="AD72" s="282"/>
      <c r="AE72" s="282"/>
      <c r="AF72" s="282"/>
      <c r="AG72" s="282"/>
      <c r="AH72" s="282"/>
    </row>
    <row r="73" spans="1:34" ht="30">
      <c r="A73" s="206"/>
      <c r="B73" s="208"/>
      <c r="O73" s="208"/>
      <c r="T73" s="540"/>
      <c r="U73" s="286" t="s">
        <v>205</v>
      </c>
      <c r="V73" s="284">
        <v>1</v>
      </c>
      <c r="W73" s="284">
        <v>0</v>
      </c>
      <c r="X73" s="284">
        <v>0</v>
      </c>
      <c r="Y73" s="284">
        <v>0</v>
      </c>
      <c r="Z73" s="284">
        <v>0</v>
      </c>
      <c r="AA73" s="285"/>
      <c r="AB73" s="282"/>
      <c r="AC73" s="282"/>
      <c r="AD73" s="282"/>
      <c r="AE73" s="282"/>
      <c r="AF73" s="282"/>
      <c r="AG73" s="282"/>
      <c r="AH73" s="282"/>
    </row>
    <row r="74" spans="1:34" ht="29.25">
      <c r="T74" s="540"/>
      <c r="U74" s="287" t="s">
        <v>38</v>
      </c>
      <c r="V74" s="284">
        <v>0.74</v>
      </c>
      <c r="W74" s="284">
        <v>0.26</v>
      </c>
      <c r="X74" s="284">
        <v>0</v>
      </c>
      <c r="Y74" s="284">
        <v>0</v>
      </c>
      <c r="Z74" s="284">
        <v>0</v>
      </c>
      <c r="AA74" s="285"/>
      <c r="AB74" s="282"/>
      <c r="AC74" s="282"/>
      <c r="AD74" s="282"/>
      <c r="AE74" s="282"/>
      <c r="AF74" s="282"/>
      <c r="AG74" s="282"/>
      <c r="AH74" s="282"/>
    </row>
    <row r="75" spans="1:34" ht="29.25">
      <c r="T75" s="540"/>
      <c r="U75" s="287" t="s">
        <v>18</v>
      </c>
      <c r="V75" s="284">
        <v>0.63</v>
      </c>
      <c r="W75" s="284">
        <v>0.03</v>
      </c>
      <c r="X75" s="288">
        <v>3.5000000000000001E-3</v>
      </c>
      <c r="Y75" s="289">
        <v>3.0000000000000001E-3</v>
      </c>
      <c r="Z75" s="289">
        <v>2.4E-2</v>
      </c>
      <c r="AA75" s="288">
        <f>V76-V75-X75-Y75-Z75-W75</f>
        <v>0.3095</v>
      </c>
      <c r="AB75" s="282"/>
      <c r="AC75" s="282"/>
      <c r="AD75" s="282"/>
      <c r="AE75" s="282"/>
      <c r="AF75" s="282"/>
      <c r="AG75" s="282"/>
      <c r="AH75" s="282"/>
    </row>
    <row r="76" spans="1:34" ht="54">
      <c r="T76" s="540"/>
      <c r="U76" s="287" t="s">
        <v>39</v>
      </c>
      <c r="V76" s="284">
        <v>1</v>
      </c>
      <c r="W76" s="284">
        <v>0</v>
      </c>
      <c r="X76" s="284">
        <v>0</v>
      </c>
      <c r="Y76" s="284">
        <v>0</v>
      </c>
      <c r="Z76" s="284">
        <v>0</v>
      </c>
      <c r="AA76" s="285"/>
      <c r="AB76" s="282"/>
      <c r="AC76" s="282"/>
      <c r="AD76" s="282"/>
      <c r="AE76" s="282"/>
      <c r="AF76" s="282"/>
      <c r="AG76" s="282"/>
      <c r="AH76" s="282"/>
    </row>
    <row r="77" spans="1:34" ht="29.25">
      <c r="T77" s="540"/>
      <c r="U77" s="290" t="s">
        <v>206</v>
      </c>
      <c r="V77" s="291">
        <v>1</v>
      </c>
      <c r="W77" s="291">
        <v>0</v>
      </c>
      <c r="X77" s="291">
        <v>0</v>
      </c>
      <c r="Y77" s="291">
        <v>0</v>
      </c>
      <c r="Z77" s="291">
        <v>0</v>
      </c>
      <c r="AA77" s="292"/>
    </row>
    <row r="78" spans="1:34" ht="29.25">
      <c r="T78" s="540"/>
      <c r="U78" s="290" t="s">
        <v>207</v>
      </c>
      <c r="V78" s="291">
        <v>1</v>
      </c>
      <c r="W78" s="291">
        <v>0</v>
      </c>
      <c r="X78" s="291">
        <v>0</v>
      </c>
      <c r="Y78" s="291">
        <v>0</v>
      </c>
      <c r="Z78" s="291">
        <v>0</v>
      </c>
      <c r="AA78" s="292"/>
    </row>
    <row r="79" spans="1:34" ht="30" thickBot="1">
      <c r="T79" s="541"/>
      <c r="U79" s="293" t="s">
        <v>208</v>
      </c>
      <c r="V79" s="291">
        <v>1</v>
      </c>
      <c r="W79" s="291">
        <v>0</v>
      </c>
      <c r="X79" s="291">
        <v>0</v>
      </c>
      <c r="Y79" s="291">
        <v>0</v>
      </c>
      <c r="Z79" s="291">
        <v>0</v>
      </c>
      <c r="AA79" s="292"/>
    </row>
    <row r="82" spans="20:34" ht="29.25">
      <c r="T82" s="294"/>
      <c r="U82" s="295" t="s">
        <v>201</v>
      </c>
      <c r="V82" s="296" t="s">
        <v>209</v>
      </c>
      <c r="W82" s="295" t="s">
        <v>210</v>
      </c>
      <c r="X82" s="296" t="s">
        <v>211</v>
      </c>
      <c r="Y82" s="296" t="s">
        <v>212</v>
      </c>
      <c r="Z82" s="296" t="s">
        <v>213</v>
      </c>
      <c r="AA82" s="296" t="s">
        <v>214</v>
      </c>
      <c r="AB82" s="296" t="s">
        <v>215</v>
      </c>
      <c r="AD82" s="296" t="s">
        <v>216</v>
      </c>
      <c r="AE82" s="296" t="s">
        <v>211</v>
      </c>
      <c r="AF82" s="296" t="s">
        <v>212</v>
      </c>
      <c r="AG82" s="296" t="s">
        <v>213</v>
      </c>
      <c r="AH82" s="296" t="s">
        <v>215</v>
      </c>
    </row>
    <row r="83" spans="20:34" ht="29.25">
      <c r="T83" s="550" t="s">
        <v>114</v>
      </c>
      <c r="U83" s="546" t="s">
        <v>217</v>
      </c>
      <c r="V83" s="297">
        <v>0.92</v>
      </c>
      <c r="W83" s="297">
        <v>0.08</v>
      </c>
      <c r="X83" s="297"/>
      <c r="Y83" s="297"/>
      <c r="Z83" s="297"/>
      <c r="AA83" s="297"/>
      <c r="AB83" s="297"/>
      <c r="AC83" s="298"/>
      <c r="AD83" s="297">
        <v>0.64</v>
      </c>
      <c r="AE83" s="297"/>
      <c r="AF83" s="297"/>
      <c r="AG83" s="297"/>
      <c r="AH83" s="297"/>
    </row>
    <row r="84" spans="20:34" ht="29.25">
      <c r="T84" s="550"/>
      <c r="U84" s="547"/>
      <c r="V84" s="297">
        <v>0.7</v>
      </c>
      <c r="W84" s="297"/>
      <c r="X84" s="297">
        <v>0.3</v>
      </c>
      <c r="Y84" s="297"/>
      <c r="Z84" s="297"/>
      <c r="AA84" s="297"/>
      <c r="AB84" s="297"/>
      <c r="AC84" s="298"/>
      <c r="AD84" s="297">
        <v>0.6</v>
      </c>
      <c r="AE84" s="297"/>
      <c r="AF84" s="297"/>
      <c r="AG84" s="297">
        <v>0.4</v>
      </c>
      <c r="AH84" s="297"/>
    </row>
    <row r="85" spans="20:34" ht="29.25">
      <c r="T85" s="550"/>
      <c r="U85" s="547"/>
      <c r="V85" s="297">
        <v>0.73</v>
      </c>
      <c r="W85" s="297"/>
      <c r="X85" s="297"/>
      <c r="Y85" s="297"/>
      <c r="Z85" s="297">
        <v>0.27</v>
      </c>
      <c r="AA85" s="297"/>
      <c r="AB85" s="297"/>
      <c r="AC85" s="298"/>
      <c r="AD85" s="297">
        <v>0.56999999999999995</v>
      </c>
      <c r="AE85" s="297">
        <v>0.43</v>
      </c>
      <c r="AF85" s="297"/>
      <c r="AG85" s="297"/>
      <c r="AH85" s="297"/>
    </row>
    <row r="86" spans="20:34" ht="29.25">
      <c r="T86" s="550"/>
      <c r="U86" s="547"/>
      <c r="V86" s="297">
        <v>0.54</v>
      </c>
      <c r="W86" s="297"/>
      <c r="X86" s="297"/>
      <c r="Y86" s="297">
        <v>0.46</v>
      </c>
      <c r="Z86" s="297"/>
      <c r="AA86" s="297"/>
      <c r="AB86" s="297"/>
      <c r="AC86" s="298"/>
      <c r="AD86" s="297">
        <v>0.46</v>
      </c>
      <c r="AE86" s="297"/>
      <c r="AF86" s="297">
        <v>0.54</v>
      </c>
      <c r="AG86" s="297"/>
      <c r="AH86" s="297"/>
    </row>
    <row r="87" spans="20:34" ht="29.25">
      <c r="T87" s="550"/>
      <c r="U87" s="547"/>
      <c r="V87" s="297">
        <v>0.76</v>
      </c>
      <c r="W87" s="297"/>
      <c r="X87" s="297"/>
      <c r="Y87" s="297"/>
      <c r="Z87" s="297"/>
      <c r="AA87" s="297"/>
      <c r="AB87" s="297">
        <v>0.24</v>
      </c>
      <c r="AC87" s="298"/>
      <c r="AD87" s="297">
        <v>0.64</v>
      </c>
      <c r="AE87" s="297"/>
      <c r="AF87" s="297"/>
      <c r="AG87" s="297"/>
      <c r="AH87" s="297">
        <v>0.36</v>
      </c>
    </row>
    <row r="88" spans="20:34" ht="29.25">
      <c r="T88" s="550"/>
      <c r="U88" s="547"/>
      <c r="V88" s="299">
        <v>0.76</v>
      </c>
      <c r="W88" s="299"/>
      <c r="X88" s="299"/>
      <c r="Y88" s="299"/>
      <c r="Z88" s="299"/>
      <c r="AA88" s="299">
        <v>0.24</v>
      </c>
      <c r="AB88" s="299"/>
      <c r="AC88" s="298"/>
      <c r="AD88" s="299"/>
      <c r="AE88" s="299"/>
      <c r="AF88" s="299"/>
      <c r="AG88" s="299"/>
      <c r="AH88" s="299"/>
    </row>
    <row r="89" spans="20:34" ht="29.25">
      <c r="T89" s="550"/>
      <c r="U89" s="300"/>
      <c r="V89" s="301"/>
      <c r="W89" s="301"/>
      <c r="X89" s="301"/>
      <c r="Y89" s="301"/>
      <c r="Z89" s="301"/>
      <c r="AA89" s="301"/>
      <c r="AB89" s="301"/>
      <c r="AD89" s="301"/>
      <c r="AE89" s="301"/>
      <c r="AF89" s="301"/>
      <c r="AG89" s="301"/>
      <c r="AH89" s="301"/>
    </row>
    <row r="90" spans="20:34" ht="33.75">
      <c r="T90" s="550"/>
      <c r="U90" s="548" t="s">
        <v>218</v>
      </c>
      <c r="V90" s="302">
        <v>0.96</v>
      </c>
      <c r="W90" s="303">
        <v>0.04</v>
      </c>
      <c r="X90" s="303"/>
      <c r="Y90" s="303"/>
      <c r="Z90" s="303"/>
      <c r="AA90" s="303"/>
      <c r="AB90" s="303"/>
      <c r="AC90" s="304"/>
      <c r="AD90" s="302">
        <v>0.6</v>
      </c>
      <c r="AE90" s="302"/>
      <c r="AF90" s="302"/>
      <c r="AG90" s="302"/>
      <c r="AH90" s="302"/>
    </row>
    <row r="91" spans="20:34" ht="29.25">
      <c r="T91" s="550"/>
      <c r="U91" s="549"/>
      <c r="V91" s="305">
        <v>0.89</v>
      </c>
      <c r="W91" s="305"/>
      <c r="X91" s="305"/>
      <c r="Y91" s="305"/>
      <c r="Z91" s="305"/>
      <c r="AA91" s="305">
        <v>0.11</v>
      </c>
      <c r="AB91" s="305"/>
      <c r="AC91" s="304"/>
      <c r="AD91" s="305">
        <v>0.56999999999999995</v>
      </c>
      <c r="AE91" s="305"/>
      <c r="AF91" s="305"/>
      <c r="AG91" s="305">
        <v>0.43</v>
      </c>
      <c r="AH91" s="305"/>
    </row>
    <row r="92" spans="20:34" ht="29.25">
      <c r="T92" s="550"/>
      <c r="U92" s="549"/>
      <c r="V92" s="305">
        <v>0.88</v>
      </c>
      <c r="W92" s="305"/>
      <c r="X92" s="305"/>
      <c r="Y92" s="305"/>
      <c r="Z92" s="305">
        <v>0.12</v>
      </c>
      <c r="AA92" s="305"/>
      <c r="AB92" s="305"/>
      <c r="AC92" s="304"/>
      <c r="AD92" s="305">
        <v>0.54</v>
      </c>
      <c r="AE92" s="305">
        <v>0.46</v>
      </c>
      <c r="AF92" s="305"/>
      <c r="AG92" s="305"/>
      <c r="AH92" s="305"/>
    </row>
    <row r="93" spans="20:34" ht="29.25">
      <c r="T93" s="550"/>
      <c r="U93" s="549"/>
      <c r="V93" s="305">
        <v>0.86</v>
      </c>
      <c r="W93" s="305"/>
      <c r="X93" s="305">
        <v>0.14000000000000001</v>
      </c>
      <c r="Y93" s="305"/>
      <c r="Z93" s="305"/>
      <c r="AA93" s="305"/>
      <c r="AB93" s="305"/>
      <c r="AC93" s="304"/>
      <c r="AD93" s="305">
        <v>0.42</v>
      </c>
      <c r="AE93" s="305"/>
      <c r="AF93" s="305">
        <v>0.57999999999999996</v>
      </c>
      <c r="AG93" s="305"/>
      <c r="AH93" s="305"/>
    </row>
    <row r="94" spans="20:34" ht="29.25">
      <c r="T94" s="550"/>
      <c r="U94" s="549"/>
      <c r="V94" s="305">
        <v>0.79</v>
      </c>
      <c r="W94" s="305"/>
      <c r="X94" s="305"/>
      <c r="Y94" s="305">
        <v>0.21</v>
      </c>
      <c r="Z94" s="305"/>
      <c r="AA94" s="305"/>
      <c r="AB94" s="305"/>
      <c r="AC94" s="304"/>
      <c r="AD94" s="305">
        <v>0.6</v>
      </c>
      <c r="AE94" s="305"/>
      <c r="AF94" s="305"/>
      <c r="AG94" s="305"/>
      <c r="AH94" s="305">
        <v>0.4</v>
      </c>
    </row>
    <row r="95" spans="20:34" ht="29.25">
      <c r="T95" s="550"/>
      <c r="U95" s="549"/>
      <c r="V95" s="305">
        <v>0.89</v>
      </c>
      <c r="W95" s="305"/>
      <c r="X95" s="305"/>
      <c r="Y95" s="305"/>
      <c r="Z95" s="305"/>
      <c r="AA95" s="305"/>
      <c r="AB95" s="305">
        <v>0.11</v>
      </c>
      <c r="AC95" s="304"/>
      <c r="AD95" s="305"/>
      <c r="AE95" s="305"/>
      <c r="AF95" s="305"/>
      <c r="AG95" s="305"/>
      <c r="AH95" s="305"/>
    </row>
    <row r="96" spans="20:34">
      <c r="T96" s="550"/>
    </row>
    <row r="97" spans="20:34" ht="33.75">
      <c r="T97" s="550"/>
      <c r="U97" s="533" t="s">
        <v>207</v>
      </c>
      <c r="V97" s="306">
        <v>0.99</v>
      </c>
      <c r="W97" s="307">
        <v>0.01</v>
      </c>
      <c r="X97" s="307"/>
      <c r="Y97" s="307"/>
      <c r="Z97" s="307"/>
      <c r="AA97" s="307"/>
      <c r="AB97" s="307"/>
      <c r="AC97" s="308"/>
      <c r="AD97" s="306">
        <v>0.66</v>
      </c>
      <c r="AE97" s="306"/>
      <c r="AF97" s="306"/>
      <c r="AG97" s="306"/>
      <c r="AH97" s="306"/>
    </row>
    <row r="98" spans="20:34" ht="29.25">
      <c r="T98" s="550"/>
      <c r="U98" s="534"/>
      <c r="V98" s="306">
        <v>0.96</v>
      </c>
      <c r="W98" s="306"/>
      <c r="X98" s="306"/>
      <c r="Y98" s="306"/>
      <c r="Z98" s="306"/>
      <c r="AA98" s="306">
        <v>0.04</v>
      </c>
      <c r="AB98" s="306"/>
      <c r="AC98" s="308"/>
      <c r="AD98" s="306">
        <v>0.62</v>
      </c>
      <c r="AE98" s="306"/>
      <c r="AF98" s="306"/>
      <c r="AG98" s="306">
        <v>0.38</v>
      </c>
      <c r="AH98" s="306"/>
    </row>
    <row r="99" spans="20:34" ht="29.25">
      <c r="T99" s="550"/>
      <c r="U99" s="534"/>
      <c r="V99" s="306">
        <v>0.93</v>
      </c>
      <c r="W99" s="306"/>
      <c r="X99" s="306"/>
      <c r="Y99" s="306"/>
      <c r="Z99" s="306">
        <v>7.0000000000000007E-2</v>
      </c>
      <c r="AA99" s="306"/>
      <c r="AB99" s="306"/>
      <c r="AC99" s="308"/>
      <c r="AD99" s="306">
        <v>0.59</v>
      </c>
      <c r="AE99" s="306">
        <v>0.41</v>
      </c>
      <c r="AF99" s="306"/>
      <c r="AG99" s="306"/>
      <c r="AH99" s="306"/>
    </row>
    <row r="100" spans="20:34" ht="29.25">
      <c r="T100" s="550"/>
      <c r="U100" s="534"/>
      <c r="V100" s="306">
        <v>0.95</v>
      </c>
      <c r="W100" s="306"/>
      <c r="X100" s="306">
        <v>0.05</v>
      </c>
      <c r="Y100" s="306"/>
      <c r="Z100" s="306"/>
      <c r="AA100" s="306"/>
      <c r="AB100" s="306"/>
      <c r="AC100" s="308"/>
      <c r="AD100" s="306">
        <v>0.48</v>
      </c>
      <c r="AE100" s="306"/>
      <c r="AF100" s="306">
        <v>0.52</v>
      </c>
      <c r="AG100" s="306"/>
      <c r="AH100" s="306"/>
    </row>
    <row r="101" spans="20:34" ht="29.25">
      <c r="T101" s="550"/>
      <c r="U101" s="534"/>
      <c r="V101" s="306">
        <v>0.93</v>
      </c>
      <c r="W101" s="306"/>
      <c r="X101" s="306"/>
      <c r="Y101" s="306">
        <v>7.0000000000000007E-2</v>
      </c>
      <c r="Z101" s="306"/>
      <c r="AA101" s="306"/>
      <c r="AB101" s="306"/>
      <c r="AC101" s="308"/>
      <c r="AD101" s="306">
        <v>0.65</v>
      </c>
      <c r="AE101" s="306"/>
      <c r="AF101" s="306"/>
      <c r="AG101" s="306"/>
      <c r="AH101" s="306">
        <v>0.35</v>
      </c>
    </row>
    <row r="102" spans="20:34" ht="29.25">
      <c r="T102" s="550"/>
      <c r="U102" s="535"/>
      <c r="V102" s="306">
        <v>0.96</v>
      </c>
      <c r="W102" s="306"/>
      <c r="X102" s="306"/>
      <c r="Y102" s="306"/>
      <c r="Z102" s="306"/>
      <c r="AA102" s="306"/>
      <c r="AB102" s="306">
        <v>0.04</v>
      </c>
      <c r="AC102" s="308"/>
      <c r="AD102" s="306"/>
      <c r="AE102" s="306"/>
      <c r="AF102" s="306"/>
      <c r="AG102" s="306"/>
      <c r="AH102" s="306"/>
    </row>
    <row r="103" spans="20:34" ht="24">
      <c r="T103" s="309"/>
    </row>
    <row r="104" spans="20:34" ht="54">
      <c r="T104" s="310" t="s">
        <v>217</v>
      </c>
      <c r="U104" s="311" t="s">
        <v>219</v>
      </c>
      <c r="V104" s="311" t="s">
        <v>220</v>
      </c>
      <c r="Y104" s="310" t="s">
        <v>221</v>
      </c>
      <c r="Z104" s="311" t="s">
        <v>219</v>
      </c>
      <c r="AA104" s="311" t="s">
        <v>220</v>
      </c>
    </row>
    <row r="105" spans="20:34" ht="54">
      <c r="T105" s="311" t="s">
        <v>222</v>
      </c>
      <c r="U105" s="297">
        <v>0.92</v>
      </c>
      <c r="V105" s="297">
        <v>0.08</v>
      </c>
      <c r="W105" s="297">
        <f>V105+U105</f>
        <v>1</v>
      </c>
      <c r="Y105" s="311" t="s">
        <v>222</v>
      </c>
      <c r="Z105" s="297">
        <v>0.98</v>
      </c>
      <c r="AA105" s="297">
        <v>0.02</v>
      </c>
      <c r="AB105" s="297">
        <f>AA105+Z105</f>
        <v>1</v>
      </c>
    </row>
    <row r="106" spans="20:34" ht="54">
      <c r="T106" s="311" t="s">
        <v>223</v>
      </c>
      <c r="U106" s="297">
        <f>AVERAGE(V84:V88)</f>
        <v>0.69800000000000006</v>
      </c>
      <c r="V106" s="297">
        <v>0.3</v>
      </c>
      <c r="W106" s="297">
        <f>V106+U106</f>
        <v>0.998</v>
      </c>
      <c r="Y106" s="311" t="s">
        <v>223</v>
      </c>
      <c r="Z106" s="297">
        <v>0.95</v>
      </c>
      <c r="AA106" s="297">
        <v>0.05</v>
      </c>
      <c r="AB106" s="297">
        <f>AA106+Z106</f>
        <v>1</v>
      </c>
    </row>
    <row r="107" spans="20:34" ht="81">
      <c r="T107" s="311" t="s">
        <v>224</v>
      </c>
      <c r="U107" s="297">
        <v>0.57999999999999996</v>
      </c>
      <c r="V107" s="297">
        <v>0.42</v>
      </c>
      <c r="W107" s="297">
        <f>V107+U107</f>
        <v>1</v>
      </c>
      <c r="Y107" s="311" t="s">
        <v>224</v>
      </c>
      <c r="Z107" s="297">
        <v>0.6</v>
      </c>
      <c r="AA107" s="297">
        <v>0.4</v>
      </c>
      <c r="AB107" s="297">
        <f>AA107+Z107</f>
        <v>1</v>
      </c>
    </row>
    <row r="109" spans="20:34" ht="54">
      <c r="T109" s="310" t="s">
        <v>218</v>
      </c>
      <c r="U109" s="311" t="s">
        <v>219</v>
      </c>
      <c r="V109" s="311" t="s">
        <v>220</v>
      </c>
      <c r="Y109" s="312"/>
    </row>
    <row r="110" spans="20:34" ht="54">
      <c r="T110" s="311" t="s">
        <v>222</v>
      </c>
      <c r="U110" s="297">
        <v>0.94</v>
      </c>
      <c r="V110" s="297">
        <v>0.06</v>
      </c>
      <c r="W110" s="297">
        <f>V110+U110</f>
        <v>1</v>
      </c>
      <c r="Y110" s="313"/>
      <c r="Z110" s="314">
        <f>AA110/$AA$113</f>
        <v>0.6111111111111116</v>
      </c>
      <c r="AA110" s="315">
        <v>146666.66666666701</v>
      </c>
      <c r="AB110" s="311" t="s">
        <v>225</v>
      </c>
      <c r="AD110" s="316"/>
      <c r="AE110" s="317"/>
    </row>
    <row r="111" spans="20:34" ht="108">
      <c r="T111" s="311" t="s">
        <v>223</v>
      </c>
      <c r="U111" s="297">
        <v>0.86</v>
      </c>
      <c r="V111" s="297">
        <v>0.14000000000000001</v>
      </c>
      <c r="W111" s="297">
        <f>V111+U111</f>
        <v>1</v>
      </c>
      <c r="X111" s="313"/>
      <c r="Y111" s="313"/>
      <c r="Z111" s="314">
        <f>AA111/$AA$113</f>
        <v>0.33333333333333287</v>
      </c>
      <c r="AA111" s="315">
        <v>80000</v>
      </c>
      <c r="AB111" s="311" t="s">
        <v>226</v>
      </c>
      <c r="AD111" s="316"/>
      <c r="AE111" s="317"/>
    </row>
    <row r="112" spans="20:34" ht="74.25">
      <c r="T112" s="318" t="s">
        <v>224</v>
      </c>
      <c r="U112" s="297">
        <v>0.55000000000000004</v>
      </c>
      <c r="V112" s="297">
        <v>0.45</v>
      </c>
      <c r="W112" s="297">
        <f>V112+U112</f>
        <v>1</v>
      </c>
      <c r="X112" s="313"/>
      <c r="Y112" s="313"/>
      <c r="Z112" s="314">
        <f>AA112/$AA$113</f>
        <v>5.5555555555555469E-2</v>
      </c>
      <c r="AA112" s="315">
        <v>13333.333333333332</v>
      </c>
      <c r="AB112" s="311" t="s">
        <v>227</v>
      </c>
    </row>
    <row r="113" spans="24:28" ht="135">
      <c r="X113" s="313"/>
      <c r="Y113" s="313"/>
      <c r="Z113" s="319"/>
      <c r="AA113" s="320">
        <f>SUM(AA110:AA112)</f>
        <v>240000.00000000035</v>
      </c>
      <c r="AB113" s="311" t="s">
        <v>228</v>
      </c>
    </row>
  </sheetData>
  <mergeCells count="23">
    <mergeCell ref="T83:T102"/>
    <mergeCell ref="U83:U88"/>
    <mergeCell ref="U90:U95"/>
    <mergeCell ref="U97:U102"/>
    <mergeCell ref="T69:AA69"/>
    <mergeCell ref="T70:T79"/>
    <mergeCell ref="U70:U71"/>
    <mergeCell ref="V70:V71"/>
    <mergeCell ref="W70:W71"/>
    <mergeCell ref="X70:X71"/>
    <mergeCell ref="Y70:Y71"/>
    <mergeCell ref="Z70:Z71"/>
    <mergeCell ref="AA70:AA71"/>
    <mergeCell ref="A2:O2"/>
    <mergeCell ref="A4:B4"/>
    <mergeCell ref="A5:O5"/>
    <mergeCell ref="A6:A23"/>
    <mergeCell ref="A24:A32"/>
    <mergeCell ref="A48:A58"/>
    <mergeCell ref="A33:O33"/>
    <mergeCell ref="A34:A39"/>
    <mergeCell ref="A40:A43"/>
    <mergeCell ref="A46:B46"/>
  </mergeCells>
  <dataValidations count="1">
    <dataValidation operator="greaterThanOrEqual" allowBlank="1" showInputMessage="1" showErrorMessage="1" sqref="B3:O3 B1:O1 A1:A3 AB69:AH69" xr:uid="{AC7C9A9D-C8B3-4EE2-83D8-B26708F05DBE}"/>
  </dataValidations>
  <printOptions horizontalCentered="1"/>
  <pageMargins left="0" right="0" top="0" bottom="0" header="0" footer="0"/>
  <pageSetup paperSize="9"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95846-1D33-442C-AB2D-E021C5251AEA}">
  <dimension ref="A1:G21"/>
  <sheetViews>
    <sheetView showGridLines="0" rightToLeft="1" view="pageBreakPreview" zoomScale="80" zoomScaleNormal="80" zoomScaleSheetLayoutView="80" workbookViewId="0">
      <selection activeCell="A29" sqref="A29"/>
    </sheetView>
  </sheetViews>
  <sheetFormatPr defaultRowHeight="15"/>
  <cols>
    <col min="1" max="1" width="130" customWidth="1"/>
    <col min="2" max="3" width="48.28515625" customWidth="1"/>
  </cols>
  <sheetData>
    <row r="1" spans="1:7" ht="24" customHeight="1"/>
    <row r="2" spans="1:7" ht="74.25" customHeight="1">
      <c r="A2" s="604" t="s">
        <v>272</v>
      </c>
      <c r="B2" s="604"/>
      <c r="C2" s="332"/>
      <c r="D2" s="332"/>
      <c r="E2" s="332"/>
      <c r="F2" s="332"/>
      <c r="G2" s="332"/>
    </row>
    <row r="3" spans="1:7" ht="25.5" customHeight="1">
      <c r="A3" s="54" t="s">
        <v>0</v>
      </c>
      <c r="B3" s="404" t="s">
        <v>252</v>
      </c>
      <c r="C3" s="332"/>
      <c r="D3" s="332"/>
      <c r="E3" s="332"/>
      <c r="F3" s="332"/>
      <c r="G3" s="332"/>
    </row>
    <row r="4" spans="1:7" ht="26.25" customHeight="1">
      <c r="A4" s="241" t="s">
        <v>180</v>
      </c>
      <c r="B4" s="436">
        <v>150000000</v>
      </c>
      <c r="C4" s="332"/>
      <c r="D4" s="332"/>
      <c r="E4" s="332"/>
      <c r="F4" s="332"/>
      <c r="G4" s="332"/>
    </row>
    <row r="5" spans="1:7" ht="26.25">
      <c r="A5" s="241" t="s">
        <v>181</v>
      </c>
      <c r="B5" s="436">
        <v>155000000</v>
      </c>
    </row>
    <row r="6" spans="1:7" ht="26.25">
      <c r="A6" s="241" t="s">
        <v>275</v>
      </c>
      <c r="B6" s="242">
        <v>145000000</v>
      </c>
    </row>
    <row r="7" spans="1:7" ht="26.25">
      <c r="A7" s="241" t="s">
        <v>276</v>
      </c>
      <c r="B7" s="242">
        <v>145000000</v>
      </c>
    </row>
    <row r="8" spans="1:7" ht="26.25">
      <c r="A8" s="241" t="s">
        <v>277</v>
      </c>
      <c r="B8" s="242">
        <v>145000000</v>
      </c>
    </row>
    <row r="9" spans="1:7" ht="26.25">
      <c r="A9" s="241" t="s">
        <v>278</v>
      </c>
      <c r="B9" s="242">
        <v>145000000</v>
      </c>
    </row>
    <row r="10" spans="1:7" ht="26.25">
      <c r="A10" s="241" t="s">
        <v>182</v>
      </c>
      <c r="B10" s="242">
        <v>360000000</v>
      </c>
    </row>
    <row r="11" spans="1:7" ht="26.25">
      <c r="A11" s="241" t="s">
        <v>183</v>
      </c>
      <c r="B11" s="242">
        <v>430000000</v>
      </c>
      <c r="C11" s="240"/>
    </row>
    <row r="12" spans="1:7" ht="26.25">
      <c r="A12" s="241" t="s">
        <v>184</v>
      </c>
      <c r="B12" s="242">
        <v>16000000</v>
      </c>
      <c r="C12" s="240"/>
    </row>
    <row r="13" spans="1:7" ht="26.25">
      <c r="A13" s="241" t="s">
        <v>279</v>
      </c>
      <c r="B13" s="242">
        <v>12000000</v>
      </c>
      <c r="C13" s="240"/>
    </row>
    <row r="14" spans="1:7" ht="26.25">
      <c r="A14" s="241" t="s">
        <v>280</v>
      </c>
      <c r="B14" s="242">
        <v>24000000</v>
      </c>
      <c r="C14" s="240"/>
    </row>
    <row r="15" spans="1:7" ht="26.25">
      <c r="A15" s="241" t="s">
        <v>281</v>
      </c>
      <c r="B15" s="242">
        <v>26000000</v>
      </c>
      <c r="C15" s="240"/>
    </row>
    <row r="16" spans="1:7" ht="26.25">
      <c r="A16" s="241" t="s">
        <v>282</v>
      </c>
      <c r="B16" s="242">
        <v>22000000</v>
      </c>
      <c r="C16" s="240"/>
    </row>
    <row r="17" spans="1:5" ht="26.25">
      <c r="A17" s="241" t="s">
        <v>267</v>
      </c>
      <c r="B17" s="242">
        <v>20000000</v>
      </c>
      <c r="C17" s="240"/>
    </row>
    <row r="18" spans="1:5" ht="26.25">
      <c r="A18" s="241" t="s">
        <v>185</v>
      </c>
      <c r="B18" s="242">
        <v>1600000</v>
      </c>
      <c r="C18" s="240"/>
    </row>
    <row r="19" spans="1:5" ht="26.25">
      <c r="A19" s="241" t="s">
        <v>186</v>
      </c>
      <c r="B19" s="242">
        <v>1200000</v>
      </c>
      <c r="C19" s="240"/>
    </row>
    <row r="20" spans="1:5" ht="26.25">
      <c r="A20" s="241" t="s">
        <v>250</v>
      </c>
      <c r="B20" s="242">
        <v>700000</v>
      </c>
      <c r="C20" s="240"/>
      <c r="E20" s="240"/>
    </row>
    <row r="21" spans="1:5">
      <c r="C21" s="240"/>
    </row>
  </sheetData>
  <mergeCells count="1">
    <mergeCell ref="A2:B2"/>
  </mergeCells>
  <printOptions horizontalCentered="1"/>
  <pageMargins left="0" right="0" top="0" bottom="0" header="0" footer="0"/>
  <pageSetup paperSize="9" scale="7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50"/>
  <sheetViews>
    <sheetView rightToLeft="1" zoomScaleNormal="100" workbookViewId="0">
      <pane xSplit="2" ySplit="6" topLeftCell="P16" activePane="bottomRight" state="frozen"/>
      <selection activeCell="W23" sqref="W23:W24"/>
      <selection pane="topRight" activeCell="W23" sqref="W23:W24"/>
      <selection pane="bottomLeft" activeCell="W23" sqref="W23:W24"/>
      <selection pane="bottomRight" activeCell="W23" sqref="W23:W24"/>
    </sheetView>
  </sheetViews>
  <sheetFormatPr defaultRowHeight="15"/>
  <cols>
    <col min="1" max="1" width="21.42578125" customWidth="1"/>
    <col min="2" max="2" width="10.5703125" hidden="1" customWidth="1"/>
    <col min="3" max="3" width="15.28515625" hidden="1" customWidth="1"/>
    <col min="4" max="8" width="12" hidden="1" customWidth="1"/>
    <col min="9" max="9" width="16.7109375" hidden="1" customWidth="1"/>
    <col min="10" max="10" width="21.5703125" hidden="1" customWidth="1"/>
    <col min="11" max="13" width="12" hidden="1" customWidth="1"/>
    <col min="14" max="14" width="15" customWidth="1"/>
    <col min="15" max="15" width="16.85546875" customWidth="1"/>
    <col min="16" max="16" width="18.28515625" customWidth="1"/>
    <col min="17" max="17" width="15" customWidth="1"/>
    <col min="18" max="18" width="17.42578125" customWidth="1"/>
    <col min="19" max="19" width="15.85546875" customWidth="1"/>
    <col min="20" max="20" width="20.28515625" customWidth="1"/>
    <col min="21" max="31" width="18.42578125" customWidth="1"/>
  </cols>
  <sheetData>
    <row r="1" spans="1:48" s="2" customFormat="1" ht="24">
      <c r="A1" s="607" t="e">
        <f>#REF!</f>
        <v>#REF!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"/>
      <c r="AF1" s="1"/>
      <c r="AV1" s="1"/>
    </row>
    <row r="2" spans="1:48" s="2" customFormat="1" ht="24.75" customHeight="1">
      <c r="A2" s="607" t="e">
        <f>"بودجه "&amp;#REF!&amp;" براي سال مالي "&amp;#REF!</f>
        <v>#REF!</v>
      </c>
      <c r="B2" s="607"/>
      <c r="C2" s="607"/>
      <c r="D2" s="607"/>
      <c r="E2" s="607"/>
      <c r="F2" s="607"/>
      <c r="G2" s="607"/>
      <c r="H2" s="607"/>
      <c r="I2" s="607"/>
      <c r="J2" s="607"/>
      <c r="K2" s="607"/>
      <c r="L2" s="607"/>
      <c r="M2" s="607"/>
      <c r="N2" s="607"/>
      <c r="O2" s="607"/>
      <c r="P2" s="607"/>
      <c r="Q2" s="607"/>
      <c r="R2" s="607"/>
      <c r="S2" s="607"/>
      <c r="T2" s="60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"/>
      <c r="AF2" s="1"/>
      <c r="AV2" s="1"/>
    </row>
    <row r="3" spans="1:48" s="2" customFormat="1" ht="24.75" customHeight="1">
      <c r="A3" s="607" t="s">
        <v>93</v>
      </c>
      <c r="B3" s="607"/>
      <c r="C3" s="607"/>
      <c r="D3" s="607"/>
      <c r="E3" s="607"/>
      <c r="F3" s="607"/>
      <c r="G3" s="607"/>
      <c r="H3" s="607"/>
      <c r="I3" s="607"/>
      <c r="J3" s="607"/>
      <c r="K3" s="607"/>
      <c r="L3" s="607"/>
      <c r="M3" s="607"/>
      <c r="N3" s="607"/>
      <c r="O3" s="607"/>
      <c r="P3" s="607"/>
      <c r="Q3" s="607"/>
      <c r="R3" s="607"/>
      <c r="S3" s="607"/>
      <c r="T3" s="60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3"/>
      <c r="AF3" s="3"/>
      <c r="AV3" s="3"/>
    </row>
    <row r="4" spans="1:48" s="2" customFormat="1" ht="19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606" t="s">
        <v>7</v>
      </c>
      <c r="AB4" s="606"/>
      <c r="AC4" s="606"/>
      <c r="AD4" s="606"/>
    </row>
    <row r="5" spans="1:48" ht="58.5">
      <c r="A5" s="5" t="s">
        <v>0</v>
      </c>
      <c r="B5" s="5"/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144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30</v>
      </c>
      <c r="N5" s="133" t="s">
        <v>83</v>
      </c>
      <c r="O5" s="133" t="s">
        <v>86</v>
      </c>
      <c r="P5" s="133" t="s">
        <v>84</v>
      </c>
      <c r="Q5" s="8" t="s">
        <v>85</v>
      </c>
      <c r="R5" s="133" t="s">
        <v>87</v>
      </c>
      <c r="S5" s="6" t="s">
        <v>88</v>
      </c>
      <c r="T5" s="8" t="s">
        <v>6</v>
      </c>
    </row>
    <row r="6" spans="1:48" ht="19.5">
      <c r="A6" s="10" t="s">
        <v>35</v>
      </c>
      <c r="B6" s="11"/>
      <c r="C6" s="12"/>
      <c r="D6" s="114"/>
      <c r="E6" s="114"/>
      <c r="F6" s="114"/>
      <c r="G6" s="114"/>
      <c r="H6" s="114"/>
      <c r="I6" s="114"/>
      <c r="J6" s="114"/>
      <c r="K6" s="114"/>
      <c r="L6" s="114"/>
      <c r="M6" s="12"/>
      <c r="N6" s="12"/>
      <c r="O6" s="12"/>
      <c r="P6" s="13"/>
      <c r="Q6" s="14"/>
      <c r="R6" s="14"/>
      <c r="S6" s="14"/>
      <c r="T6" s="14"/>
    </row>
    <row r="7" spans="1:48" ht="19.5">
      <c r="A7" s="16" t="s">
        <v>36</v>
      </c>
      <c r="B7" s="17">
        <v>0.2153846153846154</v>
      </c>
      <c r="C7" s="6"/>
      <c r="D7" s="115"/>
      <c r="E7" s="115"/>
      <c r="F7" s="115"/>
      <c r="G7" s="115"/>
      <c r="H7" s="115"/>
      <c r="I7" s="115"/>
      <c r="J7" s="115"/>
      <c r="K7" s="115"/>
      <c r="L7" s="115"/>
      <c r="M7" s="18"/>
      <c r="N7" s="18">
        <v>15410.66</v>
      </c>
      <c r="O7" s="18">
        <v>104764930740</v>
      </c>
      <c r="P7" s="18">
        <f t="shared" ref="P7:P12" si="0">N7/$N$29*88633.617</f>
        <v>9773.216199470522</v>
      </c>
      <c r="Q7" s="18">
        <v>4800000</v>
      </c>
      <c r="R7" s="19">
        <f t="shared" ref="R7:R12" si="1">P7*Q7</f>
        <v>46911437757.458504</v>
      </c>
      <c r="S7" s="19">
        <v>0</v>
      </c>
      <c r="T7" s="19">
        <f t="shared" ref="T7:T12" si="2">O7+R7-S7</f>
        <v>151676368497.4585</v>
      </c>
    </row>
    <row r="8" spans="1:48" ht="19.5">
      <c r="A8" s="16" t="s">
        <v>37</v>
      </c>
      <c r="B8" s="17">
        <v>0.12769230769230769</v>
      </c>
      <c r="C8" s="6"/>
      <c r="D8" s="115"/>
      <c r="E8" s="115"/>
      <c r="F8" s="115"/>
      <c r="G8" s="115"/>
      <c r="H8" s="115"/>
      <c r="I8" s="115"/>
      <c r="J8" s="115"/>
      <c r="K8" s="115"/>
      <c r="L8" s="115"/>
      <c r="M8" s="18"/>
      <c r="N8" s="18">
        <v>204.72</v>
      </c>
      <c r="O8" s="18">
        <v>1592674140</v>
      </c>
      <c r="P8" s="18">
        <f t="shared" si="0"/>
        <v>129.83044336554082</v>
      </c>
      <c r="Q8" s="18">
        <v>4800000</v>
      </c>
      <c r="R8" s="19">
        <f t="shared" si="1"/>
        <v>623186128.15459597</v>
      </c>
      <c r="S8" s="19">
        <v>0</v>
      </c>
      <c r="T8" s="19">
        <f t="shared" si="2"/>
        <v>2215860268.1545959</v>
      </c>
      <c r="V8" s="15">
        <v>496475.53270739998</v>
      </c>
    </row>
    <row r="9" spans="1:48" ht="19.5">
      <c r="A9" s="16" t="s">
        <v>38</v>
      </c>
      <c r="B9" s="17">
        <v>1.5384615384615385E-2</v>
      </c>
      <c r="C9" s="6"/>
      <c r="D9" s="115"/>
      <c r="E9" s="115"/>
      <c r="F9" s="115"/>
      <c r="G9" s="115"/>
      <c r="H9" s="115"/>
      <c r="I9" s="115"/>
      <c r="J9" s="115"/>
      <c r="K9" s="115"/>
      <c r="L9" s="115"/>
      <c r="M9" s="18"/>
      <c r="N9" s="18">
        <v>7081.12</v>
      </c>
      <c r="O9" s="18">
        <v>86138262200</v>
      </c>
      <c r="P9" s="18">
        <f t="shared" si="0"/>
        <v>4490.7432059622824</v>
      </c>
      <c r="Q9" s="18">
        <v>7500000</v>
      </c>
      <c r="R9" s="19">
        <f t="shared" si="1"/>
        <v>33680574044.717117</v>
      </c>
      <c r="S9" s="53">
        <v>0</v>
      </c>
      <c r="T9" s="19">
        <f t="shared" si="2"/>
        <v>119818836244.71712</v>
      </c>
    </row>
    <row r="10" spans="1:48" ht="19.5">
      <c r="A10" s="16" t="s">
        <v>18</v>
      </c>
      <c r="B10" s="17">
        <v>3.0769230769230769E-3</v>
      </c>
      <c r="C10" s="6"/>
      <c r="D10" s="115"/>
      <c r="E10" s="115"/>
      <c r="F10" s="115"/>
      <c r="G10" s="115"/>
      <c r="H10" s="115"/>
      <c r="I10" s="115"/>
      <c r="J10" s="115"/>
      <c r="K10" s="115"/>
      <c r="L10" s="115"/>
      <c r="M10" s="18"/>
      <c r="N10" s="18">
        <v>0</v>
      </c>
      <c r="O10" s="18">
        <v>0</v>
      </c>
      <c r="P10" s="18">
        <f t="shared" si="0"/>
        <v>0</v>
      </c>
      <c r="Q10" s="18">
        <f>Q8*0.9</f>
        <v>4320000</v>
      </c>
      <c r="R10" s="19">
        <f t="shared" si="1"/>
        <v>0</v>
      </c>
      <c r="S10" s="53">
        <v>0</v>
      </c>
      <c r="T10" s="19">
        <f t="shared" si="2"/>
        <v>0</v>
      </c>
    </row>
    <row r="11" spans="1:48" ht="19.5">
      <c r="A11" s="21" t="s">
        <v>39</v>
      </c>
      <c r="B11" s="17">
        <v>0.63076923076923075</v>
      </c>
      <c r="C11" s="6"/>
      <c r="D11" s="115"/>
      <c r="E11" s="115"/>
      <c r="F11" s="115"/>
      <c r="G11" s="115"/>
      <c r="H11" s="115"/>
      <c r="I11" s="115"/>
      <c r="J11" s="115"/>
      <c r="K11" s="115"/>
      <c r="L11" s="115"/>
      <c r="M11" s="18"/>
      <c r="N11" s="18">
        <v>49973.68</v>
      </c>
      <c r="O11" s="18">
        <v>365372313160</v>
      </c>
      <c r="P11" s="18">
        <f t="shared" si="0"/>
        <v>31692.580260881496</v>
      </c>
      <c r="Q11" s="18">
        <v>4800000</v>
      </c>
      <c r="R11" s="19">
        <f t="shared" si="1"/>
        <v>152124385252.23117</v>
      </c>
      <c r="S11" s="19">
        <v>0</v>
      </c>
      <c r="T11" s="19">
        <f t="shared" si="2"/>
        <v>517496698412.2312</v>
      </c>
    </row>
    <row r="12" spans="1:48" ht="20.25" thickBot="1">
      <c r="A12" s="22" t="s">
        <v>40</v>
      </c>
      <c r="B12" s="23">
        <v>7.6923076923076927E-3</v>
      </c>
      <c r="C12" s="6"/>
      <c r="D12" s="116"/>
      <c r="E12" s="116"/>
      <c r="F12" s="116"/>
      <c r="G12" s="116"/>
      <c r="H12" s="116"/>
      <c r="I12" s="116"/>
      <c r="J12" s="116"/>
      <c r="K12" s="116"/>
      <c r="L12" s="116"/>
      <c r="M12" s="24"/>
      <c r="N12" s="24">
        <v>0</v>
      </c>
      <c r="O12" s="24">
        <v>0</v>
      </c>
      <c r="P12" s="18">
        <f t="shared" si="0"/>
        <v>0</v>
      </c>
      <c r="Q12" s="18">
        <v>4980000</v>
      </c>
      <c r="R12" s="19">
        <f t="shared" si="1"/>
        <v>0</v>
      </c>
      <c r="S12" s="19">
        <v>0</v>
      </c>
      <c r="T12" s="19">
        <f t="shared" si="2"/>
        <v>0</v>
      </c>
    </row>
    <row r="13" spans="1:48" ht="20.25" thickBot="1">
      <c r="A13" s="25" t="s">
        <v>41</v>
      </c>
      <c r="B13" s="26">
        <v>1</v>
      </c>
      <c r="C13" s="27">
        <f>SUM(C7:C12)</f>
        <v>0</v>
      </c>
      <c r="D13" s="117">
        <f t="shared" ref="D13:T13" si="3">SUM(D7:D12)</f>
        <v>0</v>
      </c>
      <c r="E13" s="117">
        <f t="shared" si="3"/>
        <v>0</v>
      </c>
      <c r="F13" s="117">
        <f t="shared" si="3"/>
        <v>0</v>
      </c>
      <c r="G13" s="117">
        <f t="shared" si="3"/>
        <v>0</v>
      </c>
      <c r="H13" s="117">
        <f t="shared" si="3"/>
        <v>0</v>
      </c>
      <c r="I13" s="117">
        <f t="shared" si="3"/>
        <v>0</v>
      </c>
      <c r="J13" s="117">
        <f t="shared" si="3"/>
        <v>0</v>
      </c>
      <c r="K13" s="117">
        <f t="shared" si="3"/>
        <v>0</v>
      </c>
      <c r="L13" s="117">
        <f t="shared" si="3"/>
        <v>0</v>
      </c>
      <c r="M13" s="27">
        <f t="shared" si="3"/>
        <v>0</v>
      </c>
      <c r="N13" s="27">
        <f t="shared" si="3"/>
        <v>72670.179999999993</v>
      </c>
      <c r="O13" s="27">
        <f t="shared" si="3"/>
        <v>557868180240</v>
      </c>
      <c r="P13" s="27">
        <f t="shared" si="3"/>
        <v>46086.37010967984</v>
      </c>
      <c r="Q13" s="27">
        <f t="shared" si="3"/>
        <v>31200000</v>
      </c>
      <c r="R13" s="27">
        <f t="shared" si="3"/>
        <v>233339583182.5614</v>
      </c>
      <c r="S13" s="27">
        <f t="shared" si="3"/>
        <v>0</v>
      </c>
      <c r="T13" s="27">
        <f t="shared" si="3"/>
        <v>791207763422.5614</v>
      </c>
      <c r="U13" s="132">
        <f>P13+N13</f>
        <v>118756.55010967984</v>
      </c>
      <c r="V13" s="141">
        <f>U13/U15</f>
        <v>0.5199649034934436</v>
      </c>
      <c r="W13" s="15">
        <f>U13*4800000</f>
        <v>570031440526.46326</v>
      </c>
    </row>
    <row r="14" spans="1:48" ht="19.5">
      <c r="A14" s="31" t="s">
        <v>42</v>
      </c>
      <c r="B14" s="31"/>
      <c r="C14" s="32"/>
      <c r="D14" s="118"/>
      <c r="E14" s="118"/>
      <c r="F14" s="118"/>
      <c r="G14" s="118"/>
      <c r="H14" s="118"/>
      <c r="I14" s="118"/>
      <c r="J14" s="118"/>
      <c r="K14" s="118"/>
      <c r="L14" s="118"/>
      <c r="M14" s="32"/>
      <c r="N14" s="32"/>
      <c r="O14" s="32"/>
      <c r="P14" s="33"/>
      <c r="Q14" s="34"/>
      <c r="R14" s="34"/>
      <c r="S14" s="34"/>
      <c r="T14" s="34"/>
      <c r="U14" s="132">
        <f>P28+N28</f>
        <v>109636.84589032017</v>
      </c>
      <c r="V14" s="142">
        <f>U14/U15</f>
        <v>0.48003509650655646</v>
      </c>
      <c r="W14" s="15">
        <f>U14*Q15</f>
        <v>499800392991.74365</v>
      </c>
    </row>
    <row r="15" spans="1:48" ht="19.5">
      <c r="A15" s="16" t="s">
        <v>12</v>
      </c>
      <c r="B15" s="35">
        <v>0.41666666666666669</v>
      </c>
      <c r="C15" s="36"/>
      <c r="D15" s="115"/>
      <c r="E15" s="115"/>
      <c r="F15" s="115"/>
      <c r="G15" s="115"/>
      <c r="H15" s="115"/>
      <c r="I15" s="115"/>
      <c r="J15" s="115"/>
      <c r="K15" s="115"/>
      <c r="L15" s="115"/>
      <c r="M15" s="18"/>
      <c r="N15" s="18">
        <v>27290.7</v>
      </c>
      <c r="O15" s="18">
        <v>141285981734</v>
      </c>
      <c r="P15" s="18">
        <f>N15/$N$29*88633.617</f>
        <v>17307.364599237811</v>
      </c>
      <c r="Q15" s="19">
        <v>4558690</v>
      </c>
      <c r="R15" s="19">
        <f>P15*Q15</f>
        <v>78898909924.899414</v>
      </c>
      <c r="S15" s="19">
        <v>0</v>
      </c>
      <c r="T15" s="19">
        <f>O15+R15-S15</f>
        <v>220184891658.89941</v>
      </c>
      <c r="U15" s="132">
        <f>U13+U14</f>
        <v>228393.39600000001</v>
      </c>
      <c r="W15" s="15">
        <f>W13+W14</f>
        <v>1069831833518.2069</v>
      </c>
    </row>
    <row r="16" spans="1:48" ht="19.5">
      <c r="A16" s="16" t="s">
        <v>43</v>
      </c>
      <c r="B16" s="35">
        <v>0.10555555555555556</v>
      </c>
      <c r="C16" s="36"/>
      <c r="D16" s="115"/>
      <c r="E16" s="115"/>
      <c r="F16" s="115"/>
      <c r="G16" s="115"/>
      <c r="H16" s="115"/>
      <c r="I16" s="115"/>
      <c r="J16" s="115"/>
      <c r="K16" s="115"/>
      <c r="L16" s="115"/>
      <c r="M16" s="18"/>
      <c r="N16" s="18">
        <v>3562.9630000000002</v>
      </c>
      <c r="O16" s="18">
        <v>23236349722</v>
      </c>
      <c r="P16" s="18">
        <f t="shared" ref="P16:P27" si="4">N16/$N$29*88633.617</f>
        <v>2259.5792594031727</v>
      </c>
      <c r="Q16" s="19">
        <v>5075000</v>
      </c>
      <c r="R16" s="19">
        <f t="shared" ref="R16:R27" si="5">P16*Q16</f>
        <v>11467364741.471102</v>
      </c>
      <c r="S16" s="19">
        <v>0</v>
      </c>
      <c r="T16" s="19">
        <f t="shared" ref="T16:T27" si="6">O16+R16-S16</f>
        <v>34703714463.4711</v>
      </c>
    </row>
    <row r="17" spans="1:23" ht="19.5">
      <c r="A17" s="16" t="s">
        <v>44</v>
      </c>
      <c r="B17" s="35">
        <v>6.6666666666666666E-2</v>
      </c>
      <c r="C17" s="36"/>
      <c r="D17" s="115"/>
      <c r="E17" s="115"/>
      <c r="F17" s="115"/>
      <c r="G17" s="115"/>
      <c r="H17" s="115"/>
      <c r="I17" s="115"/>
      <c r="J17" s="115"/>
      <c r="K17" s="115"/>
      <c r="L17" s="115"/>
      <c r="M17" s="18"/>
      <c r="N17" s="18">
        <v>15959.797</v>
      </c>
      <c r="O17" s="18">
        <v>115086934636</v>
      </c>
      <c r="P17" s="18">
        <f t="shared" si="4"/>
        <v>10121.470889673839</v>
      </c>
      <c r="Q17" s="19">
        <v>6007810</v>
      </c>
      <c r="R17" s="19">
        <f t="shared" si="5"/>
        <v>60807874025.691391</v>
      </c>
      <c r="S17" s="19">
        <v>0</v>
      </c>
      <c r="T17" s="19">
        <f t="shared" si="6"/>
        <v>175894808661.69141</v>
      </c>
      <c r="W17" s="15">
        <f>W15/U15</f>
        <v>4684162.7308620028</v>
      </c>
    </row>
    <row r="18" spans="1:23" ht="19.5">
      <c r="A18" s="16" t="s">
        <v>45</v>
      </c>
      <c r="B18" s="35">
        <v>0.16666666666666666</v>
      </c>
      <c r="C18" s="36"/>
      <c r="D18" s="115"/>
      <c r="E18" s="115"/>
      <c r="F18" s="115"/>
      <c r="G18" s="115"/>
      <c r="H18" s="115"/>
      <c r="I18" s="115"/>
      <c r="J18" s="115"/>
      <c r="K18" s="115"/>
      <c r="L18" s="115"/>
      <c r="M18" s="18"/>
      <c r="N18" s="18">
        <v>8870.2950000000001</v>
      </c>
      <c r="O18" s="18">
        <v>76385742133</v>
      </c>
      <c r="P18" s="18">
        <f t="shared" si="4"/>
        <v>5625.4119413498438</v>
      </c>
      <c r="Q18" s="19">
        <v>6732370</v>
      </c>
      <c r="R18" s="19">
        <f t="shared" si="5"/>
        <v>37872354591.585449</v>
      </c>
      <c r="S18" s="19">
        <v>0</v>
      </c>
      <c r="T18" s="19">
        <f t="shared" si="6"/>
        <v>114258096724.58545</v>
      </c>
    </row>
    <row r="19" spans="1:23" ht="19.5">
      <c r="A19" s="16" t="s">
        <v>14</v>
      </c>
      <c r="B19" s="35">
        <v>0.13333333333333333</v>
      </c>
      <c r="C19" s="36"/>
      <c r="D19" s="115"/>
      <c r="E19" s="115"/>
      <c r="F19" s="115"/>
      <c r="G19" s="115"/>
      <c r="H19" s="115"/>
      <c r="I19" s="115"/>
      <c r="J19" s="115"/>
      <c r="K19" s="115"/>
      <c r="L19" s="115"/>
      <c r="M19" s="18"/>
      <c r="N19" s="18">
        <v>10658.1</v>
      </c>
      <c r="O19" s="18">
        <v>57949216661</v>
      </c>
      <c r="P19" s="18">
        <f t="shared" si="4"/>
        <v>6759.2118426840107</v>
      </c>
      <c r="Q19" s="19">
        <v>4558690</v>
      </c>
      <c r="R19" s="19">
        <f t="shared" si="5"/>
        <v>30813151435.125172</v>
      </c>
      <c r="S19" s="19">
        <v>0</v>
      </c>
      <c r="T19" s="19">
        <f t="shared" si="6"/>
        <v>88762368096.125168</v>
      </c>
      <c r="U19" s="15">
        <f>N13+P13</f>
        <v>118756.55010967984</v>
      </c>
      <c r="V19" s="15">
        <v>621662</v>
      </c>
      <c r="W19" s="132">
        <f>U19+V19</f>
        <v>740418.55010967981</v>
      </c>
    </row>
    <row r="20" spans="1:23" ht="19.5">
      <c r="A20" s="16" t="s">
        <v>46</v>
      </c>
      <c r="B20" s="35">
        <v>5.5555555555555558E-3</v>
      </c>
      <c r="C20" s="36"/>
      <c r="D20" s="115"/>
      <c r="E20" s="115"/>
      <c r="F20" s="115"/>
      <c r="G20" s="115"/>
      <c r="H20" s="115"/>
      <c r="I20" s="115"/>
      <c r="J20" s="115"/>
      <c r="K20" s="115"/>
      <c r="L20" s="115"/>
      <c r="M20" s="18"/>
      <c r="N20" s="18">
        <v>0</v>
      </c>
      <c r="O20" s="18">
        <v>0</v>
      </c>
      <c r="P20" s="18">
        <f t="shared" si="4"/>
        <v>0</v>
      </c>
      <c r="Q20" s="19">
        <v>5075000</v>
      </c>
      <c r="R20" s="19">
        <f t="shared" si="5"/>
        <v>0</v>
      </c>
      <c r="S20" s="19">
        <v>0</v>
      </c>
      <c r="T20" s="19">
        <f t="shared" si="6"/>
        <v>0</v>
      </c>
      <c r="U20" s="15">
        <f>N28+P28</f>
        <v>109636.84589032017</v>
      </c>
      <c r="V20" s="15">
        <v>699945</v>
      </c>
      <c r="W20" s="132">
        <f>U20+V20</f>
        <v>809581.84589032014</v>
      </c>
    </row>
    <row r="21" spans="1:23" ht="19.5">
      <c r="A21" s="16" t="s">
        <v>47</v>
      </c>
      <c r="B21" s="35">
        <v>1.6666666666666666E-2</v>
      </c>
      <c r="C21" s="36"/>
      <c r="D21" s="115"/>
      <c r="E21" s="115"/>
      <c r="F21" s="115"/>
      <c r="G21" s="115"/>
      <c r="H21" s="115"/>
      <c r="I21" s="115"/>
      <c r="J21" s="115"/>
      <c r="K21" s="115"/>
      <c r="L21" s="115"/>
      <c r="M21" s="18"/>
      <c r="N21" s="18">
        <v>747.74400000000003</v>
      </c>
      <c r="O21" s="18">
        <v>5435826047</v>
      </c>
      <c r="P21" s="18">
        <f t="shared" si="4"/>
        <v>474.20835797148766</v>
      </c>
      <c r="Q21" s="19">
        <v>6007810</v>
      </c>
      <c r="R21" s="19">
        <f t="shared" si="5"/>
        <v>2848953715.1046834</v>
      </c>
      <c r="S21" s="19">
        <v>0</v>
      </c>
      <c r="T21" s="19">
        <f t="shared" si="6"/>
        <v>8284779762.1046829</v>
      </c>
    </row>
    <row r="22" spans="1:23" ht="19.5">
      <c r="A22" s="16" t="s">
        <v>48</v>
      </c>
      <c r="B22" s="35">
        <v>2.7777777777777776E-2</v>
      </c>
      <c r="C22" s="36"/>
      <c r="D22" s="115"/>
      <c r="E22" s="115"/>
      <c r="F22" s="115"/>
      <c r="G22" s="115"/>
      <c r="H22" s="115"/>
      <c r="I22" s="115"/>
      <c r="J22" s="115"/>
      <c r="K22" s="115"/>
      <c r="L22" s="115"/>
      <c r="M22" s="18"/>
      <c r="N22" s="18">
        <v>0</v>
      </c>
      <c r="O22" s="18">
        <v>0</v>
      </c>
      <c r="P22" s="18">
        <f t="shared" si="4"/>
        <v>0</v>
      </c>
      <c r="Q22" s="19">
        <v>6732370</v>
      </c>
      <c r="R22" s="19">
        <f t="shared" si="5"/>
        <v>0</v>
      </c>
      <c r="S22" s="19">
        <v>0</v>
      </c>
      <c r="T22" s="19">
        <f t="shared" si="6"/>
        <v>0</v>
      </c>
    </row>
    <row r="23" spans="1:23" ht="19.5">
      <c r="A23" s="16" t="s">
        <v>38</v>
      </c>
      <c r="B23" s="35">
        <v>0</v>
      </c>
      <c r="C23" s="36"/>
      <c r="D23" s="115"/>
      <c r="E23" s="115"/>
      <c r="F23" s="115"/>
      <c r="G23" s="115"/>
      <c r="H23" s="115"/>
      <c r="I23" s="115"/>
      <c r="J23" s="115"/>
      <c r="K23" s="115"/>
      <c r="L23" s="115"/>
      <c r="M23" s="18"/>
      <c r="N23" s="18">
        <v>0</v>
      </c>
      <c r="O23" s="18">
        <v>0</v>
      </c>
      <c r="P23" s="18">
        <f t="shared" si="4"/>
        <v>0</v>
      </c>
      <c r="Q23" s="19">
        <v>0</v>
      </c>
      <c r="R23" s="19">
        <f t="shared" si="5"/>
        <v>0</v>
      </c>
      <c r="S23" s="19">
        <v>0</v>
      </c>
      <c r="T23" s="19">
        <f t="shared" si="6"/>
        <v>0</v>
      </c>
      <c r="U23">
        <v>5516395</v>
      </c>
      <c r="V23">
        <f>T13/1000000</f>
        <v>791207.76342256134</v>
      </c>
      <c r="W23" s="15">
        <f>U23+V23</f>
        <v>6307602.7634225618</v>
      </c>
    </row>
    <row r="24" spans="1:23" ht="19.5">
      <c r="A24" s="37" t="s">
        <v>49</v>
      </c>
      <c r="B24" s="35">
        <v>2.2222222222222223E-2</v>
      </c>
      <c r="C24" s="36"/>
      <c r="D24" s="119"/>
      <c r="E24" s="119"/>
      <c r="F24" s="119"/>
      <c r="G24" s="119"/>
      <c r="H24" s="119"/>
      <c r="I24" s="119"/>
      <c r="J24" s="119"/>
      <c r="K24" s="119"/>
      <c r="L24" s="119"/>
      <c r="M24" s="38"/>
      <c r="N24" s="38">
        <v>0</v>
      </c>
      <c r="O24" s="38">
        <v>0</v>
      </c>
      <c r="P24" s="18">
        <f t="shared" si="4"/>
        <v>0</v>
      </c>
      <c r="Q24" s="39">
        <v>4679450</v>
      </c>
      <c r="R24" s="19">
        <f t="shared" si="5"/>
        <v>0</v>
      </c>
      <c r="S24" s="19">
        <v>0</v>
      </c>
      <c r="T24" s="19">
        <f t="shared" si="6"/>
        <v>0</v>
      </c>
      <c r="U24">
        <v>6297491</v>
      </c>
      <c r="V24">
        <f>T28/1000000</f>
        <v>642088.65936687717</v>
      </c>
      <c r="W24" s="15">
        <f>U24+V24+1</f>
        <v>6939580.6593668768</v>
      </c>
    </row>
    <row r="25" spans="1:23" ht="19.5">
      <c r="A25" s="37" t="s">
        <v>50</v>
      </c>
      <c r="B25" s="35">
        <v>1.1111111111111112E-2</v>
      </c>
      <c r="C25" s="36"/>
      <c r="D25" s="119"/>
      <c r="E25" s="119"/>
      <c r="F25" s="119"/>
      <c r="G25" s="119"/>
      <c r="H25" s="119"/>
      <c r="I25" s="119"/>
      <c r="J25" s="119"/>
      <c r="K25" s="119"/>
      <c r="L25" s="119"/>
      <c r="M25" s="38"/>
      <c r="N25" s="38">
        <v>0</v>
      </c>
      <c r="O25" s="38">
        <v>0</v>
      </c>
      <c r="P25" s="18">
        <f t="shared" si="4"/>
        <v>0</v>
      </c>
      <c r="Q25" s="39">
        <v>6853130</v>
      </c>
      <c r="R25" s="19">
        <f t="shared" si="5"/>
        <v>0</v>
      </c>
      <c r="S25" s="19">
        <v>0</v>
      </c>
      <c r="T25" s="19">
        <f t="shared" si="6"/>
        <v>0</v>
      </c>
    </row>
    <row r="26" spans="1:23" ht="19.5">
      <c r="A26" s="37" t="s">
        <v>51</v>
      </c>
      <c r="B26" s="35">
        <v>2.2222222222222223E-2</v>
      </c>
      <c r="C26" s="36"/>
      <c r="D26" s="119"/>
      <c r="E26" s="119"/>
      <c r="F26" s="119"/>
      <c r="G26" s="119"/>
      <c r="H26" s="119"/>
      <c r="I26" s="119"/>
      <c r="J26" s="119"/>
      <c r="K26" s="119"/>
      <c r="L26" s="119"/>
      <c r="M26" s="38"/>
      <c r="N26" s="38">
        <v>0</v>
      </c>
      <c r="O26" s="38">
        <v>0</v>
      </c>
      <c r="P26" s="18">
        <f t="shared" si="4"/>
        <v>0</v>
      </c>
      <c r="Q26" s="39">
        <v>5250000</v>
      </c>
      <c r="R26" s="19">
        <f t="shared" si="5"/>
        <v>0</v>
      </c>
      <c r="S26" s="19">
        <v>0</v>
      </c>
      <c r="T26" s="19">
        <f t="shared" si="6"/>
        <v>0</v>
      </c>
    </row>
    <row r="27" spans="1:23" ht="19.5">
      <c r="A27" s="21" t="s">
        <v>40</v>
      </c>
      <c r="B27" s="35">
        <v>5.5555555555555558E-3</v>
      </c>
      <c r="C27" s="36"/>
      <c r="D27" s="115"/>
      <c r="E27" s="115"/>
      <c r="F27" s="115"/>
      <c r="G27" s="115"/>
      <c r="H27" s="115"/>
      <c r="I27" s="115"/>
      <c r="J27" s="115"/>
      <c r="K27" s="115"/>
      <c r="L27" s="115"/>
      <c r="M27" s="18"/>
      <c r="N27" s="18">
        <v>0</v>
      </c>
      <c r="O27" s="18">
        <v>0</v>
      </c>
      <c r="P27" s="18">
        <f t="shared" si="4"/>
        <v>0</v>
      </c>
      <c r="Q27" s="19">
        <v>10685528.673835125</v>
      </c>
      <c r="R27" s="19">
        <f t="shared" si="5"/>
        <v>0</v>
      </c>
      <c r="S27" s="19">
        <v>0</v>
      </c>
      <c r="T27" s="19">
        <f t="shared" si="6"/>
        <v>0</v>
      </c>
    </row>
    <row r="28" spans="1:23" ht="20.25" thickBot="1">
      <c r="A28" s="40" t="s">
        <v>52</v>
      </c>
      <c r="B28" s="41">
        <v>1</v>
      </c>
      <c r="C28" s="42">
        <f>SUM(C15:C27)</f>
        <v>0</v>
      </c>
      <c r="D28" s="120">
        <f t="shared" ref="D28:N28" si="7">SUM(D15:D27)</f>
        <v>0</v>
      </c>
      <c r="E28" s="120">
        <f t="shared" si="7"/>
        <v>0</v>
      </c>
      <c r="F28" s="120">
        <f t="shared" si="7"/>
        <v>0</v>
      </c>
      <c r="G28" s="120">
        <f t="shared" si="7"/>
        <v>0</v>
      </c>
      <c r="H28" s="120">
        <f t="shared" si="7"/>
        <v>0</v>
      </c>
      <c r="I28" s="120">
        <f t="shared" si="7"/>
        <v>0</v>
      </c>
      <c r="J28" s="120">
        <f t="shared" si="7"/>
        <v>0</v>
      </c>
      <c r="K28" s="120">
        <f t="shared" si="7"/>
        <v>0</v>
      </c>
      <c r="L28" s="120">
        <f t="shared" si="7"/>
        <v>0</v>
      </c>
      <c r="M28" s="42">
        <f t="shared" si="7"/>
        <v>0</v>
      </c>
      <c r="N28" s="42">
        <f t="shared" si="7"/>
        <v>67089.599000000002</v>
      </c>
      <c r="O28" s="42">
        <f t="shared" ref="O28:T28" si="8">SUM(O15:O27)</f>
        <v>419380050933</v>
      </c>
      <c r="P28" s="42">
        <f t="shared" si="8"/>
        <v>42547.246890320166</v>
      </c>
      <c r="Q28" s="42">
        <f t="shared" si="8"/>
        <v>72215848.673835129</v>
      </c>
      <c r="R28" s="42">
        <f t="shared" si="8"/>
        <v>222708608433.8772</v>
      </c>
      <c r="S28" s="42">
        <f t="shared" si="8"/>
        <v>0</v>
      </c>
      <c r="T28" s="42">
        <f t="shared" si="8"/>
        <v>642088659366.8772</v>
      </c>
    </row>
    <row r="29" spans="1:23" ht="21.75" thickBot="1">
      <c r="A29" s="608" t="s">
        <v>8</v>
      </c>
      <c r="B29" s="609"/>
      <c r="C29" s="45">
        <f>C28+C13</f>
        <v>0</v>
      </c>
      <c r="D29" s="121">
        <f t="shared" ref="D29:N29" si="9">D28+D13</f>
        <v>0</v>
      </c>
      <c r="E29" s="121">
        <f t="shared" si="9"/>
        <v>0</v>
      </c>
      <c r="F29" s="121">
        <f t="shared" si="9"/>
        <v>0</v>
      </c>
      <c r="G29" s="121">
        <f t="shared" si="9"/>
        <v>0</v>
      </c>
      <c r="H29" s="121">
        <f t="shared" si="9"/>
        <v>0</v>
      </c>
      <c r="I29" s="121">
        <f t="shared" si="9"/>
        <v>0</v>
      </c>
      <c r="J29" s="121">
        <f t="shared" si="9"/>
        <v>0</v>
      </c>
      <c r="K29" s="121">
        <f t="shared" si="9"/>
        <v>0</v>
      </c>
      <c r="L29" s="121">
        <f t="shared" si="9"/>
        <v>0</v>
      </c>
      <c r="M29" s="45">
        <f t="shared" si="9"/>
        <v>0</v>
      </c>
      <c r="N29" s="45">
        <f t="shared" si="9"/>
        <v>139759.77899999998</v>
      </c>
      <c r="O29" s="45">
        <f t="shared" ref="O29:T29" si="10">O28+O13</f>
        <v>977248231173</v>
      </c>
      <c r="P29" s="45">
        <f t="shared" si="10"/>
        <v>88633.616999999998</v>
      </c>
      <c r="Q29" s="45">
        <f t="shared" si="10"/>
        <v>103415848.67383513</v>
      </c>
      <c r="R29" s="45">
        <f t="shared" si="10"/>
        <v>456048191616.4386</v>
      </c>
      <c r="S29" s="45">
        <f t="shared" si="10"/>
        <v>0</v>
      </c>
      <c r="T29" s="45">
        <f t="shared" si="10"/>
        <v>1433296422789.4385</v>
      </c>
    </row>
    <row r="32" spans="1:23" s="48" customFormat="1" ht="18.75"/>
    <row r="33" spans="1:20" s="48" customFormat="1" ht="18.75"/>
    <row r="34" spans="1:20" s="48" customFormat="1" ht="21">
      <c r="A34" s="50"/>
      <c r="B34" s="50"/>
      <c r="C34" s="605" t="s">
        <v>70</v>
      </c>
      <c r="D34" s="605"/>
      <c r="E34" s="605" t="s">
        <v>71</v>
      </c>
      <c r="F34" s="605"/>
      <c r="G34" s="605" t="s">
        <v>72</v>
      </c>
      <c r="H34" s="605"/>
      <c r="I34" s="605" t="s">
        <v>73</v>
      </c>
      <c r="J34" s="605"/>
    </row>
    <row r="35" spans="1:20" s="48" customFormat="1" ht="23.25" customHeight="1">
      <c r="A35" s="50"/>
      <c r="B35" s="50"/>
      <c r="C35" s="54" t="s">
        <v>5</v>
      </c>
      <c r="D35" s="54" t="s">
        <v>6</v>
      </c>
      <c r="E35" s="54" t="s">
        <v>5</v>
      </c>
      <c r="F35" s="54" t="s">
        <v>6</v>
      </c>
      <c r="G35" s="54" t="s">
        <v>5</v>
      </c>
      <c r="H35" s="54" t="s">
        <v>6</v>
      </c>
      <c r="I35" s="54" t="s">
        <v>5</v>
      </c>
      <c r="J35" s="54" t="s">
        <v>6</v>
      </c>
    </row>
    <row r="36" spans="1:20" s="49" customFormat="1" ht="24.75" customHeight="1">
      <c r="A36" t="s">
        <v>12</v>
      </c>
      <c r="B36" s="52"/>
      <c r="C36" s="122"/>
      <c r="D36" s="122"/>
      <c r="E36" s="122"/>
      <c r="F36" s="122"/>
      <c r="G36" s="122"/>
      <c r="H36" s="122"/>
      <c r="I36" s="52">
        <f>N7+P7+N15+P15+N16+P16</f>
        <v>75604.483058111509</v>
      </c>
      <c r="J36" s="52">
        <f>T7+T15+T16</f>
        <v>406564974619.82898</v>
      </c>
      <c r="T36" s="51"/>
    </row>
    <row r="37" spans="1:20" s="49" customFormat="1" ht="18.75">
      <c r="A37" t="s">
        <v>13</v>
      </c>
      <c r="B37" s="52"/>
      <c r="C37" s="122"/>
      <c r="D37" s="122"/>
      <c r="E37" s="122"/>
      <c r="F37" s="122"/>
      <c r="G37" s="122"/>
      <c r="H37" s="122"/>
      <c r="I37" s="52">
        <f>N17+N18+P17+P18</f>
        <v>40576.974831023683</v>
      </c>
      <c r="J37" s="52">
        <f>T17+T18</f>
        <v>290152905386.27686</v>
      </c>
      <c r="T37" s="51"/>
    </row>
    <row r="38" spans="1:20" s="49" customFormat="1" ht="18.75">
      <c r="A38" t="s">
        <v>14</v>
      </c>
      <c r="B38" s="52"/>
      <c r="C38" s="122"/>
      <c r="D38" s="122"/>
      <c r="E38" s="122"/>
      <c r="F38" s="122"/>
      <c r="G38" s="122"/>
      <c r="H38" s="122"/>
      <c r="I38" s="52">
        <f>N8+P8+N19+P19+N20+P20</f>
        <v>17751.862286049552</v>
      </c>
      <c r="J38" s="52">
        <f>T8+T19+T20</f>
        <v>90978228364.27977</v>
      </c>
      <c r="T38" s="51"/>
    </row>
    <row r="39" spans="1:20" s="49" customFormat="1" ht="18.75">
      <c r="A39" t="s">
        <v>15</v>
      </c>
      <c r="B39" s="52"/>
      <c r="C39" s="122"/>
      <c r="D39" s="122"/>
      <c r="E39" s="122"/>
      <c r="F39" s="122"/>
      <c r="G39" s="122"/>
      <c r="H39" s="122"/>
      <c r="I39" s="52">
        <f>N21+P21+N22+P22</f>
        <v>1221.9523579714878</v>
      </c>
      <c r="J39" s="52">
        <f>T21+T22</f>
        <v>8284779762.1046829</v>
      </c>
      <c r="T39" s="51"/>
    </row>
    <row r="40" spans="1:20" s="49" customFormat="1" ht="18.75">
      <c r="A40" t="s">
        <v>16</v>
      </c>
      <c r="B40" s="52"/>
      <c r="C40" s="122"/>
      <c r="D40" s="122"/>
      <c r="E40" s="122"/>
      <c r="F40" s="122"/>
      <c r="G40" s="122"/>
      <c r="H40" s="122"/>
      <c r="I40" s="52">
        <f>N11+P11</f>
        <v>81666.260260881492</v>
      </c>
      <c r="J40" s="52">
        <f>T11</f>
        <v>517496698412.2312</v>
      </c>
      <c r="T40" s="51"/>
    </row>
    <row r="41" spans="1:20" s="49" customFormat="1" ht="18.75">
      <c r="A41" t="s">
        <v>17</v>
      </c>
      <c r="B41" s="52"/>
      <c r="C41" s="122"/>
      <c r="D41" s="122"/>
      <c r="E41" s="122"/>
      <c r="F41" s="122"/>
      <c r="G41" s="122"/>
      <c r="H41" s="122"/>
      <c r="I41" s="52">
        <f>N9+P9+N23+P23</f>
        <v>11571.863205962283</v>
      </c>
      <c r="J41" s="52">
        <f>T9+T23</f>
        <v>119818836244.71712</v>
      </c>
      <c r="T41" s="51"/>
    </row>
    <row r="42" spans="1:20" s="49" customFormat="1" ht="18.75">
      <c r="A42" t="s">
        <v>18</v>
      </c>
      <c r="B42" s="52"/>
      <c r="C42" s="122"/>
      <c r="D42" s="122"/>
      <c r="E42" s="122"/>
      <c r="F42" s="122"/>
      <c r="G42" s="122"/>
      <c r="H42" s="122"/>
      <c r="I42" s="52">
        <f>N10+P10</f>
        <v>0</v>
      </c>
      <c r="J42" s="52">
        <f>T10</f>
        <v>0</v>
      </c>
      <c r="T42" s="51"/>
    </row>
    <row r="43" spans="1:20" s="49" customFormat="1" ht="18.75">
      <c r="A43" t="s">
        <v>49</v>
      </c>
      <c r="B43" s="52"/>
      <c r="C43" s="122"/>
      <c r="D43" s="122"/>
      <c r="E43" s="122"/>
      <c r="F43" s="122"/>
      <c r="G43" s="122"/>
      <c r="H43" s="122"/>
      <c r="I43" s="52">
        <f>N24+P24+N26+P26</f>
        <v>0</v>
      </c>
      <c r="J43" s="52">
        <f>T24+T26</f>
        <v>0</v>
      </c>
      <c r="T43" s="51"/>
    </row>
    <row r="44" spans="1:20" s="49" customFormat="1" ht="18.75">
      <c r="A44" t="s">
        <v>74</v>
      </c>
      <c r="B44" s="52"/>
      <c r="C44" s="122"/>
      <c r="D44" s="122"/>
      <c r="E44" s="122"/>
      <c r="F44" s="122"/>
      <c r="G44" s="122"/>
      <c r="H44" s="122"/>
      <c r="I44" s="52">
        <f>N25+P25</f>
        <v>0</v>
      </c>
      <c r="J44" s="52">
        <f>T25</f>
        <v>0</v>
      </c>
      <c r="T44" s="51"/>
    </row>
    <row r="45" spans="1:20" s="49" customFormat="1" ht="18.75">
      <c r="A45" t="s">
        <v>19</v>
      </c>
      <c r="B45" s="52"/>
      <c r="C45" s="122"/>
      <c r="D45" s="122"/>
      <c r="E45" s="122"/>
      <c r="F45" s="122"/>
      <c r="G45" s="122"/>
      <c r="H45" s="122"/>
      <c r="I45" s="52">
        <f>N12+P12+N27+P27</f>
        <v>0</v>
      </c>
      <c r="J45" s="52">
        <f>T12+T27</f>
        <v>0</v>
      </c>
      <c r="T45" s="51"/>
    </row>
    <row r="46" spans="1:20" s="48" customFormat="1" ht="18.75"/>
    <row r="47" spans="1:20" s="48" customFormat="1" ht="18.75"/>
    <row r="48" spans="1:20" s="48" customFormat="1" ht="18.75"/>
    <row r="49" s="48" customFormat="1" ht="18.75"/>
    <row r="50" s="48" customFormat="1" ht="18.75"/>
  </sheetData>
  <mergeCells count="9">
    <mergeCell ref="A1:T1"/>
    <mergeCell ref="A2:T2"/>
    <mergeCell ref="A3:T3"/>
    <mergeCell ref="A29:B29"/>
    <mergeCell ref="C34:D34"/>
    <mergeCell ref="E34:F34"/>
    <mergeCell ref="G34:H34"/>
    <mergeCell ref="I34:J34"/>
    <mergeCell ref="AA4:AD4"/>
  </mergeCells>
  <dataValidations count="1">
    <dataValidation operator="greaterThanOrEqual" allowBlank="1" showInputMessage="1" showErrorMessage="1" sqref="AB1:AD3 A1:A3 T1:AA4 A4:S4 AE1:XFD4" xr:uid="{00000000-0002-0000-01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50"/>
  <sheetViews>
    <sheetView rightToLeft="1" zoomScaleNormal="100" workbookViewId="0">
      <pane xSplit="1" ySplit="6" topLeftCell="Q17" activePane="bottomRight" state="frozen"/>
      <selection activeCell="W23" sqref="W23:W24"/>
      <selection pane="topRight" activeCell="W23" sqref="W23:W24"/>
      <selection pane="bottomLeft" activeCell="W23" sqref="W23:W24"/>
      <selection pane="bottomRight" activeCell="W23" sqref="W23:W24"/>
    </sheetView>
  </sheetViews>
  <sheetFormatPr defaultRowHeight="15"/>
  <cols>
    <col min="1" max="1" width="21.42578125" customWidth="1"/>
    <col min="2" max="2" width="9" hidden="1" customWidth="1"/>
    <col min="3" max="3" width="12.28515625" hidden="1" customWidth="1"/>
    <col min="4" max="16" width="12" hidden="1" customWidth="1"/>
    <col min="17" max="26" width="21.42578125" customWidth="1"/>
    <col min="27" max="27" width="22.140625" style="15" customWidth="1"/>
    <col min="28" max="28" width="18.7109375" customWidth="1"/>
  </cols>
  <sheetData>
    <row r="1" spans="1:48" s="2" customFormat="1" ht="24">
      <c r="A1" s="607" t="e">
        <f>#REF!</f>
        <v>#REF!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  <c r="V1" s="607"/>
      <c r="W1" s="607"/>
      <c r="X1" s="607"/>
      <c r="Y1" s="607"/>
      <c r="Z1" s="607"/>
      <c r="AA1" s="157"/>
      <c r="AB1" s="157"/>
      <c r="AC1" s="157"/>
      <c r="AD1" s="157"/>
      <c r="AE1" s="1"/>
      <c r="AF1" s="1"/>
      <c r="AV1" s="1"/>
    </row>
    <row r="2" spans="1:48" s="2" customFormat="1" ht="24.75" customHeight="1">
      <c r="A2" s="607" t="e">
        <f>"بودجه "&amp;#REF!&amp;" براي سال مالي "&amp;#REF!</f>
        <v>#REF!</v>
      </c>
      <c r="B2" s="607"/>
      <c r="C2" s="607"/>
      <c r="D2" s="607"/>
      <c r="E2" s="607"/>
      <c r="F2" s="607"/>
      <c r="G2" s="607"/>
      <c r="H2" s="607"/>
      <c r="I2" s="607"/>
      <c r="J2" s="607"/>
      <c r="K2" s="607"/>
      <c r="L2" s="607"/>
      <c r="M2" s="607"/>
      <c r="N2" s="607"/>
      <c r="O2" s="607"/>
      <c r="P2" s="607"/>
      <c r="Q2" s="607"/>
      <c r="R2" s="607"/>
      <c r="S2" s="607"/>
      <c r="T2" s="607"/>
      <c r="U2" s="607"/>
      <c r="V2" s="607"/>
      <c r="W2" s="607"/>
      <c r="X2" s="607"/>
      <c r="Y2" s="607"/>
      <c r="Z2" s="607"/>
      <c r="AA2" s="157"/>
      <c r="AB2" s="157"/>
      <c r="AC2" s="157"/>
      <c r="AD2" s="157"/>
      <c r="AE2" s="1"/>
      <c r="AF2" s="1"/>
      <c r="AV2" s="1"/>
    </row>
    <row r="3" spans="1:48" s="2" customFormat="1" ht="24.75" customHeight="1">
      <c r="A3" s="607" t="s">
        <v>94</v>
      </c>
      <c r="B3" s="607"/>
      <c r="C3" s="607"/>
      <c r="D3" s="607"/>
      <c r="E3" s="607"/>
      <c r="F3" s="607"/>
      <c r="G3" s="607"/>
      <c r="H3" s="607"/>
      <c r="I3" s="607"/>
      <c r="J3" s="607"/>
      <c r="K3" s="607"/>
      <c r="L3" s="607"/>
      <c r="M3" s="607"/>
      <c r="N3" s="607"/>
      <c r="O3" s="607"/>
      <c r="P3" s="607"/>
      <c r="Q3" s="607"/>
      <c r="R3" s="607"/>
      <c r="S3" s="607"/>
      <c r="T3" s="607"/>
      <c r="U3" s="607"/>
      <c r="V3" s="607"/>
      <c r="W3" s="607"/>
      <c r="X3" s="607"/>
      <c r="Y3" s="607"/>
      <c r="Z3" s="607"/>
      <c r="AA3" s="157"/>
      <c r="AB3" s="157"/>
      <c r="AC3" s="157"/>
      <c r="AD3" s="157"/>
      <c r="AE3" s="3"/>
      <c r="AF3" s="3"/>
      <c r="AV3" s="3"/>
    </row>
    <row r="4" spans="1:48" s="2" customFormat="1" ht="19.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606" t="s">
        <v>7</v>
      </c>
      <c r="AB4" s="606"/>
      <c r="AC4" s="606"/>
      <c r="AD4" s="606"/>
    </row>
    <row r="5" spans="1:48" ht="19.5">
      <c r="A5" s="5" t="s">
        <v>0</v>
      </c>
      <c r="B5" s="5"/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91</v>
      </c>
      <c r="N5" s="6" t="s">
        <v>89</v>
      </c>
      <c r="O5" s="6"/>
      <c r="P5" s="6"/>
      <c r="Q5" s="5" t="s">
        <v>69</v>
      </c>
      <c r="R5" s="5" t="s">
        <v>75</v>
      </c>
      <c r="S5" s="5" t="s">
        <v>57</v>
      </c>
      <c r="T5" s="5" t="s">
        <v>58</v>
      </c>
      <c r="U5" s="5" t="s">
        <v>59</v>
      </c>
      <c r="V5" s="5" t="s">
        <v>76</v>
      </c>
      <c r="W5" s="5" t="s">
        <v>77</v>
      </c>
      <c r="X5" s="5" t="s">
        <v>78</v>
      </c>
      <c r="Y5" s="5" t="s">
        <v>79</v>
      </c>
      <c r="Z5" s="5" t="s">
        <v>80</v>
      </c>
      <c r="AB5" s="15"/>
    </row>
    <row r="6" spans="1:48" ht="19.5">
      <c r="A6" s="10" t="s">
        <v>35</v>
      </c>
      <c r="B6" s="11"/>
      <c r="C6" s="12"/>
      <c r="D6" s="114"/>
      <c r="E6" s="114"/>
      <c r="F6" s="114"/>
      <c r="G6" s="114"/>
      <c r="H6" s="114"/>
      <c r="I6" s="114"/>
      <c r="J6" s="114"/>
      <c r="K6" s="114"/>
      <c r="L6" s="114"/>
      <c r="M6" s="12"/>
      <c r="N6" s="12"/>
      <c r="O6" s="12"/>
      <c r="P6" s="12"/>
      <c r="Q6" s="10"/>
      <c r="R6" s="10"/>
      <c r="S6" s="10"/>
      <c r="T6" s="10"/>
      <c r="U6" s="10"/>
      <c r="V6" s="10"/>
      <c r="W6" s="10"/>
      <c r="X6" s="10"/>
      <c r="Y6" s="10"/>
      <c r="Z6" s="10"/>
      <c r="AB6" s="135"/>
    </row>
    <row r="7" spans="1:48" ht="19.5">
      <c r="A7" s="16" t="s">
        <v>36</v>
      </c>
      <c r="B7" s="17"/>
      <c r="C7" s="6">
        <f t="shared" ref="C7:C12" si="0">SUM(D7:O7)</f>
        <v>2000</v>
      </c>
      <c r="D7" s="115"/>
      <c r="E7" s="115"/>
      <c r="F7" s="115"/>
      <c r="G7" s="115"/>
      <c r="H7" s="115"/>
      <c r="I7" s="115"/>
      <c r="J7" s="115"/>
      <c r="K7" s="115"/>
      <c r="L7" s="115"/>
      <c r="M7" s="18">
        <v>0</v>
      </c>
      <c r="N7" s="18">
        <v>2000</v>
      </c>
      <c r="O7" s="18"/>
      <c r="P7" s="18">
        <v>20184</v>
      </c>
      <c r="Q7" s="152">
        <f t="shared" ref="Q7:Q12" si="1">M7+N7</f>
        <v>2000</v>
      </c>
      <c r="R7" s="152"/>
      <c r="S7" s="152">
        <f>P7/0.98*5585000+(Q7-P7)/0.98*3735000</f>
        <v>45724897959.183655</v>
      </c>
      <c r="T7" s="152"/>
      <c r="U7" s="152"/>
      <c r="V7" s="152"/>
      <c r="W7" s="152"/>
      <c r="X7" s="152"/>
      <c r="Y7" s="152">
        <f>Q7/SUM($Q$7:$Q$29)*(80000000000-60170000000)</f>
        <v>164951355.707587</v>
      </c>
      <c r="Z7" s="152">
        <f>Q7/SUM($Q$7:$Q$29)*(405000000000-288000000000)</f>
        <v>973237953.49408376</v>
      </c>
      <c r="AA7" s="15">
        <f>SUM(R7:Z7)/1000000</f>
        <v>46863.08726838533</v>
      </c>
      <c r="AB7" s="15"/>
    </row>
    <row r="8" spans="1:48" ht="19.5">
      <c r="A8" s="16" t="s">
        <v>37</v>
      </c>
      <c r="B8" s="17"/>
      <c r="C8" s="6">
        <f t="shared" si="0"/>
        <v>1334.5504433655408</v>
      </c>
      <c r="D8" s="115"/>
      <c r="E8" s="115"/>
      <c r="F8" s="115"/>
      <c r="G8" s="115"/>
      <c r="H8" s="115"/>
      <c r="I8" s="115"/>
      <c r="J8" s="115"/>
      <c r="K8" s="115"/>
      <c r="L8" s="115"/>
      <c r="M8" s="18">
        <v>334.55044336554079</v>
      </c>
      <c r="N8" s="18">
        <v>1000</v>
      </c>
      <c r="O8" s="18"/>
      <c r="P8" s="18">
        <v>3335</v>
      </c>
      <c r="Q8" s="152">
        <f t="shared" si="1"/>
        <v>1334.5504433655408</v>
      </c>
      <c r="R8" s="152"/>
      <c r="S8" s="152">
        <f t="shared" ref="S8:S27" si="2">P8/0.98*5585000+(Q8-P8)/0.98*3735000</f>
        <v>11381934597.928875</v>
      </c>
      <c r="T8" s="152"/>
      <c r="U8" s="152"/>
      <c r="V8" s="152"/>
      <c r="W8" s="152"/>
      <c r="X8" s="152"/>
      <c r="Y8" s="152">
        <f t="shared" ref="Y8:Y28" si="3">Q8/SUM($Q$7:$Q$29)*(80000000000-60170000000)</f>
        <v>110067952.44665362</v>
      </c>
      <c r="Z8" s="152">
        <f t="shared" ref="Z8:Z28" si="4">Q8/SUM($Q$7:$Q$29)*(405000000000-288000000000)</f>
        <v>649417571.16785038</v>
      </c>
      <c r="AA8" s="15">
        <f t="shared" ref="AA8:AA28" si="5">SUM(R8:Z8)/1000000</f>
        <v>12141.420121543379</v>
      </c>
      <c r="AB8" s="15"/>
    </row>
    <row r="9" spans="1:48" ht="19.5">
      <c r="A9" s="16" t="s">
        <v>38</v>
      </c>
      <c r="B9" s="17"/>
      <c r="C9" s="6">
        <f t="shared" si="0"/>
        <v>13352.8632059623</v>
      </c>
      <c r="D9" s="115"/>
      <c r="E9" s="115"/>
      <c r="F9" s="115"/>
      <c r="G9" s="115"/>
      <c r="H9" s="115"/>
      <c r="I9" s="115"/>
      <c r="J9" s="115"/>
      <c r="K9" s="115"/>
      <c r="L9" s="115"/>
      <c r="M9" s="18">
        <f>11571.8632059623-219</f>
        <v>11352.8632059623</v>
      </c>
      <c r="N9" s="18">
        <v>2000</v>
      </c>
      <c r="O9" s="18"/>
      <c r="P9" s="18">
        <v>6006</v>
      </c>
      <c r="Q9" s="152">
        <f t="shared" si="1"/>
        <v>13352.8632059623</v>
      </c>
      <c r="R9" s="152"/>
      <c r="S9" s="152">
        <f>P9*0.75/0.98*5585000+(Q9-P9)*0.75/0.98*3735000</f>
        <v>46671462301.736633</v>
      </c>
      <c r="T9" s="152">
        <f>Q9*0.25*9069780</f>
        <v>30276882912.043186</v>
      </c>
      <c r="U9" s="152"/>
      <c r="V9" s="152"/>
      <c r="W9" s="152"/>
      <c r="X9" s="152"/>
      <c r="Y9" s="152">
        <f t="shared" si="3"/>
        <v>1101286444.2007189</v>
      </c>
      <c r="Z9" s="152">
        <f t="shared" si="4"/>
        <v>6497756629.9285984</v>
      </c>
      <c r="AA9" s="15">
        <f t="shared" si="5"/>
        <v>84547.38828790914</v>
      </c>
      <c r="AB9" s="15"/>
    </row>
    <row r="10" spans="1:48" ht="19.5">
      <c r="A10" s="16" t="s">
        <v>18</v>
      </c>
      <c r="B10" s="17"/>
      <c r="C10" s="6">
        <f t="shared" si="0"/>
        <v>11</v>
      </c>
      <c r="D10" s="115"/>
      <c r="E10" s="115"/>
      <c r="F10" s="115"/>
      <c r="G10" s="115"/>
      <c r="H10" s="115"/>
      <c r="I10" s="115"/>
      <c r="J10" s="115"/>
      <c r="K10" s="115"/>
      <c r="L10" s="115"/>
      <c r="M10" s="18">
        <v>11</v>
      </c>
      <c r="N10" s="18"/>
      <c r="O10" s="18"/>
      <c r="P10" s="18"/>
      <c r="Q10" s="152">
        <f t="shared" si="1"/>
        <v>11</v>
      </c>
      <c r="R10" s="152"/>
      <c r="S10" s="152">
        <f>P10*0.62/0.98*5585000+(Q10-P10)*0.62/0.98*3735000</f>
        <v>25992551.020408165</v>
      </c>
      <c r="T10" s="152"/>
      <c r="U10" s="152"/>
      <c r="V10" s="152"/>
      <c r="W10" s="152"/>
      <c r="X10" s="152"/>
      <c r="Y10" s="152">
        <f t="shared" si="3"/>
        <v>907232.45639172848</v>
      </c>
      <c r="Z10" s="152">
        <f t="shared" si="4"/>
        <v>5352808.74421746</v>
      </c>
      <c r="AA10" s="15">
        <f t="shared" si="5"/>
        <v>32.252592221017352</v>
      </c>
      <c r="AB10" s="15"/>
    </row>
    <row r="11" spans="1:48" ht="19.5">
      <c r="A11" s="16" t="s">
        <v>39</v>
      </c>
      <c r="B11" s="17"/>
      <c r="C11" s="6">
        <f t="shared" si="0"/>
        <v>114145.26026088151</v>
      </c>
      <c r="D11" s="115"/>
      <c r="E11" s="115"/>
      <c r="F11" s="115"/>
      <c r="G11" s="115"/>
      <c r="H11" s="115"/>
      <c r="I11" s="115"/>
      <c r="J11" s="115"/>
      <c r="K11" s="115"/>
      <c r="L11" s="115"/>
      <c r="M11" s="18">
        <f>81666.2602608815+295+15000+10000+184</f>
        <v>107145.26026088151</v>
      </c>
      <c r="N11" s="18">
        <v>7000</v>
      </c>
      <c r="O11" s="18"/>
      <c r="P11" s="18">
        <v>12000</v>
      </c>
      <c r="Q11" s="152">
        <f t="shared" si="1"/>
        <v>114145.26026088151</v>
      </c>
      <c r="R11" s="152"/>
      <c r="S11" s="152">
        <f t="shared" si="2"/>
        <v>457686272524.89026</v>
      </c>
      <c r="T11" s="152"/>
      <c r="U11" s="152"/>
      <c r="V11" s="152"/>
      <c r="W11" s="152"/>
      <c r="X11" s="152"/>
      <c r="Y11" s="152">
        <f t="shared" si="3"/>
        <v>9414207713.813879</v>
      </c>
      <c r="Z11" s="152">
        <f t="shared" si="4"/>
        <v>55545249748.674934</v>
      </c>
      <c r="AA11" s="15">
        <f t="shared" si="5"/>
        <v>522645.72998737911</v>
      </c>
      <c r="AB11" s="15"/>
    </row>
    <row r="12" spans="1:48" ht="19.5">
      <c r="A12" s="16" t="s">
        <v>40</v>
      </c>
      <c r="B12" s="17"/>
      <c r="C12" s="6">
        <f t="shared" si="0"/>
        <v>0</v>
      </c>
      <c r="D12" s="115"/>
      <c r="E12" s="115"/>
      <c r="F12" s="115"/>
      <c r="G12" s="115"/>
      <c r="H12" s="115"/>
      <c r="I12" s="115"/>
      <c r="J12" s="115"/>
      <c r="K12" s="115"/>
      <c r="L12" s="115"/>
      <c r="M12" s="18">
        <v>0</v>
      </c>
      <c r="N12" s="18"/>
      <c r="O12" s="18"/>
      <c r="P12" s="18"/>
      <c r="Q12" s="152">
        <f t="shared" si="1"/>
        <v>0</v>
      </c>
      <c r="R12" s="152"/>
      <c r="S12" s="152">
        <f t="shared" si="2"/>
        <v>0</v>
      </c>
      <c r="T12" s="152"/>
      <c r="U12" s="152"/>
      <c r="V12" s="152"/>
      <c r="W12" s="152"/>
      <c r="X12" s="152"/>
      <c r="Y12" s="152">
        <f t="shared" si="3"/>
        <v>0</v>
      </c>
      <c r="Z12" s="152">
        <f t="shared" si="4"/>
        <v>0</v>
      </c>
      <c r="AA12" s="15">
        <f t="shared" si="5"/>
        <v>0</v>
      </c>
      <c r="AB12" s="15"/>
    </row>
    <row r="13" spans="1:48" ht="19.5" hidden="1">
      <c r="A13" s="145" t="s">
        <v>41</v>
      </c>
      <c r="B13" s="146">
        <v>1</v>
      </c>
      <c r="C13" s="147">
        <f>SUM(C7:C12)</f>
        <v>130843.67391020936</v>
      </c>
      <c r="D13" s="148">
        <f t="shared" ref="D13:O13" si="6">SUM(D7:D12)</f>
        <v>0</v>
      </c>
      <c r="E13" s="148">
        <f t="shared" si="6"/>
        <v>0</v>
      </c>
      <c r="F13" s="148">
        <f t="shared" si="6"/>
        <v>0</v>
      </c>
      <c r="G13" s="148">
        <f t="shared" si="6"/>
        <v>0</v>
      </c>
      <c r="H13" s="148">
        <f t="shared" si="6"/>
        <v>0</v>
      </c>
      <c r="I13" s="148">
        <f t="shared" si="6"/>
        <v>0</v>
      </c>
      <c r="J13" s="148">
        <f t="shared" si="6"/>
        <v>0</v>
      </c>
      <c r="K13" s="148">
        <f t="shared" si="6"/>
        <v>0</v>
      </c>
      <c r="L13" s="148">
        <f t="shared" si="6"/>
        <v>0</v>
      </c>
      <c r="M13" s="147">
        <f t="shared" si="6"/>
        <v>118843.67391020934</v>
      </c>
      <c r="N13" s="147">
        <f t="shared" si="6"/>
        <v>12000</v>
      </c>
      <c r="O13" s="147">
        <f t="shared" si="6"/>
        <v>0</v>
      </c>
      <c r="P13" s="147"/>
      <c r="Q13" s="153"/>
      <c r="R13" s="153"/>
      <c r="S13" s="153">
        <f t="shared" si="2"/>
        <v>0</v>
      </c>
      <c r="T13" s="153"/>
      <c r="U13" s="153"/>
      <c r="V13" s="153"/>
      <c r="W13" s="153"/>
      <c r="X13" s="153"/>
      <c r="Y13" s="153">
        <f t="shared" si="3"/>
        <v>0</v>
      </c>
      <c r="Z13" s="153">
        <f t="shared" si="4"/>
        <v>0</v>
      </c>
      <c r="AA13" s="15">
        <f t="shared" si="5"/>
        <v>0</v>
      </c>
      <c r="AB13" s="15"/>
    </row>
    <row r="14" spans="1:48" ht="19.5">
      <c r="A14" s="10" t="s">
        <v>42</v>
      </c>
      <c r="B14" s="10"/>
      <c r="C14" s="12"/>
      <c r="D14" s="114"/>
      <c r="E14" s="114"/>
      <c r="F14" s="114"/>
      <c r="G14" s="114"/>
      <c r="H14" s="114"/>
      <c r="I14" s="114"/>
      <c r="J14" s="114"/>
      <c r="K14" s="114"/>
      <c r="L14" s="114"/>
      <c r="M14" s="12"/>
      <c r="N14" s="12"/>
      <c r="O14" s="12"/>
      <c r="P14" s="12"/>
      <c r="Q14" s="154"/>
      <c r="R14" s="154"/>
      <c r="S14" s="154">
        <f t="shared" si="2"/>
        <v>0</v>
      </c>
      <c r="T14" s="154"/>
      <c r="U14" s="154"/>
      <c r="V14" s="154"/>
      <c r="W14" s="154"/>
      <c r="X14" s="154"/>
      <c r="Y14" s="154">
        <f t="shared" si="3"/>
        <v>0</v>
      </c>
      <c r="Z14" s="154">
        <f t="shared" si="4"/>
        <v>0</v>
      </c>
      <c r="AA14" s="15">
        <f t="shared" si="5"/>
        <v>0</v>
      </c>
      <c r="AB14" s="15"/>
    </row>
    <row r="15" spans="1:48" ht="19.5">
      <c r="A15" s="16" t="s">
        <v>12</v>
      </c>
      <c r="B15" s="35"/>
      <c r="C15" s="36">
        <f>SUM(D15:O15)</f>
        <v>49598.064599237798</v>
      </c>
      <c r="D15" s="115"/>
      <c r="E15" s="115"/>
      <c r="F15" s="115"/>
      <c r="G15" s="115"/>
      <c r="H15" s="115"/>
      <c r="I15" s="115"/>
      <c r="J15" s="115"/>
      <c r="K15" s="115"/>
      <c r="L15" s="115"/>
      <c r="M15" s="18">
        <f>44598.0645992378+5000</f>
        <v>49598.064599237798</v>
      </c>
      <c r="N15" s="18"/>
      <c r="O15" s="18"/>
      <c r="P15" s="18">
        <f>55382-32184</f>
        <v>23198</v>
      </c>
      <c r="Q15" s="152">
        <f>M15+N15</f>
        <v>49598.064599237798</v>
      </c>
      <c r="R15" s="152"/>
      <c r="S15" s="152">
        <f t="shared" si="2"/>
        <v>232821501304.23792</v>
      </c>
      <c r="T15" s="152"/>
      <c r="U15" s="152"/>
      <c r="V15" s="152"/>
      <c r="W15" s="152"/>
      <c r="X15" s="152"/>
      <c r="Y15" s="152">
        <f t="shared" si="3"/>
        <v>4090633998.0583763</v>
      </c>
      <c r="Z15" s="152">
        <f t="shared" si="4"/>
        <v>24135359443.914776</v>
      </c>
      <c r="AA15" s="15">
        <f t="shared" si="5"/>
        <v>261047.49474621107</v>
      </c>
      <c r="AB15" s="15"/>
    </row>
    <row r="16" spans="1:48" ht="19.5">
      <c r="A16" s="16" t="s">
        <v>43</v>
      </c>
      <c r="B16" s="35"/>
      <c r="C16" s="36">
        <f t="shared" ref="C16:C27" si="7">SUM(D16:O16)</f>
        <v>5822.5422594031734</v>
      </c>
      <c r="D16" s="115"/>
      <c r="E16" s="115"/>
      <c r="F16" s="115"/>
      <c r="G16" s="115"/>
      <c r="H16" s="115"/>
      <c r="I16" s="115"/>
      <c r="J16" s="115"/>
      <c r="K16" s="115"/>
      <c r="L16" s="115"/>
      <c r="M16" s="18">
        <v>5822.5422594031734</v>
      </c>
      <c r="N16" s="18"/>
      <c r="O16" s="18"/>
      <c r="P16" s="18"/>
      <c r="Q16" s="152">
        <f t="shared" ref="Q16:Q27" si="8">M16+N16</f>
        <v>5822.5422594031734</v>
      </c>
      <c r="R16" s="152">
        <f>Q16*4232000</f>
        <v>24640998841.794231</v>
      </c>
      <c r="S16" s="152">
        <f t="shared" si="2"/>
        <v>22191015651.909031</v>
      </c>
      <c r="T16" s="152"/>
      <c r="U16" s="152"/>
      <c r="V16" s="152"/>
      <c r="W16" s="152"/>
      <c r="X16" s="152"/>
      <c r="Y16" s="152">
        <f t="shared" si="3"/>
        <v>480218119.67663509</v>
      </c>
      <c r="Z16" s="152">
        <f t="shared" si="4"/>
        <v>2833359556.3371811</v>
      </c>
      <c r="AA16" s="15">
        <f t="shared" si="5"/>
        <v>50145.592169717078</v>
      </c>
      <c r="AB16" s="15"/>
    </row>
    <row r="17" spans="1:28" ht="19.5">
      <c r="A17" s="16" t="s">
        <v>44</v>
      </c>
      <c r="B17" s="35"/>
      <c r="C17" s="36">
        <f t="shared" si="7"/>
        <v>26056.2678896738</v>
      </c>
      <c r="D17" s="115"/>
      <c r="E17" s="115"/>
      <c r="F17" s="115"/>
      <c r="G17" s="115"/>
      <c r="H17" s="115"/>
      <c r="I17" s="115"/>
      <c r="J17" s="115"/>
      <c r="K17" s="115"/>
      <c r="L17" s="115"/>
      <c r="M17" s="18">
        <f>26081.2678896738-25</f>
        <v>26056.2678896738</v>
      </c>
      <c r="N17" s="18"/>
      <c r="O17" s="18"/>
      <c r="P17" s="18"/>
      <c r="Q17" s="152">
        <f t="shared" si="8"/>
        <v>26056.2678896738</v>
      </c>
      <c r="R17" s="152"/>
      <c r="S17" s="152">
        <f t="shared" si="2"/>
        <v>99306286293.8078</v>
      </c>
      <c r="T17" s="152"/>
      <c r="U17" s="152">
        <f>Q17*1068000</f>
        <v>27828094106.171619</v>
      </c>
      <c r="V17" s="152"/>
      <c r="W17" s="152"/>
      <c r="X17" s="152">
        <f>Q17*317839</f>
        <v>8281698129.7860308</v>
      </c>
      <c r="Y17" s="152">
        <f t="shared" si="3"/>
        <v>2149008356.5408802</v>
      </c>
      <c r="Z17" s="152">
        <f t="shared" si="4"/>
        <v>12679474418.319868</v>
      </c>
      <c r="AA17" s="15">
        <f t="shared" si="5"/>
        <v>150244.5613046262</v>
      </c>
      <c r="AB17" s="15"/>
    </row>
    <row r="18" spans="1:28" ht="19.5">
      <c r="A18" s="16" t="s">
        <v>45</v>
      </c>
      <c r="B18" s="35"/>
      <c r="C18" s="36">
        <f t="shared" si="7"/>
        <v>14495.706941349843</v>
      </c>
      <c r="D18" s="115"/>
      <c r="E18" s="115"/>
      <c r="F18" s="115"/>
      <c r="G18" s="115"/>
      <c r="H18" s="115"/>
      <c r="I18" s="115"/>
      <c r="J18" s="115"/>
      <c r="K18" s="115"/>
      <c r="L18" s="115"/>
      <c r="M18" s="18">
        <v>14495.706941349843</v>
      </c>
      <c r="N18" s="18"/>
      <c r="O18" s="18"/>
      <c r="P18" s="18"/>
      <c r="Q18" s="152">
        <f t="shared" si="8"/>
        <v>14495.706941349843</v>
      </c>
      <c r="R18" s="152"/>
      <c r="S18" s="152">
        <f t="shared" si="2"/>
        <v>55246393291.777206</v>
      </c>
      <c r="T18" s="152"/>
      <c r="U18" s="152">
        <f>Q18*1068000</f>
        <v>15481415013.361631</v>
      </c>
      <c r="V18" s="152">
        <f>Q18*450000</f>
        <v>6523068123.6074295</v>
      </c>
      <c r="W18" s="152">
        <f>Q18*260000</f>
        <v>3768883804.7509594</v>
      </c>
      <c r="X18" s="152">
        <f>Q18*317839</f>
        <v>4607300998.5316925</v>
      </c>
      <c r="Y18" s="152">
        <f t="shared" si="3"/>
        <v>1195543255.957768</v>
      </c>
      <c r="Z18" s="152">
        <f t="shared" si="4"/>
        <v>7053886079.0246515</v>
      </c>
      <c r="AA18" s="15">
        <f t="shared" si="5"/>
        <v>93876.490567011351</v>
      </c>
      <c r="AB18" s="15"/>
    </row>
    <row r="19" spans="1:28" ht="19.5">
      <c r="A19" s="16" t="s">
        <v>14</v>
      </c>
      <c r="B19" s="35"/>
      <c r="C19" s="36">
        <f t="shared" si="7"/>
        <v>12417.311842684001</v>
      </c>
      <c r="D19" s="115"/>
      <c r="E19" s="115"/>
      <c r="F19" s="115"/>
      <c r="G19" s="115"/>
      <c r="H19" s="115"/>
      <c r="I19" s="115"/>
      <c r="J19" s="115"/>
      <c r="K19" s="115"/>
      <c r="L19" s="115"/>
      <c r="M19" s="18">
        <f>17417.311842684-5000</f>
        <v>12417.311842684001</v>
      </c>
      <c r="N19" s="18"/>
      <c r="O19" s="18"/>
      <c r="P19" s="18">
        <f>7221-3335</f>
        <v>3886</v>
      </c>
      <c r="Q19" s="152">
        <f t="shared" si="8"/>
        <v>12417.311842684001</v>
      </c>
      <c r="R19" s="152"/>
      <c r="S19" s="152">
        <f t="shared" si="2"/>
        <v>54660979318.800758</v>
      </c>
      <c r="T19" s="152"/>
      <c r="U19" s="152"/>
      <c r="V19" s="152"/>
      <c r="W19" s="152"/>
      <c r="X19" s="152"/>
      <c r="Y19" s="152">
        <f t="shared" si="3"/>
        <v>1024126211.3473005</v>
      </c>
      <c r="Z19" s="152">
        <f t="shared" si="4"/>
        <v>6042499582.8358126</v>
      </c>
      <c r="AA19" s="15">
        <f t="shared" si="5"/>
        <v>61727.605112983874</v>
      </c>
      <c r="AB19" s="15"/>
    </row>
    <row r="20" spans="1:28" ht="19.5">
      <c r="A20" s="16" t="s">
        <v>46</v>
      </c>
      <c r="B20" s="35"/>
      <c r="C20" s="36">
        <f t="shared" si="7"/>
        <v>0</v>
      </c>
      <c r="D20" s="115"/>
      <c r="E20" s="115"/>
      <c r="F20" s="115"/>
      <c r="G20" s="115"/>
      <c r="H20" s="115"/>
      <c r="I20" s="115"/>
      <c r="J20" s="115"/>
      <c r="K20" s="115"/>
      <c r="L20" s="115"/>
      <c r="M20" s="18">
        <v>0</v>
      </c>
      <c r="N20" s="18"/>
      <c r="O20" s="18"/>
      <c r="P20" s="18"/>
      <c r="Q20" s="152">
        <f t="shared" si="8"/>
        <v>0</v>
      </c>
      <c r="R20" s="152"/>
      <c r="S20" s="152">
        <f t="shared" si="2"/>
        <v>0</v>
      </c>
      <c r="T20" s="152"/>
      <c r="U20" s="152"/>
      <c r="V20" s="152"/>
      <c r="W20" s="152"/>
      <c r="X20" s="152"/>
      <c r="Y20" s="152">
        <f t="shared" si="3"/>
        <v>0</v>
      </c>
      <c r="Z20" s="152">
        <f t="shared" si="4"/>
        <v>0</v>
      </c>
      <c r="AA20" s="15">
        <f t="shared" si="5"/>
        <v>0</v>
      </c>
      <c r="AB20" s="15"/>
    </row>
    <row r="21" spans="1:28" ht="19.5">
      <c r="A21" s="16" t="s">
        <v>47</v>
      </c>
      <c r="B21" s="35"/>
      <c r="C21" s="36">
        <f t="shared" si="7"/>
        <v>1200.9523579714901</v>
      </c>
      <c r="D21" s="115"/>
      <c r="E21" s="115"/>
      <c r="F21" s="115"/>
      <c r="G21" s="115"/>
      <c r="H21" s="115"/>
      <c r="I21" s="115"/>
      <c r="J21" s="115"/>
      <c r="K21" s="115"/>
      <c r="L21" s="115"/>
      <c r="M21" s="18">
        <f>1221.95235797149-21</f>
        <v>1200.9523579714901</v>
      </c>
      <c r="N21" s="18"/>
      <c r="O21" s="18"/>
      <c r="P21" s="18"/>
      <c r="Q21" s="152">
        <f t="shared" si="8"/>
        <v>1200.9523579714901</v>
      </c>
      <c r="R21" s="152"/>
      <c r="S21" s="152">
        <f t="shared" si="2"/>
        <v>4577099037.7790976</v>
      </c>
      <c r="T21" s="152"/>
      <c r="U21" s="152">
        <f>Q21*1068000</f>
        <v>1282617118.3135514</v>
      </c>
      <c r="V21" s="152"/>
      <c r="W21" s="152"/>
      <c r="X21" s="152">
        <f>Q21*317839</f>
        <v>381709496.50530046</v>
      </c>
      <c r="Y21" s="152">
        <f t="shared" si="3"/>
        <v>99049359.793810293</v>
      </c>
      <c r="Z21" s="152">
        <f t="shared" si="4"/>
        <v>584406207.55803347</v>
      </c>
      <c r="AA21" s="15">
        <f t="shared" si="5"/>
        <v>6924.8812199497925</v>
      </c>
      <c r="AB21" s="15"/>
    </row>
    <row r="22" spans="1:28" ht="19.5">
      <c r="A22" s="16" t="s">
        <v>48</v>
      </c>
      <c r="B22" s="35"/>
      <c r="C22" s="36">
        <f t="shared" si="7"/>
        <v>0</v>
      </c>
      <c r="D22" s="115"/>
      <c r="E22" s="115"/>
      <c r="F22" s="115"/>
      <c r="G22" s="115"/>
      <c r="H22" s="115"/>
      <c r="I22" s="115"/>
      <c r="J22" s="115"/>
      <c r="K22" s="115"/>
      <c r="L22" s="115"/>
      <c r="M22" s="18">
        <v>0</v>
      </c>
      <c r="N22" s="18"/>
      <c r="O22" s="18"/>
      <c r="P22" s="18"/>
      <c r="Q22" s="152">
        <f t="shared" si="8"/>
        <v>0</v>
      </c>
      <c r="R22" s="152"/>
      <c r="S22" s="152">
        <f t="shared" si="2"/>
        <v>0</v>
      </c>
      <c r="T22" s="152"/>
      <c r="U22" s="152">
        <f>Q22*1068000</f>
        <v>0</v>
      </c>
      <c r="V22" s="152">
        <f>Q22*450000</f>
        <v>0</v>
      </c>
      <c r="W22" s="152">
        <f>Q22*260000</f>
        <v>0</v>
      </c>
      <c r="X22" s="152">
        <f>Q22*317839</f>
        <v>0</v>
      </c>
      <c r="Y22" s="152">
        <f t="shared" si="3"/>
        <v>0</v>
      </c>
      <c r="Z22" s="152">
        <f t="shared" si="4"/>
        <v>0</v>
      </c>
      <c r="AA22" s="15">
        <f t="shared" si="5"/>
        <v>0</v>
      </c>
      <c r="AB22" s="15"/>
    </row>
    <row r="23" spans="1:28" ht="19.5">
      <c r="A23" s="16" t="s">
        <v>38</v>
      </c>
      <c r="B23" s="35"/>
      <c r="C23" s="36">
        <f t="shared" si="7"/>
        <v>0</v>
      </c>
      <c r="D23" s="115"/>
      <c r="E23" s="115"/>
      <c r="F23" s="115"/>
      <c r="G23" s="115"/>
      <c r="H23" s="115"/>
      <c r="I23" s="115"/>
      <c r="J23" s="115"/>
      <c r="K23" s="115"/>
      <c r="L23" s="115"/>
      <c r="M23" s="18">
        <v>0</v>
      </c>
      <c r="N23" s="18"/>
      <c r="O23" s="18"/>
      <c r="P23" s="18"/>
      <c r="Q23" s="152">
        <f t="shared" si="8"/>
        <v>0</v>
      </c>
      <c r="R23" s="152"/>
      <c r="S23" s="152">
        <f>P23*0.75/0.98*5585000+(Q23-P23)*0.75/0.98*3735000</f>
        <v>0</v>
      </c>
      <c r="T23" s="152"/>
      <c r="U23" s="152"/>
      <c r="V23" s="152"/>
      <c r="W23" s="152"/>
      <c r="X23" s="152"/>
      <c r="Y23" s="152">
        <f t="shared" si="3"/>
        <v>0</v>
      </c>
      <c r="Z23" s="152">
        <f t="shared" si="4"/>
        <v>0</v>
      </c>
      <c r="AA23" s="15">
        <f t="shared" si="5"/>
        <v>0</v>
      </c>
      <c r="AB23" s="15"/>
    </row>
    <row r="24" spans="1:28" ht="19.5">
      <c r="A24" s="149" t="s">
        <v>49</v>
      </c>
      <c r="B24" s="35"/>
      <c r="C24" s="36">
        <f t="shared" si="7"/>
        <v>0</v>
      </c>
      <c r="D24" s="119"/>
      <c r="E24" s="119"/>
      <c r="F24" s="119"/>
      <c r="G24" s="119"/>
      <c r="H24" s="119"/>
      <c r="I24" s="119"/>
      <c r="J24" s="119"/>
      <c r="K24" s="119"/>
      <c r="L24" s="119"/>
      <c r="M24" s="18">
        <v>0</v>
      </c>
      <c r="N24" s="38"/>
      <c r="O24" s="38"/>
      <c r="P24" s="38"/>
      <c r="Q24" s="155">
        <f t="shared" si="8"/>
        <v>0</v>
      </c>
      <c r="R24" s="155"/>
      <c r="S24" s="155">
        <f t="shared" si="2"/>
        <v>0</v>
      </c>
      <c r="T24" s="155"/>
      <c r="U24" s="155"/>
      <c r="V24" s="155"/>
      <c r="W24" s="155"/>
      <c r="X24" s="155"/>
      <c r="Y24" s="155">
        <f t="shared" si="3"/>
        <v>0</v>
      </c>
      <c r="Z24" s="155">
        <f t="shared" si="4"/>
        <v>0</v>
      </c>
      <c r="AA24" s="15">
        <f t="shared" si="5"/>
        <v>0</v>
      </c>
      <c r="AB24" s="15"/>
    </row>
    <row r="25" spans="1:28" ht="19.5">
      <c r="A25" s="149" t="s">
        <v>50</v>
      </c>
      <c r="B25" s="35"/>
      <c r="C25" s="36">
        <f t="shared" si="7"/>
        <v>0</v>
      </c>
      <c r="D25" s="119"/>
      <c r="E25" s="119"/>
      <c r="F25" s="119"/>
      <c r="G25" s="119"/>
      <c r="H25" s="119"/>
      <c r="I25" s="119"/>
      <c r="J25" s="119"/>
      <c r="K25" s="119"/>
      <c r="L25" s="119"/>
      <c r="M25" s="18">
        <v>0</v>
      </c>
      <c r="N25" s="38"/>
      <c r="O25" s="38"/>
      <c r="P25" s="38"/>
      <c r="Q25" s="155">
        <f t="shared" si="8"/>
        <v>0</v>
      </c>
      <c r="R25" s="155"/>
      <c r="S25" s="155">
        <f t="shared" si="2"/>
        <v>0</v>
      </c>
      <c r="T25" s="155"/>
      <c r="U25" s="155"/>
      <c r="V25" s="155"/>
      <c r="W25" s="155"/>
      <c r="X25" s="155"/>
      <c r="Y25" s="155">
        <f t="shared" si="3"/>
        <v>0</v>
      </c>
      <c r="Z25" s="155">
        <f t="shared" si="4"/>
        <v>0</v>
      </c>
      <c r="AA25" s="15">
        <f t="shared" si="5"/>
        <v>0</v>
      </c>
      <c r="AB25" s="15"/>
    </row>
    <row r="26" spans="1:28" ht="19.5">
      <c r="A26" s="149" t="s">
        <v>51</v>
      </c>
      <c r="B26" s="35"/>
      <c r="C26" s="36">
        <f t="shared" si="7"/>
        <v>0</v>
      </c>
      <c r="D26" s="119"/>
      <c r="E26" s="119"/>
      <c r="F26" s="119"/>
      <c r="G26" s="119"/>
      <c r="H26" s="119"/>
      <c r="I26" s="119"/>
      <c r="J26" s="119"/>
      <c r="K26" s="119"/>
      <c r="L26" s="119"/>
      <c r="M26" s="18">
        <v>0</v>
      </c>
      <c r="N26" s="38"/>
      <c r="O26" s="38"/>
      <c r="P26" s="38"/>
      <c r="Q26" s="155">
        <f t="shared" si="8"/>
        <v>0</v>
      </c>
      <c r="R26" s="155"/>
      <c r="S26" s="155">
        <f t="shared" si="2"/>
        <v>0</v>
      </c>
      <c r="T26" s="155"/>
      <c r="U26" s="155"/>
      <c r="V26" s="155"/>
      <c r="W26" s="155"/>
      <c r="X26" s="155"/>
      <c r="Y26" s="155">
        <f t="shared" si="3"/>
        <v>0</v>
      </c>
      <c r="Z26" s="155">
        <f t="shared" si="4"/>
        <v>0</v>
      </c>
      <c r="AA26" s="15">
        <f t="shared" si="5"/>
        <v>0</v>
      </c>
      <c r="AB26" s="15"/>
    </row>
    <row r="27" spans="1:28" ht="19.5">
      <c r="A27" s="16" t="s">
        <v>40</v>
      </c>
      <c r="B27" s="35"/>
      <c r="C27" s="36">
        <f t="shared" si="7"/>
        <v>0</v>
      </c>
      <c r="D27" s="115"/>
      <c r="E27" s="115"/>
      <c r="F27" s="115"/>
      <c r="G27" s="115"/>
      <c r="H27" s="115"/>
      <c r="I27" s="115"/>
      <c r="J27" s="115"/>
      <c r="K27" s="115"/>
      <c r="L27" s="115"/>
      <c r="M27" s="18">
        <v>0</v>
      </c>
      <c r="N27" s="18"/>
      <c r="O27" s="18"/>
      <c r="P27" s="18"/>
      <c r="Q27" s="152">
        <f t="shared" si="8"/>
        <v>0</v>
      </c>
      <c r="R27" s="152"/>
      <c r="S27" s="152">
        <f t="shared" si="2"/>
        <v>0</v>
      </c>
      <c r="T27" s="152"/>
      <c r="U27" s="152"/>
      <c r="V27" s="152"/>
      <c r="W27" s="152"/>
      <c r="X27" s="152"/>
      <c r="Y27" s="152">
        <f t="shared" si="3"/>
        <v>0</v>
      </c>
      <c r="Z27" s="152">
        <f t="shared" si="4"/>
        <v>0</v>
      </c>
      <c r="AA27" s="15">
        <f t="shared" si="5"/>
        <v>0</v>
      </c>
      <c r="AB27" s="15"/>
    </row>
    <row r="28" spans="1:28" ht="19.5" hidden="1">
      <c r="A28" s="145" t="s">
        <v>52</v>
      </c>
      <c r="B28" s="146">
        <v>1</v>
      </c>
      <c r="C28" s="147">
        <f>SUM(C15:C27)</f>
        <v>109590.84589032008</v>
      </c>
      <c r="D28" s="148">
        <f t="shared" ref="D28:O28" si="9">SUM(D15:D27)</f>
        <v>0</v>
      </c>
      <c r="E28" s="148">
        <f t="shared" si="9"/>
        <v>0</v>
      </c>
      <c r="F28" s="148">
        <f t="shared" si="9"/>
        <v>0</v>
      </c>
      <c r="G28" s="148">
        <f t="shared" si="9"/>
        <v>0</v>
      </c>
      <c r="H28" s="148">
        <f t="shared" si="9"/>
        <v>0</v>
      </c>
      <c r="I28" s="148">
        <f t="shared" si="9"/>
        <v>0</v>
      </c>
      <c r="J28" s="148">
        <f t="shared" si="9"/>
        <v>0</v>
      </c>
      <c r="K28" s="148">
        <f t="shared" si="9"/>
        <v>0</v>
      </c>
      <c r="L28" s="148">
        <f t="shared" si="9"/>
        <v>0</v>
      </c>
      <c r="M28" s="147">
        <f t="shared" si="9"/>
        <v>109590.84589032008</v>
      </c>
      <c r="N28" s="147">
        <f t="shared" si="9"/>
        <v>0</v>
      </c>
      <c r="O28" s="147">
        <f t="shared" si="9"/>
        <v>0</v>
      </c>
      <c r="P28" s="147"/>
      <c r="Q28" s="153"/>
      <c r="R28" s="153"/>
      <c r="S28" s="153"/>
      <c r="T28" s="153"/>
      <c r="U28" s="153"/>
      <c r="V28" s="153"/>
      <c r="W28" s="153"/>
      <c r="X28" s="153"/>
      <c r="Y28" s="153">
        <f t="shared" si="3"/>
        <v>0</v>
      </c>
      <c r="Z28" s="153">
        <f t="shared" si="4"/>
        <v>0</v>
      </c>
      <c r="AA28" s="15">
        <f t="shared" si="5"/>
        <v>0</v>
      </c>
      <c r="AB28" s="15"/>
    </row>
    <row r="29" spans="1:28" ht="21">
      <c r="A29" s="610" t="s">
        <v>8</v>
      </c>
      <c r="B29" s="610"/>
      <c r="C29" s="150">
        <f>C28+C13</f>
        <v>240434.51980052944</v>
      </c>
      <c r="D29" s="151">
        <f t="shared" ref="D29:O29" si="10">D28+D13</f>
        <v>0</v>
      </c>
      <c r="E29" s="151">
        <f t="shared" si="10"/>
        <v>0</v>
      </c>
      <c r="F29" s="151">
        <f t="shared" si="10"/>
        <v>0</v>
      </c>
      <c r="G29" s="151">
        <f t="shared" si="10"/>
        <v>0</v>
      </c>
      <c r="H29" s="151">
        <f t="shared" si="10"/>
        <v>0</v>
      </c>
      <c r="I29" s="151">
        <f t="shared" si="10"/>
        <v>0</v>
      </c>
      <c r="J29" s="151">
        <f t="shared" si="10"/>
        <v>0</v>
      </c>
      <c r="K29" s="151">
        <f t="shared" si="10"/>
        <v>0</v>
      </c>
      <c r="L29" s="151">
        <f t="shared" si="10"/>
        <v>0</v>
      </c>
      <c r="M29" s="150">
        <f t="shared" si="10"/>
        <v>228434.51980052941</v>
      </c>
      <c r="N29" s="150">
        <f t="shared" si="10"/>
        <v>12000</v>
      </c>
      <c r="O29" s="150">
        <f t="shared" si="10"/>
        <v>0</v>
      </c>
      <c r="P29" s="150"/>
      <c r="Q29" s="143"/>
      <c r="R29" s="156">
        <f>SUM(R6:R28)</f>
        <v>24640998841.794231</v>
      </c>
      <c r="S29" s="156">
        <f t="shared" ref="S29:Y29" si="11">SUM(S6:S28)</f>
        <v>1030293834833.0717</v>
      </c>
      <c r="T29" s="156">
        <f t="shared" si="11"/>
        <v>30276882912.043186</v>
      </c>
      <c r="U29" s="156">
        <f t="shared" si="11"/>
        <v>44592126237.846802</v>
      </c>
      <c r="V29" s="156">
        <f t="shared" si="11"/>
        <v>6523068123.6074295</v>
      </c>
      <c r="W29" s="156">
        <f t="shared" si="11"/>
        <v>3768883804.7509594</v>
      </c>
      <c r="X29" s="156">
        <f t="shared" si="11"/>
        <v>13270708624.823023</v>
      </c>
      <c r="Y29" s="156">
        <f t="shared" si="11"/>
        <v>19830000000.000004</v>
      </c>
      <c r="Z29" s="156">
        <f>SUM(Z6:Z28)</f>
        <v>117000000000</v>
      </c>
    </row>
    <row r="32" spans="1:28" s="48" customFormat="1" ht="18.75">
      <c r="Z32" s="48">
        <f>SUM(R29:Z29)</f>
        <v>1290196503377.9373</v>
      </c>
      <c r="AA32" s="49"/>
    </row>
    <row r="33" spans="1:27" s="48" customFormat="1" ht="18.75">
      <c r="AA33" s="49"/>
    </row>
    <row r="34" spans="1:27" s="48" customFormat="1" ht="21">
      <c r="A34" s="50"/>
      <c r="B34" s="50"/>
      <c r="C34" s="605" t="s">
        <v>70</v>
      </c>
      <c r="D34" s="605"/>
      <c r="E34" s="605" t="s">
        <v>71</v>
      </c>
      <c r="F34" s="605"/>
      <c r="G34" s="605" t="s">
        <v>72</v>
      </c>
      <c r="H34" s="605"/>
      <c r="I34" s="605" t="s">
        <v>73</v>
      </c>
      <c r="J34" s="605"/>
      <c r="Q34" s="50"/>
      <c r="R34" s="50"/>
      <c r="S34" s="50"/>
      <c r="T34" s="50"/>
      <c r="U34" s="50"/>
      <c r="V34" s="50"/>
      <c r="W34" s="50"/>
      <c r="X34" s="50"/>
      <c r="Y34" s="50"/>
      <c r="Z34" s="50">
        <f>'فروش سه ماهه آخر 94'!T29</f>
        <v>1433296422789.4385</v>
      </c>
      <c r="AA34" s="49"/>
    </row>
    <row r="35" spans="1:27" s="48" customFormat="1" ht="23.25" customHeight="1">
      <c r="A35" s="50"/>
      <c r="B35" s="50"/>
      <c r="C35" s="54" t="s">
        <v>69</v>
      </c>
      <c r="D35" s="54"/>
      <c r="E35" s="54" t="s">
        <v>69</v>
      </c>
      <c r="F35" s="54"/>
      <c r="G35" s="54" t="s">
        <v>69</v>
      </c>
      <c r="H35" s="54"/>
      <c r="I35" s="54" t="s">
        <v>69</v>
      </c>
      <c r="J35" s="54" t="s">
        <v>9</v>
      </c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49"/>
    </row>
    <row r="36" spans="1:27" s="49" customFormat="1" ht="24.75" customHeight="1">
      <c r="A36" t="s">
        <v>12</v>
      </c>
      <c r="B36" s="52"/>
      <c r="C36" s="122"/>
      <c r="D36" s="122"/>
      <c r="E36" s="122"/>
      <c r="F36" s="122"/>
      <c r="G36" s="122"/>
      <c r="H36" s="122"/>
      <c r="I36" s="52">
        <f>SUM(M7:O7,M15:O16)</f>
        <v>57420.606858640967</v>
      </c>
      <c r="J36" s="52">
        <f>AA7+AA15+AA16</f>
        <v>358056.17418431345</v>
      </c>
      <c r="Q36"/>
      <c r="R36"/>
      <c r="S36"/>
      <c r="T36"/>
      <c r="U36"/>
      <c r="V36"/>
      <c r="W36"/>
      <c r="X36"/>
      <c r="Y36"/>
      <c r="Z36">
        <f>Z34-Z32</f>
        <v>143099919411.50122</v>
      </c>
    </row>
    <row r="37" spans="1:27" s="49" customFormat="1" ht="18.75">
      <c r="A37" t="s">
        <v>13</v>
      </c>
      <c r="B37" s="52"/>
      <c r="C37" s="122"/>
      <c r="D37" s="122"/>
      <c r="E37" s="122"/>
      <c r="F37" s="122"/>
      <c r="G37" s="122"/>
      <c r="H37" s="122"/>
      <c r="I37" s="52">
        <f>SUM(M17:O18)</f>
        <v>40551.974831023646</v>
      </c>
      <c r="J37" s="52">
        <f>AA17+AA18</f>
        <v>244121.05187163755</v>
      </c>
      <c r="Q37"/>
      <c r="R37"/>
      <c r="S37" s="15">
        <f>S29/241931</f>
        <v>4258626.777192967</v>
      </c>
      <c r="T37"/>
      <c r="U37"/>
      <c r="V37"/>
      <c r="W37"/>
      <c r="X37"/>
      <c r="Y37"/>
      <c r="Z37"/>
    </row>
    <row r="38" spans="1:27" s="49" customFormat="1" ht="18.75">
      <c r="A38" t="s">
        <v>14</v>
      </c>
      <c r="B38" s="52"/>
      <c r="C38" s="122"/>
      <c r="D38" s="122"/>
      <c r="E38" s="122"/>
      <c r="F38" s="122"/>
      <c r="G38" s="122"/>
      <c r="H38" s="122"/>
      <c r="I38" s="52">
        <f>SUM(M8:O8,M19:O20)</f>
        <v>13751.862286049542</v>
      </c>
      <c r="J38" s="52">
        <f>AA8+AA19+AA20</f>
        <v>73869.025234527246</v>
      </c>
      <c r="Q38"/>
      <c r="R38"/>
      <c r="S38"/>
      <c r="T38"/>
      <c r="U38"/>
      <c r="V38"/>
      <c r="W38"/>
      <c r="X38"/>
      <c r="Y38"/>
      <c r="Z38">
        <f>Z36/Z34</f>
        <v>9.9839724104665281E-2</v>
      </c>
    </row>
    <row r="39" spans="1:27" s="49" customFormat="1" ht="18.75">
      <c r="A39" t="s">
        <v>15</v>
      </c>
      <c r="B39" s="52"/>
      <c r="C39" s="122"/>
      <c r="D39" s="122"/>
      <c r="E39" s="122"/>
      <c r="F39" s="122"/>
      <c r="G39" s="122"/>
      <c r="H39" s="122"/>
      <c r="I39" s="52">
        <f>SUM(M21:O22)</f>
        <v>1200.9523579714901</v>
      </c>
      <c r="J39" s="52">
        <f>AA21+AA22</f>
        <v>6924.8812199497925</v>
      </c>
      <c r="Q39"/>
      <c r="R39"/>
      <c r="S39"/>
      <c r="T39"/>
      <c r="U39"/>
      <c r="V39"/>
      <c r="W39"/>
      <c r="X39"/>
      <c r="Y39"/>
      <c r="Z39"/>
    </row>
    <row r="40" spans="1:27" s="49" customFormat="1" ht="18.75">
      <c r="A40" t="s">
        <v>16</v>
      </c>
      <c r="B40" s="52"/>
      <c r="C40" s="122"/>
      <c r="D40" s="122"/>
      <c r="E40" s="122"/>
      <c r="F40" s="122"/>
      <c r="G40" s="122"/>
      <c r="H40" s="122"/>
      <c r="I40" s="52">
        <f>SUM(M11:O11)</f>
        <v>114145.26026088151</v>
      </c>
      <c r="J40" s="52">
        <f>AA11</f>
        <v>522645.72998737911</v>
      </c>
      <c r="Q40"/>
      <c r="R40"/>
      <c r="S40"/>
      <c r="T40"/>
      <c r="U40"/>
      <c r="V40"/>
      <c r="W40"/>
      <c r="X40"/>
      <c r="Y40"/>
      <c r="Z40"/>
    </row>
    <row r="41" spans="1:27" s="49" customFormat="1" ht="18.75">
      <c r="A41" t="s">
        <v>17</v>
      </c>
      <c r="B41" s="52"/>
      <c r="C41" s="122"/>
      <c r="D41" s="122"/>
      <c r="E41" s="122"/>
      <c r="F41" s="122"/>
      <c r="G41" s="122"/>
      <c r="H41" s="122"/>
      <c r="I41" s="52">
        <f>SUM(M9:O9,M23:O23)</f>
        <v>13352.8632059623</v>
      </c>
      <c r="J41" s="52">
        <f>AA9+AA23</f>
        <v>84547.38828790914</v>
      </c>
      <c r="Q41"/>
      <c r="R41"/>
      <c r="S41"/>
      <c r="T41"/>
      <c r="U41"/>
      <c r="V41"/>
      <c r="W41"/>
      <c r="X41"/>
      <c r="Y41"/>
      <c r="Z41"/>
    </row>
    <row r="42" spans="1:27" s="49" customFormat="1" ht="18.75">
      <c r="A42" t="s">
        <v>18</v>
      </c>
      <c r="B42" s="52"/>
      <c r="C42" s="122"/>
      <c r="D42" s="122"/>
      <c r="E42" s="122"/>
      <c r="F42" s="122"/>
      <c r="G42" s="122"/>
      <c r="H42" s="122"/>
      <c r="I42" s="52">
        <f>SUM(M10:O10)</f>
        <v>11</v>
      </c>
      <c r="J42" s="52">
        <f>AA10</f>
        <v>32.252592221017352</v>
      </c>
      <c r="Q42"/>
      <c r="R42"/>
      <c r="S42"/>
      <c r="T42"/>
      <c r="U42"/>
      <c r="V42"/>
      <c r="W42"/>
      <c r="X42"/>
      <c r="Y42"/>
      <c r="Z42"/>
    </row>
    <row r="43" spans="1:27" s="49" customFormat="1" ht="18.75">
      <c r="A43" t="s">
        <v>49</v>
      </c>
      <c r="B43" s="52"/>
      <c r="C43" s="122"/>
      <c r="D43" s="122"/>
      <c r="E43" s="122"/>
      <c r="F43" s="122"/>
      <c r="G43" s="122"/>
      <c r="H43" s="122"/>
      <c r="I43" s="52">
        <f>SUM(M24:O24,M26:O26)</f>
        <v>0</v>
      </c>
      <c r="J43" s="52">
        <f>AA24+AA26</f>
        <v>0</v>
      </c>
      <c r="Q43"/>
      <c r="R43"/>
      <c r="S43"/>
      <c r="T43"/>
      <c r="U43"/>
      <c r="V43"/>
      <c r="W43"/>
      <c r="X43"/>
      <c r="Y43"/>
      <c r="Z43"/>
    </row>
    <row r="44" spans="1:27" s="49" customFormat="1" ht="18.75">
      <c r="A44" t="s">
        <v>74</v>
      </c>
      <c r="B44" s="52"/>
      <c r="C44" s="122"/>
      <c r="D44" s="122"/>
      <c r="E44" s="122"/>
      <c r="F44" s="122"/>
      <c r="G44" s="122"/>
      <c r="H44" s="122"/>
      <c r="I44" s="52">
        <f>SUM(M25:O25)</f>
        <v>0</v>
      </c>
      <c r="J44" s="52">
        <f>AA25</f>
        <v>0</v>
      </c>
      <c r="Q44"/>
      <c r="R44"/>
      <c r="S44"/>
      <c r="T44"/>
      <c r="U44"/>
      <c r="V44"/>
      <c r="W44"/>
      <c r="X44"/>
      <c r="Y44"/>
      <c r="Z44"/>
    </row>
    <row r="45" spans="1:27" s="49" customFormat="1" ht="18.75">
      <c r="A45" t="s">
        <v>19</v>
      </c>
      <c r="B45" s="52"/>
      <c r="C45" s="122"/>
      <c r="D45" s="122"/>
      <c r="E45" s="122"/>
      <c r="F45" s="122"/>
      <c r="G45" s="122"/>
      <c r="H45" s="122"/>
      <c r="I45" s="52">
        <f>SUM(M12:O12,M27:O27)</f>
        <v>0</v>
      </c>
      <c r="J45" s="52">
        <f>AA12+AA27</f>
        <v>0</v>
      </c>
      <c r="K45" s="49">
        <v>0</v>
      </c>
      <c r="Q45"/>
      <c r="R45"/>
      <c r="S45"/>
      <c r="T45"/>
      <c r="U45"/>
      <c r="V45"/>
      <c r="W45"/>
      <c r="X45"/>
      <c r="Y45"/>
      <c r="Z45"/>
    </row>
    <row r="46" spans="1:27" s="48" customFormat="1" ht="18.75">
      <c r="AA46" s="49"/>
    </row>
    <row r="47" spans="1:27" s="48" customFormat="1" ht="18.75">
      <c r="AA47" s="49"/>
    </row>
    <row r="48" spans="1:27" s="48" customFormat="1" ht="18.75">
      <c r="AA48" s="49"/>
    </row>
    <row r="49" spans="27:27" s="48" customFormat="1" ht="18.75">
      <c r="AA49" s="49"/>
    </row>
    <row r="50" spans="27:27" s="48" customFormat="1" ht="18.75">
      <c r="AA50" s="49"/>
    </row>
  </sheetData>
  <mergeCells count="9">
    <mergeCell ref="A1:Z1"/>
    <mergeCell ref="A2:Z2"/>
    <mergeCell ref="A3:Z3"/>
    <mergeCell ref="A29:B29"/>
    <mergeCell ref="C34:D34"/>
    <mergeCell ref="E34:F34"/>
    <mergeCell ref="G34:H34"/>
    <mergeCell ref="I34:J34"/>
    <mergeCell ref="AA4:AD4"/>
  </mergeCells>
  <dataValidations count="1">
    <dataValidation operator="greaterThanOrEqual" allowBlank="1" showInputMessage="1" showErrorMessage="1" sqref="AB1:AD3 A1:A3 T1:AA4 A4:S4 AE1:XFD4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8" scale="7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46"/>
  <sheetViews>
    <sheetView rightToLeft="1" workbookViewId="0">
      <pane xSplit="3" ySplit="2" topLeftCell="D18" activePane="bottomRight" state="frozen"/>
      <selection activeCell="B14" sqref="B14:B16"/>
      <selection pane="topRight" activeCell="B14" sqref="B14:B16"/>
      <selection pane="bottomLeft" activeCell="B14" sqref="B14:B16"/>
      <selection pane="bottomRight" activeCell="B14" sqref="B14:B16"/>
    </sheetView>
  </sheetViews>
  <sheetFormatPr defaultRowHeight="15"/>
  <cols>
    <col min="1" max="1" width="21.42578125" customWidth="1"/>
    <col min="2" max="2" width="9" customWidth="1"/>
    <col min="3" max="3" width="12.28515625" customWidth="1"/>
    <col min="4" max="10" width="10.42578125" customWidth="1"/>
    <col min="11" max="12" width="9" customWidth="1"/>
    <col min="13" max="13" width="10.7109375" customWidth="1"/>
    <col min="14" max="17" width="9" customWidth="1"/>
    <col min="18" max="18" width="13" customWidth="1"/>
    <col min="19" max="19" width="20.28515625" customWidth="1"/>
    <col min="20" max="20" width="14.7109375" customWidth="1"/>
    <col min="21" max="21" width="19.42578125" customWidth="1"/>
    <col min="22" max="22" width="20.7109375" style="15" customWidth="1"/>
    <col min="23" max="23" width="18.85546875" customWidth="1"/>
    <col min="24" max="24" width="19.5703125" customWidth="1"/>
    <col min="25" max="26" width="14.7109375" customWidth="1"/>
    <col min="27" max="28" width="18.5703125" customWidth="1"/>
    <col min="29" max="31" width="12.85546875" customWidth="1"/>
    <col min="32" max="43" width="10.140625" style="15" customWidth="1"/>
    <col min="44" max="44" width="3.5703125" customWidth="1"/>
  </cols>
  <sheetData>
    <row r="1" spans="1:44" ht="58.5">
      <c r="A1" s="5" t="s">
        <v>0</v>
      </c>
      <c r="B1" s="5"/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27</v>
      </c>
      <c r="K1" s="6" t="s">
        <v>28</v>
      </c>
      <c r="L1" s="6" t="s">
        <v>29</v>
      </c>
      <c r="M1" s="6" t="s">
        <v>30</v>
      </c>
      <c r="N1" s="6" t="s">
        <v>31</v>
      </c>
      <c r="O1" s="6" t="s">
        <v>32</v>
      </c>
      <c r="P1" s="7" t="s">
        <v>33</v>
      </c>
      <c r="Q1" s="8" t="s">
        <v>34</v>
      </c>
      <c r="R1" s="8" t="s">
        <v>81</v>
      </c>
      <c r="S1" s="8" t="s">
        <v>82</v>
      </c>
      <c r="T1" s="8" t="s">
        <v>75</v>
      </c>
      <c r="U1" s="8" t="s">
        <v>57</v>
      </c>
      <c r="V1" s="124" t="s">
        <v>58</v>
      </c>
      <c r="W1" s="8" t="s">
        <v>59</v>
      </c>
      <c r="X1" s="8" t="s">
        <v>76</v>
      </c>
      <c r="Y1" s="8" t="s">
        <v>77</v>
      </c>
      <c r="Z1" s="8" t="s">
        <v>78</v>
      </c>
      <c r="AA1" s="8" t="s">
        <v>79</v>
      </c>
      <c r="AB1" s="8" t="s">
        <v>80</v>
      </c>
      <c r="AF1" s="9" t="s">
        <v>21</v>
      </c>
      <c r="AG1" s="9" t="s">
        <v>22</v>
      </c>
      <c r="AH1" s="9" t="s">
        <v>23</v>
      </c>
      <c r="AI1" s="9" t="s">
        <v>24</v>
      </c>
      <c r="AJ1" s="9" t="s">
        <v>25</v>
      </c>
      <c r="AK1" s="9" t="s">
        <v>26</v>
      </c>
      <c r="AL1" s="9" t="s">
        <v>27</v>
      </c>
      <c r="AM1" s="9" t="s">
        <v>28</v>
      </c>
      <c r="AN1" s="9" t="s">
        <v>29</v>
      </c>
      <c r="AO1" s="9" t="s">
        <v>30</v>
      </c>
      <c r="AP1" s="9" t="s">
        <v>31</v>
      </c>
      <c r="AQ1" s="9" t="s">
        <v>32</v>
      </c>
    </row>
    <row r="2" spans="1:44" ht="19.5">
      <c r="A2" s="10" t="s">
        <v>35</v>
      </c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"/>
      <c r="Q2" s="14"/>
      <c r="R2" s="14"/>
      <c r="S2" s="14"/>
      <c r="T2" s="14"/>
      <c r="U2" s="14"/>
      <c r="V2" s="125"/>
      <c r="W2" s="14"/>
      <c r="X2" s="14"/>
      <c r="Y2" s="14"/>
      <c r="Z2" s="14"/>
      <c r="AA2" s="14"/>
      <c r="AB2" s="14"/>
    </row>
    <row r="3" spans="1:44" ht="19.5">
      <c r="A3" s="16" t="s">
        <v>36</v>
      </c>
      <c r="B3" s="17">
        <v>0.2153846153846154</v>
      </c>
      <c r="C3" s="6">
        <f t="shared" ref="C3:C8" si="0">SUM(D3:O3)</f>
        <v>140000</v>
      </c>
      <c r="D3" s="18">
        <v>7538.461538461539</v>
      </c>
      <c r="E3" s="18">
        <v>10769.23076923077</v>
      </c>
      <c r="F3" s="18">
        <v>12923.076923076924</v>
      </c>
      <c r="G3" s="18">
        <v>14000</v>
      </c>
      <c r="H3" s="18">
        <v>15076.923076923078</v>
      </c>
      <c r="I3" s="18">
        <v>17230.76923076923</v>
      </c>
      <c r="J3" s="18">
        <v>16153.846153846154</v>
      </c>
      <c r="K3" s="18">
        <v>14000</v>
      </c>
      <c r="L3" s="18">
        <v>10769.23076923077</v>
      </c>
      <c r="M3" s="18">
        <v>8615.3846153846152</v>
      </c>
      <c r="N3" s="18">
        <v>7538.461538461539</v>
      </c>
      <c r="O3" s="18">
        <v>5384.6153846153848</v>
      </c>
      <c r="P3" s="18" t="s">
        <v>11</v>
      </c>
      <c r="Q3" s="18" t="s">
        <v>11</v>
      </c>
      <c r="R3" s="19">
        <f t="shared" ref="R3:R8" si="1">IFERROR(SUM(T3:AB3)/C3,0)</f>
        <v>4087998.6833443055</v>
      </c>
      <c r="S3" s="19">
        <f t="shared" ref="S3:S8" si="2">R3*C3</f>
        <v>572319815668.20276</v>
      </c>
      <c r="T3" s="19"/>
      <c r="U3" s="19">
        <f>C3/0.98*3735000</f>
        <v>533571428571.42859</v>
      </c>
      <c r="V3" s="126"/>
      <c r="W3" s="19"/>
      <c r="X3" s="19"/>
      <c r="Y3" s="19"/>
      <c r="Z3" s="19"/>
      <c r="AA3" s="19">
        <f t="shared" ref="AA3:AA8" si="3">C3/1550000*96000000000</f>
        <v>8670967741.9354839</v>
      </c>
      <c r="AB3" s="19">
        <f t="shared" ref="AB3:AB8" si="4">C3/1550000*333000000000</f>
        <v>30077419354.838707</v>
      </c>
      <c r="AF3" s="15">
        <f>D3*$R$3/1000000</f>
        <v>30817.220843672458</v>
      </c>
      <c r="AG3" s="15">
        <f t="shared" ref="AG3:AQ3" si="5">E3*$R$3/1000000</f>
        <v>44024.60120524637</v>
      </c>
      <c r="AH3" s="15">
        <f t="shared" si="5"/>
        <v>52829.52144629565</v>
      </c>
      <c r="AI3" s="15">
        <f t="shared" si="5"/>
        <v>57231.981566820272</v>
      </c>
      <c r="AJ3" s="15">
        <f t="shared" si="5"/>
        <v>61634.441687344915</v>
      </c>
      <c r="AK3" s="15">
        <f t="shared" si="5"/>
        <v>70439.361928394181</v>
      </c>
      <c r="AL3" s="15">
        <f t="shared" si="5"/>
        <v>66036.901807869552</v>
      </c>
      <c r="AM3" s="15">
        <f t="shared" si="5"/>
        <v>57231.981566820272</v>
      </c>
      <c r="AN3" s="15">
        <f t="shared" si="5"/>
        <v>44024.60120524637</v>
      </c>
      <c r="AO3" s="15">
        <f t="shared" si="5"/>
        <v>35219.68096419709</v>
      </c>
      <c r="AP3" s="15">
        <f t="shared" si="5"/>
        <v>30817.220843672458</v>
      </c>
      <c r="AQ3" s="15">
        <f t="shared" si="5"/>
        <v>22012.300602623185</v>
      </c>
      <c r="AR3" s="20"/>
    </row>
    <row r="4" spans="1:44" ht="19.5">
      <c r="A4" s="16" t="s">
        <v>37</v>
      </c>
      <c r="B4" s="17">
        <v>0.12769230769230769</v>
      </c>
      <c r="C4" s="6">
        <f t="shared" si="0"/>
        <v>83000</v>
      </c>
      <c r="D4" s="18">
        <v>4469.2307692307695</v>
      </c>
      <c r="E4" s="18">
        <v>6384.6153846153848</v>
      </c>
      <c r="F4" s="18">
        <v>7661.538461538461</v>
      </c>
      <c r="G4" s="18">
        <v>8300</v>
      </c>
      <c r="H4" s="18">
        <v>8938.461538461539</v>
      </c>
      <c r="I4" s="18">
        <v>10215.384615384615</v>
      </c>
      <c r="J4" s="18">
        <v>9576.9230769230762</v>
      </c>
      <c r="K4" s="18">
        <v>8300</v>
      </c>
      <c r="L4" s="18">
        <v>6384.6153846153848</v>
      </c>
      <c r="M4" s="18">
        <v>5107.6923076923076</v>
      </c>
      <c r="N4" s="18">
        <v>4469.2307692307695</v>
      </c>
      <c r="O4" s="18">
        <v>3192.3076923076924</v>
      </c>
      <c r="P4" s="18" t="s">
        <v>11</v>
      </c>
      <c r="Q4" s="18" t="s">
        <v>11</v>
      </c>
      <c r="R4" s="19">
        <f t="shared" si="1"/>
        <v>4087998.683344306</v>
      </c>
      <c r="S4" s="19">
        <f t="shared" si="2"/>
        <v>339303890717.57739</v>
      </c>
      <c r="T4" s="19"/>
      <c r="U4" s="19">
        <f>C4/0.98*3735000</f>
        <v>316331632653.06122</v>
      </c>
      <c r="V4" s="126"/>
      <c r="W4" s="19"/>
      <c r="X4" s="19"/>
      <c r="Y4" s="19"/>
      <c r="Z4" s="19"/>
      <c r="AA4" s="19">
        <f t="shared" si="3"/>
        <v>5140645161.2903233</v>
      </c>
      <c r="AB4" s="19">
        <f t="shared" si="4"/>
        <v>17831612903.225807</v>
      </c>
      <c r="AF4" s="15">
        <f>D4*$R$4/1000000</f>
        <v>18270.209500177247</v>
      </c>
      <c r="AG4" s="15">
        <f t="shared" ref="AG4:AQ4" si="6">E4*$R$4/1000000</f>
        <v>26100.299285967492</v>
      </c>
      <c r="AH4" s="15">
        <f t="shared" si="6"/>
        <v>31320.359143160989</v>
      </c>
      <c r="AI4" s="15">
        <f t="shared" si="6"/>
        <v>33930.389071757738</v>
      </c>
      <c r="AJ4" s="15">
        <f t="shared" si="6"/>
        <v>36540.419000354494</v>
      </c>
      <c r="AK4" s="15">
        <f t="shared" si="6"/>
        <v>41760.478857547991</v>
      </c>
      <c r="AL4" s="15">
        <f t="shared" si="6"/>
        <v>39150.448928951235</v>
      </c>
      <c r="AM4" s="15">
        <f t="shared" si="6"/>
        <v>33930.389071757738</v>
      </c>
      <c r="AN4" s="15">
        <f t="shared" si="6"/>
        <v>26100.299285967492</v>
      </c>
      <c r="AO4" s="15">
        <f t="shared" si="6"/>
        <v>20880.239428773995</v>
      </c>
      <c r="AP4" s="15">
        <f t="shared" si="6"/>
        <v>18270.209500177247</v>
      </c>
      <c r="AQ4" s="15">
        <f t="shared" si="6"/>
        <v>13050.149642983746</v>
      </c>
      <c r="AR4" s="20"/>
    </row>
    <row r="5" spans="1:44" ht="19.5">
      <c r="A5" s="16" t="s">
        <v>38</v>
      </c>
      <c r="B5" s="17">
        <v>1.5384615384615385E-2</v>
      </c>
      <c r="C5" s="6">
        <f t="shared" si="0"/>
        <v>10000.000000000002</v>
      </c>
      <c r="D5" s="18">
        <v>538.46153846153845</v>
      </c>
      <c r="E5" s="18">
        <v>769.23076923076928</v>
      </c>
      <c r="F5" s="18">
        <v>923.07692307692309</v>
      </c>
      <c r="G5" s="18">
        <v>1000</v>
      </c>
      <c r="H5" s="18">
        <v>1076.9230769230769</v>
      </c>
      <c r="I5" s="18">
        <v>1230.7692307692309</v>
      </c>
      <c r="J5" s="18">
        <v>1153.8461538461538</v>
      </c>
      <c r="K5" s="18">
        <v>1000</v>
      </c>
      <c r="L5" s="18">
        <v>769.23076923076928</v>
      </c>
      <c r="M5" s="18">
        <v>615.38461538461547</v>
      </c>
      <c r="N5" s="18">
        <v>538.46153846153845</v>
      </c>
      <c r="O5" s="18">
        <v>384.61538461538464</v>
      </c>
      <c r="P5" s="18" t="s">
        <v>11</v>
      </c>
      <c r="Q5" s="18" t="s">
        <v>11</v>
      </c>
      <c r="R5" s="19">
        <f t="shared" si="1"/>
        <v>5402637.5608953256</v>
      </c>
      <c r="S5" s="19">
        <f t="shared" si="2"/>
        <v>54026375608.953262</v>
      </c>
      <c r="T5" s="19"/>
      <c r="U5" s="19">
        <f>C5*0.75/0.98*3735000</f>
        <v>28584183673.469395</v>
      </c>
      <c r="V5" s="127">
        <f>C5*0.25*9069780</f>
        <v>22674450000.000004</v>
      </c>
      <c r="W5" s="19"/>
      <c r="X5" s="19"/>
      <c r="Y5" s="19"/>
      <c r="Z5" s="19"/>
      <c r="AA5" s="19">
        <f t="shared" si="3"/>
        <v>619354838.70967746</v>
      </c>
      <c r="AB5" s="19">
        <f t="shared" si="4"/>
        <v>2148387096.7741938</v>
      </c>
      <c r="AF5" s="15">
        <f>D5*$R$5/1000000</f>
        <v>2909.1125327897907</v>
      </c>
      <c r="AG5" s="15">
        <f t="shared" ref="AG5:AQ5" si="7">E5*$R$5/1000000</f>
        <v>4155.8750468425587</v>
      </c>
      <c r="AH5" s="15">
        <f t="shared" si="7"/>
        <v>4987.0500562110701</v>
      </c>
      <c r="AI5" s="15">
        <f t="shared" si="7"/>
        <v>5402.6375608953258</v>
      </c>
      <c r="AJ5" s="15">
        <f t="shared" si="7"/>
        <v>5818.2250655795815</v>
      </c>
      <c r="AK5" s="15">
        <f t="shared" si="7"/>
        <v>6649.4000749480947</v>
      </c>
      <c r="AL5" s="15">
        <f t="shared" si="7"/>
        <v>6233.8125702638372</v>
      </c>
      <c r="AM5" s="15">
        <f t="shared" si="7"/>
        <v>5402.6375608953258</v>
      </c>
      <c r="AN5" s="15">
        <f t="shared" si="7"/>
        <v>4155.8750468425587</v>
      </c>
      <c r="AO5" s="15">
        <f t="shared" si="7"/>
        <v>3324.7000374740473</v>
      </c>
      <c r="AP5" s="15">
        <f t="shared" si="7"/>
        <v>2909.1125327897907</v>
      </c>
      <c r="AQ5" s="15">
        <f t="shared" si="7"/>
        <v>2077.9375234212794</v>
      </c>
      <c r="AR5" s="20"/>
    </row>
    <row r="6" spans="1:44" ht="19.5">
      <c r="A6" s="16" t="s">
        <v>18</v>
      </c>
      <c r="B6" s="17">
        <v>3.0769230769230769E-3</v>
      </c>
      <c r="C6" s="6">
        <f t="shared" si="0"/>
        <v>1999.9999999999998</v>
      </c>
      <c r="D6" s="18">
        <v>107.69230769230769</v>
      </c>
      <c r="E6" s="18">
        <v>153.84615384615384</v>
      </c>
      <c r="F6" s="18">
        <v>184.61538461538461</v>
      </c>
      <c r="G6" s="18">
        <v>200</v>
      </c>
      <c r="H6" s="18">
        <v>215.38461538461539</v>
      </c>
      <c r="I6" s="18">
        <v>246.15384615384616</v>
      </c>
      <c r="J6" s="18">
        <v>230.76923076923077</v>
      </c>
      <c r="K6" s="18">
        <v>200</v>
      </c>
      <c r="L6" s="18">
        <v>153.84615384615384</v>
      </c>
      <c r="M6" s="18">
        <v>123.07692307692308</v>
      </c>
      <c r="N6" s="18">
        <v>107.69230769230769</v>
      </c>
      <c r="O6" s="18">
        <v>76.92307692307692</v>
      </c>
      <c r="P6" s="18" t="s">
        <v>11</v>
      </c>
      <c r="Q6" s="18" t="s">
        <v>11</v>
      </c>
      <c r="R6" s="19">
        <f t="shared" si="1"/>
        <v>2639733.3772218563</v>
      </c>
      <c r="S6" s="19">
        <f t="shared" si="2"/>
        <v>5279466754.4437122</v>
      </c>
      <c r="T6" s="19"/>
      <c r="U6" s="19">
        <f>C6*0.62/0.98*3735000</f>
        <v>4725918367.3469381</v>
      </c>
      <c r="V6" s="126"/>
      <c r="W6" s="19"/>
      <c r="X6" s="19"/>
      <c r="Y6" s="19"/>
      <c r="Z6" s="19"/>
      <c r="AA6" s="19">
        <f t="shared" si="3"/>
        <v>123870967.74193546</v>
      </c>
      <c r="AB6" s="19">
        <f t="shared" si="4"/>
        <v>429677419.35483861</v>
      </c>
      <c r="AF6" s="15">
        <f>D6*$R$6/1000000</f>
        <v>284.27897908543071</v>
      </c>
      <c r="AG6" s="15">
        <f t="shared" ref="AG6:AQ6" si="8">E6*$R$6/1000000</f>
        <v>406.11282726490094</v>
      </c>
      <c r="AH6" s="15">
        <f t="shared" si="8"/>
        <v>487.33539271788112</v>
      </c>
      <c r="AI6" s="15">
        <f t="shared" si="8"/>
        <v>527.94667544437118</v>
      </c>
      <c r="AJ6" s="15">
        <f t="shared" si="8"/>
        <v>568.55795817086141</v>
      </c>
      <c r="AK6" s="15">
        <f t="shared" si="8"/>
        <v>649.78052362384153</v>
      </c>
      <c r="AL6" s="15">
        <f t="shared" si="8"/>
        <v>609.16924089735153</v>
      </c>
      <c r="AM6" s="15">
        <f t="shared" si="8"/>
        <v>527.94667544437118</v>
      </c>
      <c r="AN6" s="15">
        <f t="shared" si="8"/>
        <v>406.11282726490094</v>
      </c>
      <c r="AO6" s="15">
        <f t="shared" si="8"/>
        <v>324.89026181192077</v>
      </c>
      <c r="AP6" s="15">
        <f t="shared" si="8"/>
        <v>284.27897908543071</v>
      </c>
      <c r="AQ6" s="15">
        <f t="shared" si="8"/>
        <v>203.05641363245047</v>
      </c>
      <c r="AR6" s="20"/>
    </row>
    <row r="7" spans="1:44" ht="19.5">
      <c r="A7" s="21" t="s">
        <v>39</v>
      </c>
      <c r="B7" s="17">
        <v>0.63076923076923075</v>
      </c>
      <c r="C7" s="6">
        <f t="shared" si="0"/>
        <v>410000</v>
      </c>
      <c r="D7" s="18">
        <v>22076.923076923074</v>
      </c>
      <c r="E7" s="18">
        <v>31538.461538461539</v>
      </c>
      <c r="F7" s="18">
        <v>37846.153846153844</v>
      </c>
      <c r="G7" s="18">
        <v>41000</v>
      </c>
      <c r="H7" s="18">
        <v>44153.846153846149</v>
      </c>
      <c r="I7" s="18">
        <v>50461.538461538461</v>
      </c>
      <c r="J7" s="18">
        <v>47307.692307692305</v>
      </c>
      <c r="K7" s="18">
        <v>41000</v>
      </c>
      <c r="L7" s="18">
        <v>31538.461538461539</v>
      </c>
      <c r="M7" s="18">
        <v>25230.76923076923</v>
      </c>
      <c r="N7" s="18">
        <v>22076.923076923074</v>
      </c>
      <c r="O7" s="18">
        <v>15769.23076923077</v>
      </c>
      <c r="P7" s="18" t="s">
        <v>11</v>
      </c>
      <c r="Q7" s="18" t="s">
        <v>11</v>
      </c>
      <c r="R7" s="19">
        <f t="shared" si="1"/>
        <v>4087998.683344305</v>
      </c>
      <c r="S7" s="19">
        <f t="shared" si="2"/>
        <v>1676079460171.165</v>
      </c>
      <c r="T7" s="19"/>
      <c r="U7" s="19">
        <f>C7/0.98*3735000</f>
        <v>1562602040816.3264</v>
      </c>
      <c r="V7" s="126"/>
      <c r="W7" s="19"/>
      <c r="X7" s="19"/>
      <c r="Y7" s="19"/>
      <c r="Z7" s="19"/>
      <c r="AA7" s="19">
        <f t="shared" si="3"/>
        <v>25393548387.096775</v>
      </c>
      <c r="AB7" s="19">
        <f t="shared" si="4"/>
        <v>88083870967.741943</v>
      </c>
      <c r="AF7" s="15">
        <f>D7*$R$7/1000000</f>
        <v>90250.43247075504</v>
      </c>
      <c r="AG7" s="15">
        <f t="shared" ref="AG7:AQ7" si="9">E7*$R$7/1000000</f>
        <v>128929.18924393578</v>
      </c>
      <c r="AH7" s="15">
        <f t="shared" si="9"/>
        <v>154715.02709272294</v>
      </c>
      <c r="AI7" s="15">
        <f t="shared" si="9"/>
        <v>167607.94601711651</v>
      </c>
      <c r="AJ7" s="15">
        <f t="shared" si="9"/>
        <v>180500.86494151008</v>
      </c>
      <c r="AK7" s="15">
        <f t="shared" si="9"/>
        <v>206286.70279029725</v>
      </c>
      <c r="AL7" s="15">
        <f t="shared" si="9"/>
        <v>193393.78386590365</v>
      </c>
      <c r="AM7" s="15">
        <f t="shared" si="9"/>
        <v>167607.94601711651</v>
      </c>
      <c r="AN7" s="15">
        <f t="shared" si="9"/>
        <v>128929.18924393578</v>
      </c>
      <c r="AO7" s="15">
        <f t="shared" si="9"/>
        <v>103143.35139514862</v>
      </c>
      <c r="AP7" s="15">
        <f t="shared" si="9"/>
        <v>90250.43247075504</v>
      </c>
      <c r="AQ7" s="15">
        <f t="shared" si="9"/>
        <v>64464.594621967888</v>
      </c>
      <c r="AR7" s="20"/>
    </row>
    <row r="8" spans="1:44" ht="20.25" thickBot="1">
      <c r="A8" s="22" t="s">
        <v>40</v>
      </c>
      <c r="B8" s="23">
        <v>7.6923076923076927E-3</v>
      </c>
      <c r="C8" s="6">
        <f t="shared" si="0"/>
        <v>5000.0000000000009</v>
      </c>
      <c r="D8" s="24">
        <v>269.23076923076923</v>
      </c>
      <c r="E8" s="24">
        <v>384.61538461538464</v>
      </c>
      <c r="F8" s="24">
        <v>461.53846153846155</v>
      </c>
      <c r="G8" s="24">
        <v>500</v>
      </c>
      <c r="H8" s="24">
        <v>538.46153846153845</v>
      </c>
      <c r="I8" s="24">
        <v>615.38461538461547</v>
      </c>
      <c r="J8" s="24">
        <v>576.92307692307691</v>
      </c>
      <c r="K8" s="24">
        <v>500</v>
      </c>
      <c r="L8" s="24">
        <v>384.61538461538464</v>
      </c>
      <c r="M8" s="24">
        <v>307.69230769230774</v>
      </c>
      <c r="N8" s="24">
        <v>269.23076923076923</v>
      </c>
      <c r="O8" s="24">
        <v>192.30769230769232</v>
      </c>
      <c r="P8" s="18" t="s">
        <v>11</v>
      </c>
      <c r="Q8" s="18" t="s">
        <v>11</v>
      </c>
      <c r="R8" s="19">
        <f t="shared" si="1"/>
        <v>4087998.6833443055</v>
      </c>
      <c r="S8" s="19">
        <f t="shared" si="2"/>
        <v>20439993416.721531</v>
      </c>
      <c r="T8" s="19"/>
      <c r="U8" s="19">
        <f>C8/0.98*3735000</f>
        <v>19056122448.979595</v>
      </c>
      <c r="V8" s="126"/>
      <c r="W8" s="19"/>
      <c r="X8" s="19"/>
      <c r="Y8" s="19"/>
      <c r="Z8" s="19"/>
      <c r="AA8" s="19">
        <f t="shared" si="3"/>
        <v>309677419.35483873</v>
      </c>
      <c r="AB8" s="19">
        <f t="shared" si="4"/>
        <v>1074193548.3870969</v>
      </c>
      <c r="AF8" s="15">
        <f>D8*$R$8/1000000</f>
        <v>1100.6150301311591</v>
      </c>
      <c r="AG8" s="15">
        <f t="shared" ref="AG8:AQ8" si="10">E8*$R$8/1000000</f>
        <v>1572.3071859016561</v>
      </c>
      <c r="AH8" s="15">
        <f t="shared" si="10"/>
        <v>1886.7686230819872</v>
      </c>
      <c r="AI8" s="15">
        <f t="shared" si="10"/>
        <v>2043.9993416721527</v>
      </c>
      <c r="AJ8" s="15">
        <f t="shared" si="10"/>
        <v>2201.2300602623181</v>
      </c>
      <c r="AK8" s="15">
        <f t="shared" si="10"/>
        <v>2515.69149744265</v>
      </c>
      <c r="AL8" s="15">
        <f t="shared" si="10"/>
        <v>2358.4607788524836</v>
      </c>
      <c r="AM8" s="15">
        <f t="shared" si="10"/>
        <v>2043.9993416721527</v>
      </c>
      <c r="AN8" s="15">
        <f t="shared" si="10"/>
        <v>1572.3071859016561</v>
      </c>
      <c r="AO8" s="15">
        <f t="shared" si="10"/>
        <v>1257.845748721325</v>
      </c>
      <c r="AP8" s="15">
        <f t="shared" si="10"/>
        <v>1100.6150301311591</v>
      </c>
      <c r="AQ8" s="15">
        <f t="shared" si="10"/>
        <v>786.15359295082806</v>
      </c>
      <c r="AR8" s="20"/>
    </row>
    <row r="9" spans="1:44" ht="20.25" thickBot="1">
      <c r="A9" s="25" t="s">
        <v>41</v>
      </c>
      <c r="B9" s="26">
        <v>1</v>
      </c>
      <c r="C9" s="27">
        <f>SUM(C3:C8)</f>
        <v>650000</v>
      </c>
      <c r="D9" s="27">
        <f t="shared" ref="D9:O9" si="11">SUM(D3:D8)</f>
        <v>35000</v>
      </c>
      <c r="E9" s="27">
        <f t="shared" si="11"/>
        <v>50000</v>
      </c>
      <c r="F9" s="27">
        <f t="shared" si="11"/>
        <v>59999.999999999993</v>
      </c>
      <c r="G9" s="27">
        <f t="shared" si="11"/>
        <v>65000</v>
      </c>
      <c r="H9" s="27">
        <f t="shared" si="11"/>
        <v>70000</v>
      </c>
      <c r="I9" s="27">
        <f t="shared" si="11"/>
        <v>79999.999999999985</v>
      </c>
      <c r="J9" s="27">
        <f t="shared" si="11"/>
        <v>75000</v>
      </c>
      <c r="K9" s="27">
        <f t="shared" si="11"/>
        <v>65000</v>
      </c>
      <c r="L9" s="27">
        <f t="shared" si="11"/>
        <v>50000</v>
      </c>
      <c r="M9" s="27">
        <f t="shared" si="11"/>
        <v>39999.999999999993</v>
      </c>
      <c r="N9" s="27">
        <f t="shared" si="11"/>
        <v>35000</v>
      </c>
      <c r="O9" s="27">
        <f t="shared" si="11"/>
        <v>25000</v>
      </c>
      <c r="P9" s="28"/>
      <c r="Q9" s="29"/>
      <c r="R9" s="29"/>
      <c r="S9" s="30">
        <f>SUM(S3:S8)</f>
        <v>2667449002337.064</v>
      </c>
      <c r="T9" s="30">
        <f>SUM(T3:T8)</f>
        <v>0</v>
      </c>
      <c r="U9" s="30">
        <f t="shared" ref="U9:AB9" si="12">SUM(U3:U8)</f>
        <v>2464871326530.6118</v>
      </c>
      <c r="V9" s="128">
        <f t="shared" si="12"/>
        <v>22674450000.000004</v>
      </c>
      <c r="W9" s="30">
        <f t="shared" si="12"/>
        <v>0</v>
      </c>
      <c r="X9" s="30">
        <f t="shared" si="12"/>
        <v>0</v>
      </c>
      <c r="Y9" s="30">
        <f t="shared" si="12"/>
        <v>0</v>
      </c>
      <c r="Z9" s="30">
        <f t="shared" si="12"/>
        <v>0</v>
      </c>
      <c r="AA9" s="30">
        <f t="shared" si="12"/>
        <v>40258064516.129028</v>
      </c>
      <c r="AB9" s="30">
        <f t="shared" si="12"/>
        <v>139645161290.32257</v>
      </c>
      <c r="AR9" s="20"/>
    </row>
    <row r="10" spans="1:44" ht="19.5">
      <c r="A10" s="31" t="s">
        <v>42</v>
      </c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3"/>
      <c r="Q10" s="34"/>
      <c r="R10" s="34"/>
      <c r="S10" s="34"/>
      <c r="T10" s="34"/>
      <c r="U10" s="34"/>
      <c r="V10" s="129"/>
      <c r="W10" s="34"/>
      <c r="X10" s="34"/>
      <c r="Y10" s="34"/>
      <c r="Z10" s="34"/>
      <c r="AA10" s="34"/>
      <c r="AB10" s="34"/>
      <c r="AR10" s="20"/>
    </row>
    <row r="11" spans="1:44" ht="19.5">
      <c r="A11" s="16" t="s">
        <v>12</v>
      </c>
      <c r="B11" s="35">
        <v>0.41666666666666669</v>
      </c>
      <c r="C11" s="36">
        <f>SUM(D11:O11)</f>
        <v>470000.00000000006</v>
      </c>
      <c r="D11" s="18">
        <v>31333.333333333332</v>
      </c>
      <c r="E11" s="18">
        <v>39166.666666666664</v>
      </c>
      <c r="F11" s="18">
        <v>39166.666666666664</v>
      </c>
      <c r="G11" s="18">
        <v>31333.333333333332</v>
      </c>
      <c r="H11" s="18">
        <v>28722.222222222223</v>
      </c>
      <c r="I11" s="18">
        <v>26111.111111111113</v>
      </c>
      <c r="J11" s="18">
        <v>31333.333333333332</v>
      </c>
      <c r="K11" s="18">
        <v>39166.666666666664</v>
      </c>
      <c r="L11" s="18">
        <v>47000</v>
      </c>
      <c r="M11" s="18">
        <v>49611.111111111109</v>
      </c>
      <c r="N11" s="18">
        <v>52222.222222222226</v>
      </c>
      <c r="O11" s="18">
        <v>54833.333333333336</v>
      </c>
      <c r="P11" s="18">
        <v>159.28088771116265</v>
      </c>
      <c r="Q11" s="19">
        <v>137.39114285714285</v>
      </c>
      <c r="R11" s="19">
        <f>IFERROR(SUM(T11:AB11)/C11,0)</f>
        <v>4087998.683344306</v>
      </c>
      <c r="S11" s="19">
        <f>R11*C11</f>
        <v>1921359381171.824</v>
      </c>
      <c r="T11" s="19"/>
      <c r="U11" s="19">
        <f>C11/0.98*3735000</f>
        <v>1791275510204.082</v>
      </c>
      <c r="V11" s="126"/>
      <c r="W11" s="19"/>
      <c r="X11" s="19"/>
      <c r="Y11" s="19"/>
      <c r="Z11" s="19"/>
      <c r="AA11" s="19">
        <f>C11/1550000*96000000000</f>
        <v>29109677419.354843</v>
      </c>
      <c r="AB11" s="19">
        <f>C11/1550000*333000000000</f>
        <v>100974193548.38712</v>
      </c>
      <c r="AF11" s="15">
        <f>D11*$R$11/1000000</f>
        <v>128090.62541145491</v>
      </c>
      <c r="AG11" s="15">
        <f t="shared" ref="AG11:AQ11" si="13">E11*$R$11/1000000</f>
        <v>160113.28176431864</v>
      </c>
      <c r="AH11" s="15">
        <f t="shared" si="13"/>
        <v>160113.28176431864</v>
      </c>
      <c r="AI11" s="15">
        <f t="shared" si="13"/>
        <v>128090.62541145491</v>
      </c>
      <c r="AJ11" s="15">
        <f t="shared" si="13"/>
        <v>117416.406627167</v>
      </c>
      <c r="AK11" s="15">
        <f t="shared" si="13"/>
        <v>106742.18784287911</v>
      </c>
      <c r="AL11" s="15">
        <f t="shared" si="13"/>
        <v>128090.62541145491</v>
      </c>
      <c r="AM11" s="15">
        <f t="shared" si="13"/>
        <v>160113.28176431864</v>
      </c>
      <c r="AN11" s="15">
        <f t="shared" si="13"/>
        <v>192135.93811718238</v>
      </c>
      <c r="AO11" s="15">
        <f t="shared" si="13"/>
        <v>202810.15690147027</v>
      </c>
      <c r="AP11" s="15">
        <f t="shared" si="13"/>
        <v>213484.37568575822</v>
      </c>
      <c r="AQ11" s="15">
        <f t="shared" si="13"/>
        <v>224158.59447004611</v>
      </c>
      <c r="AR11" s="20"/>
    </row>
    <row r="12" spans="1:44" ht="19.5">
      <c r="A12" s="16" t="s">
        <v>43</v>
      </c>
      <c r="B12" s="35">
        <v>0.10555555555555556</v>
      </c>
      <c r="C12" s="36">
        <f t="shared" ref="C12:C23" si="14">SUM(D12:O12)</f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176.28088771116265</v>
      </c>
      <c r="Q12" s="19">
        <v>152.05485714285714</v>
      </c>
      <c r="R12" s="19">
        <f t="shared" ref="R12:R23" si="15">IFERROR(SUM(T12:AB12)/C12,0)</f>
        <v>0</v>
      </c>
      <c r="S12" s="19">
        <f t="shared" ref="S12:S23" si="16">R12*C12</f>
        <v>0</v>
      </c>
      <c r="T12" s="19">
        <f>C12*4232000</f>
        <v>0</v>
      </c>
      <c r="U12" s="19">
        <f t="shared" ref="U12:U23" si="17">C12/0.98*3735000</f>
        <v>0</v>
      </c>
      <c r="V12" s="126"/>
      <c r="W12" s="19"/>
      <c r="X12" s="19"/>
      <c r="Y12" s="19"/>
      <c r="Z12" s="19"/>
      <c r="AA12" s="19">
        <f t="shared" ref="AA12:AA23" si="18">C12/1550000*96000000000</f>
        <v>0</v>
      </c>
      <c r="AB12" s="19">
        <f t="shared" ref="AB12:AB23" si="19">C12/1550000*333000000000</f>
        <v>0</v>
      </c>
      <c r="AF12" s="15">
        <f>D12*$R$12/1000000</f>
        <v>0</v>
      </c>
      <c r="AG12" s="15">
        <f t="shared" ref="AG12:AQ12" si="20">E12*$R$12/1000000</f>
        <v>0</v>
      </c>
      <c r="AH12" s="15">
        <f t="shared" si="20"/>
        <v>0</v>
      </c>
      <c r="AI12" s="15">
        <f t="shared" si="20"/>
        <v>0</v>
      </c>
      <c r="AJ12" s="15">
        <f t="shared" si="20"/>
        <v>0</v>
      </c>
      <c r="AK12" s="15">
        <f t="shared" si="20"/>
        <v>0</v>
      </c>
      <c r="AL12" s="15">
        <f t="shared" si="20"/>
        <v>0</v>
      </c>
      <c r="AM12" s="15">
        <f t="shared" si="20"/>
        <v>0</v>
      </c>
      <c r="AN12" s="15">
        <f t="shared" si="20"/>
        <v>0</v>
      </c>
      <c r="AO12" s="15">
        <f t="shared" si="20"/>
        <v>0</v>
      </c>
      <c r="AP12" s="15">
        <f t="shared" si="20"/>
        <v>0</v>
      </c>
      <c r="AQ12" s="15">
        <f t="shared" si="20"/>
        <v>0</v>
      </c>
      <c r="AR12" s="20"/>
    </row>
    <row r="13" spans="1:44" ht="19.5">
      <c r="A13" s="16" t="s">
        <v>44</v>
      </c>
      <c r="B13" s="35">
        <v>6.6666666666666666E-2</v>
      </c>
      <c r="C13" s="36">
        <f t="shared" si="14"/>
        <v>60000</v>
      </c>
      <c r="D13" s="18">
        <v>4000</v>
      </c>
      <c r="E13" s="18">
        <v>5000</v>
      </c>
      <c r="F13" s="18">
        <v>5000</v>
      </c>
      <c r="G13" s="18">
        <v>4000</v>
      </c>
      <c r="H13" s="18">
        <v>3666.6666666666665</v>
      </c>
      <c r="I13" s="18">
        <v>3333.3333333333335</v>
      </c>
      <c r="J13" s="18">
        <v>4000</v>
      </c>
      <c r="K13" s="18">
        <v>5000</v>
      </c>
      <c r="L13" s="18">
        <v>6000</v>
      </c>
      <c r="M13" s="18">
        <v>6333.333333333333</v>
      </c>
      <c r="N13" s="18">
        <v>6666.666666666667</v>
      </c>
      <c r="O13" s="18">
        <v>7000</v>
      </c>
      <c r="P13" s="18">
        <v>207.28088771116265</v>
      </c>
      <c r="Q13" s="19">
        <v>178.79457142857143</v>
      </c>
      <c r="R13" s="19">
        <f t="shared" si="15"/>
        <v>5473837.6833443055</v>
      </c>
      <c r="S13" s="19">
        <f t="shared" si="16"/>
        <v>328430261000.65833</v>
      </c>
      <c r="T13" s="19"/>
      <c r="U13" s="19">
        <f t="shared" si="17"/>
        <v>228673469387.7551</v>
      </c>
      <c r="V13" s="126"/>
      <c r="W13" s="19">
        <f>C13*1068000</f>
        <v>64080000000</v>
      </c>
      <c r="X13" s="19"/>
      <c r="Y13" s="19"/>
      <c r="Z13" s="19">
        <f>C13*317839</f>
        <v>19070340000</v>
      </c>
      <c r="AA13" s="19">
        <f t="shared" si="18"/>
        <v>3716129032.2580647</v>
      </c>
      <c r="AB13" s="19">
        <f t="shared" si="19"/>
        <v>12890322580.645163</v>
      </c>
      <c r="AF13" s="15">
        <f>D13*$R$13/1000000</f>
        <v>21895.350733377221</v>
      </c>
      <c r="AG13" s="15">
        <f t="shared" ref="AG13:AQ13" si="21">E13*$R$13/1000000</f>
        <v>27369.188416721528</v>
      </c>
      <c r="AH13" s="15">
        <f t="shared" si="21"/>
        <v>27369.188416721528</v>
      </c>
      <c r="AI13" s="15">
        <f t="shared" si="21"/>
        <v>21895.350733377221</v>
      </c>
      <c r="AJ13" s="15">
        <f t="shared" si="21"/>
        <v>20070.738172262452</v>
      </c>
      <c r="AK13" s="15">
        <f t="shared" si="21"/>
        <v>18246.125611147687</v>
      </c>
      <c r="AL13" s="15">
        <f t="shared" si="21"/>
        <v>21895.350733377221</v>
      </c>
      <c r="AM13" s="15">
        <f t="shared" si="21"/>
        <v>27369.188416721528</v>
      </c>
      <c r="AN13" s="15">
        <f t="shared" si="21"/>
        <v>32843.026100065836</v>
      </c>
      <c r="AO13" s="15">
        <f t="shared" si="21"/>
        <v>34667.638661180601</v>
      </c>
      <c r="AP13" s="15">
        <f t="shared" si="21"/>
        <v>36492.251222295374</v>
      </c>
      <c r="AQ13" s="15">
        <f t="shared" si="21"/>
        <v>38316.863783410139</v>
      </c>
      <c r="AR13" s="20"/>
    </row>
    <row r="14" spans="1:44" ht="19.5">
      <c r="A14" s="16" t="s">
        <v>45</v>
      </c>
      <c r="B14" s="35">
        <v>0.16666666666666666</v>
      </c>
      <c r="C14" s="36">
        <f t="shared" si="14"/>
        <v>150000</v>
      </c>
      <c r="D14" s="18">
        <v>10000</v>
      </c>
      <c r="E14" s="18">
        <v>12500</v>
      </c>
      <c r="F14" s="18">
        <v>12500</v>
      </c>
      <c r="G14" s="18">
        <v>10000</v>
      </c>
      <c r="H14" s="18">
        <v>9166.6666666666661</v>
      </c>
      <c r="I14" s="18">
        <v>8333.3333333333321</v>
      </c>
      <c r="J14" s="18">
        <v>10000</v>
      </c>
      <c r="K14" s="18">
        <v>12500</v>
      </c>
      <c r="L14" s="18">
        <v>15000</v>
      </c>
      <c r="M14" s="18">
        <v>15833.333333333332</v>
      </c>
      <c r="N14" s="18">
        <v>16666.666666666664</v>
      </c>
      <c r="O14" s="18">
        <v>17500</v>
      </c>
      <c r="P14" s="18">
        <v>231.28088771116265</v>
      </c>
      <c r="Q14" s="19">
        <v>199.4962857142857</v>
      </c>
      <c r="R14" s="19">
        <f t="shared" si="15"/>
        <v>6183837.6833443046</v>
      </c>
      <c r="S14" s="19">
        <f t="shared" si="16"/>
        <v>927575652501.64563</v>
      </c>
      <c r="T14" s="19"/>
      <c r="U14" s="19">
        <f t="shared" si="17"/>
        <v>571683673469.3877</v>
      </c>
      <c r="V14" s="126"/>
      <c r="W14" s="19">
        <f>C14*1068000</f>
        <v>160200000000</v>
      </c>
      <c r="X14" s="19">
        <f>C14*450000</f>
        <v>67500000000</v>
      </c>
      <c r="Y14" s="19">
        <f>C14*260000</f>
        <v>39000000000</v>
      </c>
      <c r="Z14" s="19">
        <f>C14*317839</f>
        <v>47675850000</v>
      </c>
      <c r="AA14" s="19">
        <f t="shared" si="18"/>
        <v>9290322580.6451607</v>
      </c>
      <c r="AB14" s="19">
        <f t="shared" si="19"/>
        <v>32225806451.612904</v>
      </c>
      <c r="AF14" s="15">
        <f>D14*$R$14/1000000</f>
        <v>61838.37683344305</v>
      </c>
      <c r="AG14" s="15">
        <f t="shared" ref="AG14:AQ14" si="22">E14*$R$14/1000000</f>
        <v>77297.971041803801</v>
      </c>
      <c r="AH14" s="15">
        <f t="shared" si="22"/>
        <v>77297.971041803801</v>
      </c>
      <c r="AI14" s="15">
        <f t="shared" si="22"/>
        <v>61838.37683344305</v>
      </c>
      <c r="AJ14" s="15">
        <f t="shared" si="22"/>
        <v>56685.178763989454</v>
      </c>
      <c r="AK14" s="15">
        <f t="shared" si="22"/>
        <v>51531.980694535865</v>
      </c>
      <c r="AL14" s="15">
        <f t="shared" si="22"/>
        <v>61838.37683344305</v>
      </c>
      <c r="AM14" s="15">
        <f t="shared" si="22"/>
        <v>77297.971041803801</v>
      </c>
      <c r="AN14" s="15">
        <f t="shared" si="22"/>
        <v>92757.565250164567</v>
      </c>
      <c r="AO14" s="15">
        <f t="shared" si="22"/>
        <v>97910.763319618156</v>
      </c>
      <c r="AP14" s="15">
        <f t="shared" si="22"/>
        <v>103063.96138907173</v>
      </c>
      <c r="AQ14" s="15">
        <f t="shared" si="22"/>
        <v>108217.15945852533</v>
      </c>
      <c r="AR14" s="20"/>
    </row>
    <row r="15" spans="1:44" ht="19.5">
      <c r="A15" s="16" t="s">
        <v>14</v>
      </c>
      <c r="B15" s="35">
        <v>0.13333333333333333</v>
      </c>
      <c r="C15" s="36">
        <f t="shared" si="14"/>
        <v>125000</v>
      </c>
      <c r="D15" s="18">
        <v>8333.3333333333339</v>
      </c>
      <c r="E15" s="18">
        <v>10416.666666666666</v>
      </c>
      <c r="F15" s="18">
        <v>10416.666666666666</v>
      </c>
      <c r="G15" s="18">
        <v>8333.3333333333339</v>
      </c>
      <c r="H15" s="18">
        <v>7638.8888888888887</v>
      </c>
      <c r="I15" s="18">
        <v>6944.4444444444443</v>
      </c>
      <c r="J15" s="18">
        <v>8333.3333333333339</v>
      </c>
      <c r="K15" s="18">
        <v>10416.666666666666</v>
      </c>
      <c r="L15" s="18">
        <v>12500</v>
      </c>
      <c r="M15" s="18">
        <v>13194.444444444443</v>
      </c>
      <c r="N15" s="18">
        <v>13888.888888888889</v>
      </c>
      <c r="O15" s="18">
        <v>14583.333333333334</v>
      </c>
      <c r="P15" s="18">
        <v>159.28088771116265</v>
      </c>
      <c r="Q15" s="19">
        <v>137.39114285714285</v>
      </c>
      <c r="R15" s="19">
        <f t="shared" si="15"/>
        <v>4087998.6833443055</v>
      </c>
      <c r="S15" s="19">
        <f t="shared" si="16"/>
        <v>510999835418.03821</v>
      </c>
      <c r="T15" s="19"/>
      <c r="U15" s="19">
        <f t="shared" si="17"/>
        <v>476403061224.48981</v>
      </c>
      <c r="V15" s="126"/>
      <c r="W15" s="19"/>
      <c r="X15" s="19"/>
      <c r="Y15" s="19"/>
      <c r="Z15" s="19"/>
      <c r="AA15" s="19">
        <f t="shared" si="18"/>
        <v>7741935483.8709679</v>
      </c>
      <c r="AB15" s="19">
        <f t="shared" si="19"/>
        <v>26854838709.677418</v>
      </c>
      <c r="AF15" s="15">
        <f>D15*$R$15/1000000</f>
        <v>34066.655694535883</v>
      </c>
      <c r="AG15" s="15">
        <f t="shared" ref="AG15:AQ15" si="23">E15*$R$15/1000000</f>
        <v>42583.319618169844</v>
      </c>
      <c r="AH15" s="15">
        <f t="shared" si="23"/>
        <v>42583.319618169844</v>
      </c>
      <c r="AI15" s="15">
        <f t="shared" si="23"/>
        <v>34066.655694535883</v>
      </c>
      <c r="AJ15" s="15">
        <f t="shared" si="23"/>
        <v>31227.767719991221</v>
      </c>
      <c r="AK15" s="15">
        <f t="shared" si="23"/>
        <v>28388.879745446564</v>
      </c>
      <c r="AL15" s="15">
        <f t="shared" si="23"/>
        <v>34066.655694535883</v>
      </c>
      <c r="AM15" s="15">
        <f t="shared" si="23"/>
        <v>42583.319618169844</v>
      </c>
      <c r="AN15" s="15">
        <f t="shared" si="23"/>
        <v>51099.98354180382</v>
      </c>
      <c r="AO15" s="15">
        <f t="shared" si="23"/>
        <v>53938.871516348474</v>
      </c>
      <c r="AP15" s="15">
        <f t="shared" si="23"/>
        <v>56777.759490893128</v>
      </c>
      <c r="AQ15" s="15">
        <f t="shared" si="23"/>
        <v>59616.647465437789</v>
      </c>
      <c r="AR15" s="20"/>
    </row>
    <row r="16" spans="1:44" ht="19.5">
      <c r="A16" s="16" t="s">
        <v>46</v>
      </c>
      <c r="B16" s="35">
        <v>5.5555555555555558E-3</v>
      </c>
      <c r="C16" s="36">
        <f t="shared" si="14"/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176.28088771116265</v>
      </c>
      <c r="Q16" s="19">
        <v>152.05485714285714</v>
      </c>
      <c r="R16" s="19">
        <f t="shared" si="15"/>
        <v>0</v>
      </c>
      <c r="S16" s="19">
        <f t="shared" si="16"/>
        <v>0</v>
      </c>
      <c r="T16" s="19">
        <f>C16*4232000</f>
        <v>0</v>
      </c>
      <c r="U16" s="19">
        <f t="shared" si="17"/>
        <v>0</v>
      </c>
      <c r="V16" s="126"/>
      <c r="W16" s="19"/>
      <c r="X16" s="19"/>
      <c r="Y16" s="19"/>
      <c r="Z16" s="19"/>
      <c r="AA16" s="19">
        <f t="shared" si="18"/>
        <v>0</v>
      </c>
      <c r="AB16" s="19">
        <f t="shared" si="19"/>
        <v>0</v>
      </c>
      <c r="AF16" s="15">
        <f>D16*$R$16/1000000</f>
        <v>0</v>
      </c>
      <c r="AG16" s="15">
        <f t="shared" ref="AG16:AQ16" si="24">E16*$R$16/1000000</f>
        <v>0</v>
      </c>
      <c r="AH16" s="15">
        <f t="shared" si="24"/>
        <v>0</v>
      </c>
      <c r="AI16" s="15">
        <f t="shared" si="24"/>
        <v>0</v>
      </c>
      <c r="AJ16" s="15">
        <f t="shared" si="24"/>
        <v>0</v>
      </c>
      <c r="AK16" s="15">
        <f t="shared" si="24"/>
        <v>0</v>
      </c>
      <c r="AL16" s="15">
        <f t="shared" si="24"/>
        <v>0</v>
      </c>
      <c r="AM16" s="15">
        <f t="shared" si="24"/>
        <v>0</v>
      </c>
      <c r="AN16" s="15">
        <f t="shared" si="24"/>
        <v>0</v>
      </c>
      <c r="AO16" s="15">
        <f t="shared" si="24"/>
        <v>0</v>
      </c>
      <c r="AP16" s="15">
        <f t="shared" si="24"/>
        <v>0</v>
      </c>
      <c r="AQ16" s="15">
        <f t="shared" si="24"/>
        <v>0</v>
      </c>
      <c r="AR16" s="20"/>
    </row>
    <row r="17" spans="1:44" ht="19.5">
      <c r="A17" s="16" t="s">
        <v>47</v>
      </c>
      <c r="B17" s="35">
        <v>1.6666666666666666E-2</v>
      </c>
      <c r="C17" s="36">
        <f t="shared" si="14"/>
        <v>15000</v>
      </c>
      <c r="D17" s="18">
        <v>1000</v>
      </c>
      <c r="E17" s="18">
        <v>1250</v>
      </c>
      <c r="F17" s="18">
        <v>1250</v>
      </c>
      <c r="G17" s="18">
        <v>1000</v>
      </c>
      <c r="H17" s="18">
        <v>916.66666666666663</v>
      </c>
      <c r="I17" s="18">
        <v>833.33333333333337</v>
      </c>
      <c r="J17" s="18">
        <v>1000</v>
      </c>
      <c r="K17" s="18">
        <v>1250</v>
      </c>
      <c r="L17" s="18">
        <v>1500</v>
      </c>
      <c r="M17" s="18">
        <v>1583.3333333333333</v>
      </c>
      <c r="N17" s="18">
        <v>1666.6666666666667</v>
      </c>
      <c r="O17" s="18">
        <v>1750</v>
      </c>
      <c r="P17" s="18">
        <v>207.28088771116265</v>
      </c>
      <c r="Q17" s="19">
        <v>178.79457142857143</v>
      </c>
      <c r="R17" s="19">
        <f t="shared" si="15"/>
        <v>5473837.6833443055</v>
      </c>
      <c r="S17" s="19">
        <f t="shared" si="16"/>
        <v>82107565250.164581</v>
      </c>
      <c r="T17" s="19"/>
      <c r="U17" s="19">
        <f t="shared" si="17"/>
        <v>57168367346.938774</v>
      </c>
      <c r="V17" s="126"/>
      <c r="W17" s="19">
        <f>C17*1068000</f>
        <v>16020000000</v>
      </c>
      <c r="X17" s="19"/>
      <c r="Y17" s="19"/>
      <c r="Z17" s="19">
        <f>C17*317839</f>
        <v>4767585000</v>
      </c>
      <c r="AA17" s="19">
        <f t="shared" si="18"/>
        <v>929032258.06451619</v>
      </c>
      <c r="AB17" s="19">
        <f t="shared" si="19"/>
        <v>3222580645.1612906</v>
      </c>
      <c r="AF17" s="15">
        <f>D17*$R$17/1000000</f>
        <v>5473.8376833443053</v>
      </c>
      <c r="AG17" s="15">
        <f t="shared" ref="AG17:AQ17" si="25">E17*$R$17/1000000</f>
        <v>6842.2971041803821</v>
      </c>
      <c r="AH17" s="15">
        <f t="shared" si="25"/>
        <v>6842.2971041803821</v>
      </c>
      <c r="AI17" s="15">
        <f t="shared" si="25"/>
        <v>5473.8376833443053</v>
      </c>
      <c r="AJ17" s="15">
        <f t="shared" si="25"/>
        <v>5017.6845430656131</v>
      </c>
      <c r="AK17" s="15">
        <f t="shared" si="25"/>
        <v>4561.5314027869217</v>
      </c>
      <c r="AL17" s="15">
        <f t="shared" si="25"/>
        <v>5473.8376833443053</v>
      </c>
      <c r="AM17" s="15">
        <f t="shared" si="25"/>
        <v>6842.2971041803821</v>
      </c>
      <c r="AN17" s="15">
        <f t="shared" si="25"/>
        <v>8210.7565250164589</v>
      </c>
      <c r="AO17" s="15">
        <f t="shared" si="25"/>
        <v>8666.9096652951503</v>
      </c>
      <c r="AP17" s="15">
        <f t="shared" si="25"/>
        <v>9123.0628055738434</v>
      </c>
      <c r="AQ17" s="15">
        <f t="shared" si="25"/>
        <v>9579.2159458525348</v>
      </c>
      <c r="AR17" s="20"/>
    </row>
    <row r="18" spans="1:44" ht="19.5">
      <c r="A18" s="16" t="s">
        <v>48</v>
      </c>
      <c r="B18" s="35">
        <v>2.7777777777777776E-2</v>
      </c>
      <c r="C18" s="36">
        <f t="shared" si="14"/>
        <v>25000</v>
      </c>
      <c r="D18" s="18">
        <v>1666.6666666666665</v>
      </c>
      <c r="E18" s="18">
        <v>2083.333333333333</v>
      </c>
      <c r="F18" s="18">
        <v>2083.333333333333</v>
      </c>
      <c r="G18" s="18">
        <v>1666.6666666666665</v>
      </c>
      <c r="H18" s="18">
        <v>1527.7777777777776</v>
      </c>
      <c r="I18" s="18">
        <v>1388.8888888888889</v>
      </c>
      <c r="J18" s="18">
        <v>1666.6666666666665</v>
      </c>
      <c r="K18" s="18">
        <v>2083.333333333333</v>
      </c>
      <c r="L18" s="18">
        <v>2500</v>
      </c>
      <c r="M18" s="18">
        <v>2638.8888888888887</v>
      </c>
      <c r="N18" s="18">
        <v>2777.7777777777778</v>
      </c>
      <c r="O18" s="18">
        <v>2916.6666666666665</v>
      </c>
      <c r="P18" s="18">
        <v>231.28088771116265</v>
      </c>
      <c r="Q18" s="19">
        <v>199.4962857142857</v>
      </c>
      <c r="R18" s="19">
        <f t="shared" si="15"/>
        <v>6183837.6833443055</v>
      </c>
      <c r="S18" s="19">
        <f t="shared" si="16"/>
        <v>154595942083.60764</v>
      </c>
      <c r="T18" s="19"/>
      <c r="U18" s="19">
        <f t="shared" si="17"/>
        <v>95280612244.897964</v>
      </c>
      <c r="V18" s="126"/>
      <c r="W18" s="19">
        <f>C18*1068000</f>
        <v>26700000000</v>
      </c>
      <c r="X18" s="19">
        <f>C18*450000</f>
        <v>11250000000</v>
      </c>
      <c r="Y18" s="19">
        <f>C18*260000</f>
        <v>6500000000</v>
      </c>
      <c r="Z18" s="19">
        <f>C18*317839</f>
        <v>7945975000</v>
      </c>
      <c r="AA18" s="19">
        <f t="shared" si="18"/>
        <v>1548387096.7741935</v>
      </c>
      <c r="AB18" s="19">
        <f t="shared" si="19"/>
        <v>5370967741.9354839</v>
      </c>
      <c r="AF18" s="15">
        <f>D18*$R$18/1000000</f>
        <v>10306.396138907176</v>
      </c>
      <c r="AG18" s="15">
        <f t="shared" ref="AG18:AQ18" si="26">E18*$R$18/1000000</f>
        <v>12882.995173633968</v>
      </c>
      <c r="AH18" s="15">
        <f t="shared" si="26"/>
        <v>12882.995173633968</v>
      </c>
      <c r="AI18" s="15">
        <f t="shared" si="26"/>
        <v>10306.396138907176</v>
      </c>
      <c r="AJ18" s="15">
        <f t="shared" si="26"/>
        <v>9447.5297939982429</v>
      </c>
      <c r="AK18" s="15">
        <f t="shared" si="26"/>
        <v>8588.6634490893139</v>
      </c>
      <c r="AL18" s="15">
        <f t="shared" si="26"/>
        <v>10306.396138907176</v>
      </c>
      <c r="AM18" s="15">
        <f t="shared" si="26"/>
        <v>12882.995173633968</v>
      </c>
      <c r="AN18" s="15">
        <f t="shared" si="26"/>
        <v>15459.594208360764</v>
      </c>
      <c r="AO18" s="15">
        <f t="shared" si="26"/>
        <v>16318.460553269693</v>
      </c>
      <c r="AP18" s="15">
        <f t="shared" si="26"/>
        <v>17177.326898178628</v>
      </c>
      <c r="AQ18" s="15">
        <f t="shared" si="26"/>
        <v>18036.193243087553</v>
      </c>
      <c r="AR18" s="20"/>
    </row>
    <row r="19" spans="1:44" ht="19.5">
      <c r="A19" s="16" t="s">
        <v>38</v>
      </c>
      <c r="B19" s="35">
        <v>0</v>
      </c>
      <c r="C19" s="36">
        <f t="shared" si="14"/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 t="s">
        <v>11</v>
      </c>
      <c r="Q19" s="19"/>
      <c r="R19" s="19">
        <f t="shared" si="15"/>
        <v>0</v>
      </c>
      <c r="S19" s="19">
        <f t="shared" si="16"/>
        <v>0</v>
      </c>
      <c r="T19" s="19"/>
      <c r="U19" s="19">
        <f>C19*0.75/0.98*3735000</f>
        <v>0</v>
      </c>
      <c r="V19" s="126"/>
      <c r="W19" s="19"/>
      <c r="X19" s="19"/>
      <c r="Y19" s="19"/>
      <c r="Z19" s="19"/>
      <c r="AA19" s="19">
        <f t="shared" si="18"/>
        <v>0</v>
      </c>
      <c r="AB19" s="19">
        <f t="shared" si="19"/>
        <v>0</v>
      </c>
      <c r="AF19" s="15">
        <f>D19*$R$19/1000000</f>
        <v>0</v>
      </c>
      <c r="AG19" s="15">
        <f t="shared" ref="AG19:AQ19" si="27">E19*$R$19/1000000</f>
        <v>0</v>
      </c>
      <c r="AH19" s="15">
        <f t="shared" si="27"/>
        <v>0</v>
      </c>
      <c r="AI19" s="15">
        <f t="shared" si="27"/>
        <v>0</v>
      </c>
      <c r="AJ19" s="15">
        <f t="shared" si="27"/>
        <v>0</v>
      </c>
      <c r="AK19" s="15">
        <f t="shared" si="27"/>
        <v>0</v>
      </c>
      <c r="AL19" s="15">
        <f t="shared" si="27"/>
        <v>0</v>
      </c>
      <c r="AM19" s="15">
        <f t="shared" si="27"/>
        <v>0</v>
      </c>
      <c r="AN19" s="15">
        <f t="shared" si="27"/>
        <v>0</v>
      </c>
      <c r="AO19" s="15">
        <f t="shared" si="27"/>
        <v>0</v>
      </c>
      <c r="AP19" s="15">
        <f t="shared" si="27"/>
        <v>0</v>
      </c>
      <c r="AQ19" s="15">
        <f t="shared" si="27"/>
        <v>0</v>
      </c>
      <c r="AR19" s="20"/>
    </row>
    <row r="20" spans="1:44" ht="19.5">
      <c r="A20" s="37" t="s">
        <v>49</v>
      </c>
      <c r="B20" s="35">
        <v>2.2222222222222223E-2</v>
      </c>
      <c r="C20" s="36">
        <f t="shared" si="14"/>
        <v>40000</v>
      </c>
      <c r="D20" s="38">
        <v>2666.666666666667</v>
      </c>
      <c r="E20" s="38">
        <v>3333.3333333333335</v>
      </c>
      <c r="F20" s="38">
        <v>3333.3333333333335</v>
      </c>
      <c r="G20" s="38">
        <v>2666.666666666667</v>
      </c>
      <c r="H20" s="38">
        <v>2444.4444444444443</v>
      </c>
      <c r="I20" s="38">
        <v>2222.2222222222222</v>
      </c>
      <c r="J20" s="38">
        <v>2666.666666666667</v>
      </c>
      <c r="K20" s="38">
        <v>3333.3333333333335</v>
      </c>
      <c r="L20" s="38">
        <v>4000</v>
      </c>
      <c r="M20" s="38">
        <v>4222.2222222222226</v>
      </c>
      <c r="N20" s="38">
        <v>4444.4444444444443</v>
      </c>
      <c r="O20" s="38">
        <v>4666.666666666667</v>
      </c>
      <c r="P20" s="38">
        <v>164.28088771116265</v>
      </c>
      <c r="Q20" s="39">
        <v>141.70400000000001</v>
      </c>
      <c r="R20" s="19">
        <f t="shared" si="15"/>
        <v>4087998.683344306</v>
      </c>
      <c r="S20" s="19">
        <f t="shared" si="16"/>
        <v>163519947333.77225</v>
      </c>
      <c r="T20" s="19"/>
      <c r="U20" s="19">
        <f t="shared" si="17"/>
        <v>152448979591.83676</v>
      </c>
      <c r="V20" s="126"/>
      <c r="W20" s="19"/>
      <c r="X20" s="19"/>
      <c r="Y20" s="19"/>
      <c r="Z20" s="19"/>
      <c r="AA20" s="19">
        <f t="shared" si="18"/>
        <v>2477419354.8387098</v>
      </c>
      <c r="AB20" s="19">
        <f t="shared" si="19"/>
        <v>8593548387.0967751</v>
      </c>
      <c r="AF20" s="15">
        <f>D20*$R$20/1000000</f>
        <v>10901.329822251484</v>
      </c>
      <c r="AG20" s="15">
        <f t="shared" ref="AG20:AQ20" si="28">E20*$R$20/1000000</f>
        <v>13626.662277814354</v>
      </c>
      <c r="AH20" s="15">
        <f t="shared" si="28"/>
        <v>13626.662277814354</v>
      </c>
      <c r="AI20" s="15">
        <f t="shared" si="28"/>
        <v>10901.329822251484</v>
      </c>
      <c r="AJ20" s="15">
        <f t="shared" si="28"/>
        <v>9992.8856703971924</v>
      </c>
      <c r="AK20" s="15">
        <f t="shared" si="28"/>
        <v>9084.4415185429025</v>
      </c>
      <c r="AL20" s="15">
        <f t="shared" si="28"/>
        <v>10901.329822251484</v>
      </c>
      <c r="AM20" s="15">
        <f t="shared" si="28"/>
        <v>13626.662277814354</v>
      </c>
      <c r="AN20" s="15">
        <f t="shared" si="28"/>
        <v>16351.994733377223</v>
      </c>
      <c r="AO20" s="15">
        <f t="shared" si="28"/>
        <v>17260.438885231513</v>
      </c>
      <c r="AP20" s="15">
        <f t="shared" si="28"/>
        <v>18168.883037085805</v>
      </c>
      <c r="AQ20" s="15">
        <f t="shared" si="28"/>
        <v>19077.327188940093</v>
      </c>
      <c r="AR20" s="20"/>
    </row>
    <row r="21" spans="1:44" ht="19.5">
      <c r="A21" s="37" t="s">
        <v>50</v>
      </c>
      <c r="B21" s="35">
        <v>1.1111111111111112E-2</v>
      </c>
      <c r="C21" s="36">
        <f t="shared" si="14"/>
        <v>10000</v>
      </c>
      <c r="D21" s="38">
        <v>666.66666666666674</v>
      </c>
      <c r="E21" s="38">
        <v>833.33333333333337</v>
      </c>
      <c r="F21" s="38">
        <v>833.33333333333337</v>
      </c>
      <c r="G21" s="38">
        <v>666.66666666666674</v>
      </c>
      <c r="H21" s="38">
        <v>611.11111111111109</v>
      </c>
      <c r="I21" s="38">
        <v>555.55555555555554</v>
      </c>
      <c r="J21" s="38">
        <v>666.66666666666674</v>
      </c>
      <c r="K21" s="38">
        <v>833.33333333333337</v>
      </c>
      <c r="L21" s="38">
        <v>1000</v>
      </c>
      <c r="M21" s="38">
        <v>1055.5555555555557</v>
      </c>
      <c r="N21" s="38">
        <v>1111.1111111111111</v>
      </c>
      <c r="O21" s="38">
        <v>1166.6666666666667</v>
      </c>
      <c r="P21" s="38">
        <v>235.28088771116265</v>
      </c>
      <c r="Q21" s="39">
        <v>202.94657142857142</v>
      </c>
      <c r="R21" s="19">
        <f t="shared" si="15"/>
        <v>6183837.6833443064</v>
      </c>
      <c r="S21" s="19">
        <f t="shared" si="16"/>
        <v>61838376833.443062</v>
      </c>
      <c r="T21" s="19"/>
      <c r="U21" s="19">
        <f t="shared" si="17"/>
        <v>38112244897.95919</v>
      </c>
      <c r="V21" s="126"/>
      <c r="W21" s="19">
        <f>C21*1068000</f>
        <v>10680000000</v>
      </c>
      <c r="X21" s="19">
        <f>C21*450000</f>
        <v>4500000000</v>
      </c>
      <c r="Y21" s="19">
        <f>C21*260000</f>
        <v>2600000000</v>
      </c>
      <c r="Z21" s="19">
        <f>C21*317839</f>
        <v>3178390000</v>
      </c>
      <c r="AA21" s="19">
        <f t="shared" si="18"/>
        <v>619354838.70967746</v>
      </c>
      <c r="AB21" s="19">
        <f t="shared" si="19"/>
        <v>2148387096.7741938</v>
      </c>
      <c r="AF21" s="15">
        <f>D21*$R$21/1000000</f>
        <v>4122.5584555628711</v>
      </c>
      <c r="AG21" s="15">
        <f t="shared" ref="AG21:AQ21" si="29">E21*$R$21/1000000</f>
        <v>5153.1980694535887</v>
      </c>
      <c r="AH21" s="15">
        <f t="shared" si="29"/>
        <v>5153.1980694535887</v>
      </c>
      <c r="AI21" s="15">
        <f t="shared" si="29"/>
        <v>4122.5584555628711</v>
      </c>
      <c r="AJ21" s="15">
        <f t="shared" si="29"/>
        <v>3779.0119175992982</v>
      </c>
      <c r="AK21" s="15">
        <f t="shared" si="29"/>
        <v>3435.4653796357256</v>
      </c>
      <c r="AL21" s="15">
        <f t="shared" si="29"/>
        <v>4122.5584555628711</v>
      </c>
      <c r="AM21" s="15">
        <f t="shared" si="29"/>
        <v>5153.1980694535887</v>
      </c>
      <c r="AN21" s="15">
        <f t="shared" si="29"/>
        <v>6183.8376833443062</v>
      </c>
      <c r="AO21" s="15">
        <f t="shared" si="29"/>
        <v>6527.3842213078797</v>
      </c>
      <c r="AP21" s="15">
        <f t="shared" si="29"/>
        <v>6870.9307592714513</v>
      </c>
      <c r="AQ21" s="15">
        <f t="shared" si="29"/>
        <v>7214.4772972350247</v>
      </c>
      <c r="AR21" s="20"/>
    </row>
    <row r="22" spans="1:44" ht="19.5">
      <c r="A22" s="37" t="s">
        <v>51</v>
      </c>
      <c r="B22" s="35">
        <v>2.2222222222222223E-2</v>
      </c>
      <c r="C22" s="36">
        <f t="shared" si="14"/>
        <v>0</v>
      </c>
      <c r="D22" s="38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</v>
      </c>
      <c r="O22" s="38">
        <v>0</v>
      </c>
      <c r="P22" s="38">
        <v>182.28088771116265</v>
      </c>
      <c r="Q22" s="39">
        <v>157.23028571428571</v>
      </c>
      <c r="R22" s="19">
        <f t="shared" si="15"/>
        <v>0</v>
      </c>
      <c r="S22" s="19">
        <f t="shared" si="16"/>
        <v>0</v>
      </c>
      <c r="T22" s="19">
        <f>C22*4232000</f>
        <v>0</v>
      </c>
      <c r="U22" s="19">
        <f t="shared" si="17"/>
        <v>0</v>
      </c>
      <c r="V22" s="126"/>
      <c r="W22" s="19"/>
      <c r="X22" s="19"/>
      <c r="Y22" s="19"/>
      <c r="Z22" s="19"/>
      <c r="AA22" s="19">
        <f t="shared" si="18"/>
        <v>0</v>
      </c>
      <c r="AB22" s="19">
        <f t="shared" si="19"/>
        <v>0</v>
      </c>
      <c r="AF22" s="15">
        <f>D22*$R$22/1000000</f>
        <v>0</v>
      </c>
      <c r="AG22" s="15">
        <f t="shared" ref="AG22:AQ22" si="30">E22*$R$22/1000000</f>
        <v>0</v>
      </c>
      <c r="AH22" s="15">
        <f t="shared" si="30"/>
        <v>0</v>
      </c>
      <c r="AI22" s="15">
        <f t="shared" si="30"/>
        <v>0</v>
      </c>
      <c r="AJ22" s="15">
        <f t="shared" si="30"/>
        <v>0</v>
      </c>
      <c r="AK22" s="15">
        <f t="shared" si="30"/>
        <v>0</v>
      </c>
      <c r="AL22" s="15">
        <f t="shared" si="30"/>
        <v>0</v>
      </c>
      <c r="AM22" s="15">
        <f t="shared" si="30"/>
        <v>0</v>
      </c>
      <c r="AN22" s="15">
        <f t="shared" si="30"/>
        <v>0</v>
      </c>
      <c r="AO22" s="15">
        <f t="shared" si="30"/>
        <v>0</v>
      </c>
      <c r="AP22" s="15">
        <f t="shared" si="30"/>
        <v>0</v>
      </c>
      <c r="AQ22" s="15">
        <f t="shared" si="30"/>
        <v>0</v>
      </c>
      <c r="AR22" s="20"/>
    </row>
    <row r="23" spans="1:44" ht="19.5">
      <c r="A23" s="21" t="s">
        <v>40</v>
      </c>
      <c r="B23" s="35">
        <v>5.5555555555555558E-3</v>
      </c>
      <c r="C23" s="36">
        <f t="shared" si="14"/>
        <v>5000</v>
      </c>
      <c r="D23" s="18">
        <v>333.33333333333337</v>
      </c>
      <c r="E23" s="18">
        <v>416.66666666666669</v>
      </c>
      <c r="F23" s="18">
        <v>416.66666666666669</v>
      </c>
      <c r="G23" s="18">
        <v>333.33333333333337</v>
      </c>
      <c r="H23" s="18">
        <v>305.55555555555554</v>
      </c>
      <c r="I23" s="18">
        <v>277.77777777777777</v>
      </c>
      <c r="J23" s="18">
        <v>333.33333333333337</v>
      </c>
      <c r="K23" s="18">
        <v>416.66666666666669</v>
      </c>
      <c r="L23" s="18">
        <v>500</v>
      </c>
      <c r="M23" s="18">
        <v>527.77777777777783</v>
      </c>
      <c r="N23" s="18">
        <v>555.55555555555554</v>
      </c>
      <c r="O23" s="18">
        <v>583.33333333333337</v>
      </c>
      <c r="P23" s="18">
        <v>165.28088771116265</v>
      </c>
      <c r="Q23" s="19">
        <v>142.56657142857142</v>
      </c>
      <c r="R23" s="19">
        <f t="shared" si="15"/>
        <v>4087998.683344306</v>
      </c>
      <c r="S23" s="19">
        <f t="shared" si="16"/>
        <v>20439993416.721531</v>
      </c>
      <c r="T23" s="19"/>
      <c r="U23" s="19">
        <f t="shared" si="17"/>
        <v>19056122448.979595</v>
      </c>
      <c r="V23" s="126"/>
      <c r="W23" s="19"/>
      <c r="X23" s="19"/>
      <c r="Y23" s="19"/>
      <c r="Z23" s="19"/>
      <c r="AA23" s="19">
        <f t="shared" si="18"/>
        <v>309677419.35483873</v>
      </c>
      <c r="AB23" s="19">
        <f t="shared" si="19"/>
        <v>1074193548.3870969</v>
      </c>
      <c r="AF23" s="15">
        <f>D23*$R$23/1000000</f>
        <v>1362.6662277814355</v>
      </c>
      <c r="AG23" s="15">
        <f t="shared" ref="AG23:AQ23" si="31">E23*$R$23/1000000</f>
        <v>1703.3327847267942</v>
      </c>
      <c r="AH23" s="15">
        <f t="shared" si="31"/>
        <v>1703.3327847267942</v>
      </c>
      <c r="AI23" s="15">
        <f t="shared" si="31"/>
        <v>1362.6662277814355</v>
      </c>
      <c r="AJ23" s="15">
        <f t="shared" si="31"/>
        <v>1249.110708799649</v>
      </c>
      <c r="AK23" s="15">
        <f t="shared" si="31"/>
        <v>1135.5551898178628</v>
      </c>
      <c r="AL23" s="15">
        <f t="shared" si="31"/>
        <v>1362.6662277814355</v>
      </c>
      <c r="AM23" s="15">
        <f t="shared" si="31"/>
        <v>1703.3327847267942</v>
      </c>
      <c r="AN23" s="15">
        <f t="shared" si="31"/>
        <v>2043.9993416721529</v>
      </c>
      <c r="AO23" s="15">
        <f t="shared" si="31"/>
        <v>2157.5548606539392</v>
      </c>
      <c r="AP23" s="15">
        <f t="shared" si="31"/>
        <v>2271.1103796357256</v>
      </c>
      <c r="AQ23" s="15">
        <f t="shared" si="31"/>
        <v>2384.6658986175116</v>
      </c>
      <c r="AR23" s="20"/>
    </row>
    <row r="24" spans="1:44" ht="20.25" thickBot="1">
      <c r="A24" s="40" t="s">
        <v>52</v>
      </c>
      <c r="B24" s="41">
        <v>1</v>
      </c>
      <c r="C24" s="42">
        <f>SUM(C11:C23)</f>
        <v>900000</v>
      </c>
      <c r="D24" s="42">
        <f t="shared" ref="D24:O24" si="32">SUM(D11:D23)</f>
        <v>59999.999999999993</v>
      </c>
      <c r="E24" s="42">
        <f t="shared" si="32"/>
        <v>74999.999999999985</v>
      </c>
      <c r="F24" s="42">
        <f t="shared" si="32"/>
        <v>74999.999999999985</v>
      </c>
      <c r="G24" s="42">
        <f t="shared" si="32"/>
        <v>59999.999999999993</v>
      </c>
      <c r="H24" s="42">
        <f t="shared" si="32"/>
        <v>55000</v>
      </c>
      <c r="I24" s="42">
        <f t="shared" si="32"/>
        <v>50000.000000000007</v>
      </c>
      <c r="J24" s="42">
        <f t="shared" si="32"/>
        <v>59999.999999999993</v>
      </c>
      <c r="K24" s="42">
        <f t="shared" si="32"/>
        <v>74999.999999999985</v>
      </c>
      <c r="L24" s="42">
        <f t="shared" si="32"/>
        <v>90000</v>
      </c>
      <c r="M24" s="42">
        <f t="shared" si="32"/>
        <v>95000</v>
      </c>
      <c r="N24" s="42">
        <f t="shared" si="32"/>
        <v>100000.00000000001</v>
      </c>
      <c r="O24" s="42">
        <f t="shared" si="32"/>
        <v>105000.00000000001</v>
      </c>
      <c r="P24" s="42"/>
      <c r="Q24" s="43"/>
      <c r="R24" s="43"/>
      <c r="S24" s="44">
        <f>SUM(S11:S23)</f>
        <v>4170866955009.875</v>
      </c>
      <c r="T24" s="44">
        <f>SUM(T11:T23)</f>
        <v>0</v>
      </c>
      <c r="U24" s="44">
        <f t="shared" ref="U24:AB24" si="33">SUM(U11:U23)</f>
        <v>3430102040816.3267</v>
      </c>
      <c r="V24" s="130">
        <f t="shared" si="33"/>
        <v>0</v>
      </c>
      <c r="W24" s="44">
        <f t="shared" si="33"/>
        <v>277680000000</v>
      </c>
      <c r="X24" s="44">
        <f t="shared" si="33"/>
        <v>83250000000</v>
      </c>
      <c r="Y24" s="44">
        <f t="shared" si="33"/>
        <v>48100000000</v>
      </c>
      <c r="Z24" s="44">
        <f t="shared" si="33"/>
        <v>82638140000</v>
      </c>
      <c r="AA24" s="44">
        <f t="shared" si="33"/>
        <v>55741935483.870972</v>
      </c>
      <c r="AB24" s="44">
        <f t="shared" si="33"/>
        <v>193354838709.67743</v>
      </c>
    </row>
    <row r="25" spans="1:44" ht="21.75" thickBot="1">
      <c r="A25" s="608" t="s">
        <v>8</v>
      </c>
      <c r="B25" s="609"/>
      <c r="C25" s="45">
        <f>C24+C9</f>
        <v>1550000</v>
      </c>
      <c r="D25" s="45">
        <f t="shared" ref="D25:O25" si="34">D24+D9</f>
        <v>95000</v>
      </c>
      <c r="E25" s="45">
        <f t="shared" si="34"/>
        <v>124999.99999999999</v>
      </c>
      <c r="F25" s="45">
        <f t="shared" si="34"/>
        <v>134999.99999999997</v>
      </c>
      <c r="G25" s="45">
        <f t="shared" si="34"/>
        <v>125000</v>
      </c>
      <c r="H25" s="45">
        <f t="shared" si="34"/>
        <v>125000</v>
      </c>
      <c r="I25" s="45">
        <f t="shared" si="34"/>
        <v>130000</v>
      </c>
      <c r="J25" s="45">
        <f t="shared" si="34"/>
        <v>135000</v>
      </c>
      <c r="K25" s="45">
        <f t="shared" si="34"/>
        <v>140000</v>
      </c>
      <c r="L25" s="45">
        <f t="shared" si="34"/>
        <v>140000</v>
      </c>
      <c r="M25" s="45">
        <f t="shared" si="34"/>
        <v>135000</v>
      </c>
      <c r="N25" s="45">
        <f t="shared" si="34"/>
        <v>135000</v>
      </c>
      <c r="O25" s="45">
        <f t="shared" si="34"/>
        <v>130000.00000000001</v>
      </c>
      <c r="P25" s="45"/>
      <c r="Q25" s="46"/>
      <c r="R25" s="46"/>
      <c r="S25" s="47">
        <f>S24+S9</f>
        <v>6838315957346.9395</v>
      </c>
      <c r="T25" s="47">
        <f>T24+T9</f>
        <v>0</v>
      </c>
      <c r="U25" s="47">
        <f t="shared" ref="U25:AB25" si="35">U24+U9</f>
        <v>5894973367346.9385</v>
      </c>
      <c r="V25" s="131">
        <f t="shared" si="35"/>
        <v>22674450000.000004</v>
      </c>
      <c r="W25" s="47">
        <f t="shared" si="35"/>
        <v>277680000000</v>
      </c>
      <c r="X25" s="47">
        <f t="shared" si="35"/>
        <v>83250000000</v>
      </c>
      <c r="Y25" s="47">
        <f t="shared" si="35"/>
        <v>48100000000</v>
      </c>
      <c r="Z25" s="47">
        <f t="shared" si="35"/>
        <v>82638140000</v>
      </c>
      <c r="AA25" s="47">
        <f t="shared" si="35"/>
        <v>96000000000</v>
      </c>
      <c r="AB25" s="47">
        <f t="shared" si="35"/>
        <v>333000000000</v>
      </c>
    </row>
    <row r="27" spans="1:44"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</row>
    <row r="28" spans="1:44" s="48" customFormat="1" ht="18.75">
      <c r="V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</row>
    <row r="29" spans="1:44" s="48" customFormat="1" ht="18.75">
      <c r="V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</row>
    <row r="30" spans="1:44" s="48" customFormat="1" ht="21">
      <c r="A30" s="50"/>
      <c r="B30" s="50"/>
      <c r="C30" s="605" t="s">
        <v>53</v>
      </c>
      <c r="D30" s="605"/>
      <c r="E30" s="605" t="s">
        <v>54</v>
      </c>
      <c r="F30" s="605"/>
      <c r="G30" s="605" t="s">
        <v>55</v>
      </c>
      <c r="H30" s="605"/>
      <c r="I30" s="605" t="s">
        <v>56</v>
      </c>
      <c r="J30" s="605"/>
      <c r="V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</row>
    <row r="31" spans="1:44" s="48" customFormat="1" ht="23.25" customHeight="1">
      <c r="A31" s="50"/>
      <c r="B31" s="50"/>
      <c r="C31" s="54" t="s">
        <v>5</v>
      </c>
      <c r="D31" s="54" t="s">
        <v>9</v>
      </c>
      <c r="E31" s="54" t="s">
        <v>5</v>
      </c>
      <c r="F31" s="54" t="s">
        <v>9</v>
      </c>
      <c r="G31" s="54" t="s">
        <v>5</v>
      </c>
      <c r="H31" s="54" t="s">
        <v>9</v>
      </c>
      <c r="I31" s="54" t="s">
        <v>5</v>
      </c>
      <c r="J31" s="54" t="s">
        <v>9</v>
      </c>
      <c r="V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49"/>
      <c r="AQ31" s="49"/>
    </row>
    <row r="32" spans="1:44" s="49" customFormat="1" ht="24.75" customHeight="1">
      <c r="A32" s="123" t="s">
        <v>12</v>
      </c>
      <c r="B32" s="52"/>
      <c r="C32" s="52">
        <f>SUM(D3:F3,D11:F12)</f>
        <v>140897.43589743588</v>
      </c>
      <c r="D32" s="52">
        <f>SUM(AF3:AH3,AF11:AH12)</f>
        <v>575988.53243530658</v>
      </c>
      <c r="E32" s="52">
        <f>SUM(G3:I3,G11:I12)</f>
        <v>132474.35897435897</v>
      </c>
      <c r="F32" s="52">
        <f>SUM(AI3:AK3,AI11:AK12)</f>
        <v>541555.00506406045</v>
      </c>
      <c r="G32" s="52">
        <f>SUM(J3:L3,J11:L12)</f>
        <v>158423.07692307691</v>
      </c>
      <c r="H32" s="52">
        <f>SUM(AL3:AN3,AL11:AN12)</f>
        <v>647633.32987289212</v>
      </c>
      <c r="I32" s="52">
        <f>SUM(M3:O3,M11:O12)</f>
        <v>178205.12820512822</v>
      </c>
      <c r="J32" s="52">
        <f>SUM(AO3:AQ3,AO11:AQ12)</f>
        <v>728502.32946776738</v>
      </c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</row>
    <row r="33" spans="1:43" s="49" customFormat="1" ht="18.75">
      <c r="A33" s="123" t="s">
        <v>13</v>
      </c>
      <c r="B33" s="52"/>
      <c r="C33" s="52">
        <f>SUM(D13:F14)</f>
        <v>49000</v>
      </c>
      <c r="D33" s="52">
        <f>SUM(AF13:AH14)</f>
        <v>293068.04648387094</v>
      </c>
      <c r="E33" s="52">
        <f>SUM(G13:I14)</f>
        <v>38500</v>
      </c>
      <c r="F33" s="52">
        <f>SUM(AI13:AK14)</f>
        <v>230267.75080875572</v>
      </c>
      <c r="G33" s="52">
        <f>SUM(J13:L14)</f>
        <v>52500</v>
      </c>
      <c r="H33" s="52">
        <f>SUM(AL13:AN14)</f>
        <v>314001.47837557597</v>
      </c>
      <c r="I33" s="52">
        <f>SUM(M13:O14)</f>
        <v>70000</v>
      </c>
      <c r="J33" s="52">
        <f>SUM(AO13:AQ14)</f>
        <v>418668.63783410133</v>
      </c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</row>
    <row r="34" spans="1:43" s="49" customFormat="1" ht="18.75">
      <c r="A34" s="123" t="s">
        <v>14</v>
      </c>
      <c r="B34" s="52"/>
      <c r="C34" s="52">
        <f>SUM(D4:F4,D15:F16)</f>
        <v>47682.051282051281</v>
      </c>
      <c r="D34" s="52">
        <f>SUM(AF4:AH4,AF15:AH16)</f>
        <v>194924.1628601813</v>
      </c>
      <c r="E34" s="52">
        <f>SUM(G4:I4,G15:I16)</f>
        <v>50370.512820512828</v>
      </c>
      <c r="F34" s="52">
        <f>SUM(AI4:AK4,AI15:AK16)</f>
        <v>205914.59008963389</v>
      </c>
      <c r="G34" s="52">
        <f>SUM(J4:L4,J15:L16)</f>
        <v>55511.538461538461</v>
      </c>
      <c r="H34" s="52">
        <f>SUM(AL4:AN4,AL15:AN16)</f>
        <v>226931.09614118599</v>
      </c>
      <c r="I34" s="52">
        <f>SUM(M4:O4,M15:O16)</f>
        <v>54435.897435897437</v>
      </c>
      <c r="J34" s="52">
        <f>SUM(AO4:AQ4,AO15:AQ16)</f>
        <v>222533.87704461438</v>
      </c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</row>
    <row r="35" spans="1:43" s="49" customFormat="1" ht="18.75">
      <c r="A35" s="123" t="s">
        <v>15</v>
      </c>
      <c r="B35" s="52"/>
      <c r="C35" s="52">
        <f>SUM(D17:F18)</f>
        <v>9333.3333333333321</v>
      </c>
      <c r="D35" s="52">
        <f>SUM(AF17:AH18)</f>
        <v>55230.81837788019</v>
      </c>
      <c r="E35" s="52">
        <f>SUM(G17:I18)</f>
        <v>7333.3333333333321</v>
      </c>
      <c r="F35" s="52">
        <f>SUM(AI17:AK18)</f>
        <v>43395.643011191569</v>
      </c>
      <c r="G35" s="52">
        <f>SUM(J17:L18)</f>
        <v>10000</v>
      </c>
      <c r="H35" s="52">
        <f>SUM(AL17:AN18)</f>
        <v>59175.87683344305</v>
      </c>
      <c r="I35" s="52">
        <f>SUM(M17:O18)</f>
        <v>13333.333333333332</v>
      </c>
      <c r="J35" s="52">
        <f>SUM(AO17:AQ18)</f>
        <v>78901.16911125739</v>
      </c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</row>
    <row r="36" spans="1:43" s="49" customFormat="1" ht="18.75">
      <c r="A36" s="123" t="s">
        <v>16</v>
      </c>
      <c r="B36" s="52"/>
      <c r="C36" s="52">
        <f>SUM(D7:F7)</f>
        <v>91461.538461538454</v>
      </c>
      <c r="D36" s="52">
        <f>SUM(AF7:AH7)</f>
        <v>373894.64880741376</v>
      </c>
      <c r="E36" s="52">
        <f>SUM(G7:I7)</f>
        <v>135615.38461538462</v>
      </c>
      <c r="F36" s="52">
        <f>SUM(AI7:AK7)</f>
        <v>554395.51374892378</v>
      </c>
      <c r="G36" s="52">
        <f>SUM(J7:L7)</f>
        <v>119846.15384615384</v>
      </c>
      <c r="H36" s="52">
        <f>SUM(AL7:AN7)</f>
        <v>489930.91912695591</v>
      </c>
      <c r="I36" s="52">
        <f>SUM(M7:O7)</f>
        <v>63076.923076923078</v>
      </c>
      <c r="J36" s="52">
        <f>SUM(AO7:AQ7)</f>
        <v>257858.37848787155</v>
      </c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</row>
    <row r="37" spans="1:43" s="49" customFormat="1" ht="18.75">
      <c r="A37" s="123" t="s">
        <v>17</v>
      </c>
      <c r="B37" s="52"/>
      <c r="C37" s="52">
        <f>SUM(D5:F5,D19:F19)</f>
        <v>2230.7692307692305</v>
      </c>
      <c r="D37" s="52">
        <f>SUM(AF5:AH5,AF19:AH19)</f>
        <v>12052.037635843419</v>
      </c>
      <c r="E37" s="52">
        <f>SUM(G5:I5,G19:I19)</f>
        <v>3307.6923076923081</v>
      </c>
      <c r="F37" s="52">
        <f>SUM(AI5:AK5,AI19:AK19)</f>
        <v>17870.262701423002</v>
      </c>
      <c r="G37" s="52">
        <f>SUM(J5:L5,J19:L19)</f>
        <v>2923.0769230769229</v>
      </c>
      <c r="H37" s="52">
        <f>SUM(AL5:AN5,AL19:AN19)</f>
        <v>15792.325178001722</v>
      </c>
      <c r="I37" s="52">
        <f>SUM(M5:O5,M19:O19)</f>
        <v>1538.4615384615386</v>
      </c>
      <c r="J37" s="52">
        <f>SUM(AO5:AQ5,AO19:AQ19)</f>
        <v>8311.7500936851175</v>
      </c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</row>
    <row r="38" spans="1:43" s="49" customFormat="1" ht="18.75">
      <c r="A38" s="123" t="s">
        <v>18</v>
      </c>
      <c r="B38" s="52"/>
      <c r="C38" s="52">
        <f>SUM(D6:F6)</f>
        <v>446.15384615384619</v>
      </c>
      <c r="D38" s="52">
        <f>SUM(AF6:AH6)</f>
        <v>1177.7271990682127</v>
      </c>
      <c r="E38" s="52">
        <f>SUM(G6:I6)</f>
        <v>661.53846153846155</v>
      </c>
      <c r="F38" s="52">
        <f>SUM(AI6:AK6)</f>
        <v>1746.2851572390741</v>
      </c>
      <c r="G38" s="52">
        <f>SUM(J6:L6)</f>
        <v>584.61538461538464</v>
      </c>
      <c r="H38" s="52">
        <f>SUM(AL6:AN6)</f>
        <v>1543.2287436066238</v>
      </c>
      <c r="I38" s="52">
        <f>SUM(M6:O6)</f>
        <v>307.69230769230768</v>
      </c>
      <c r="J38" s="52">
        <f>SUM(AO6:AQ6)</f>
        <v>812.225654529802</v>
      </c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</row>
    <row r="39" spans="1:43" s="49" customFormat="1" ht="18.75">
      <c r="A39" s="123" t="s">
        <v>49</v>
      </c>
      <c r="B39" s="52"/>
      <c r="C39" s="52">
        <f>SUM(D20:F20,D22:F22)</f>
        <v>9333.3333333333339</v>
      </c>
      <c r="D39" s="52">
        <f>SUM(AF20:AH20,AF22:AH22)</f>
        <v>38154.654377880186</v>
      </c>
      <c r="E39" s="52">
        <f>SUM(G20:I20,G22:I22)</f>
        <v>7333.3333333333339</v>
      </c>
      <c r="F39" s="52">
        <f>SUM(AI20:AK20,AI22:AK22)</f>
        <v>29978.657011191579</v>
      </c>
      <c r="G39" s="52">
        <f>SUM(J20:L20,J22:L22)</f>
        <v>10000</v>
      </c>
      <c r="H39" s="52">
        <f>SUM(AL20:AN20,AL22:AN22)</f>
        <v>40879.986833443058</v>
      </c>
      <c r="I39" s="52">
        <f>SUM(M20:O20,M22:O22)</f>
        <v>13333.333333333336</v>
      </c>
      <c r="J39" s="52">
        <f>SUM(AO20:AQ20,AO22:AQ22)</f>
        <v>54506.649111257415</v>
      </c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</row>
    <row r="40" spans="1:43" s="49" customFormat="1" ht="18.75">
      <c r="A40" s="123" t="s">
        <v>74</v>
      </c>
      <c r="B40" s="52"/>
      <c r="C40" s="52">
        <f>SUM(D21:F21)</f>
        <v>2333.3333333333335</v>
      </c>
      <c r="D40" s="52">
        <f>SUM(AF21:AH21)</f>
        <v>14428.954594470048</v>
      </c>
      <c r="E40" s="52">
        <f>SUM(G21:I21)</f>
        <v>1833.3333333333335</v>
      </c>
      <c r="F40" s="52">
        <f>SUM(AI21:AK21)</f>
        <v>11337.035752797894</v>
      </c>
      <c r="G40" s="52">
        <f>SUM(J21:L21)</f>
        <v>2500</v>
      </c>
      <c r="H40" s="52">
        <f>SUM(AL21:AN21)</f>
        <v>15459.594208360766</v>
      </c>
      <c r="I40" s="52">
        <f>SUM(M21:O21)</f>
        <v>3333.3333333333339</v>
      </c>
      <c r="J40" s="52">
        <f>SUM(AO21:AQ21)</f>
        <v>20612.792277814355</v>
      </c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</row>
    <row r="41" spans="1:43" s="49" customFormat="1" ht="18.75">
      <c r="A41" s="123" t="s">
        <v>19</v>
      </c>
      <c r="B41" s="52"/>
      <c r="C41" s="52">
        <f>SUM(D8:F8,D23:F23)</f>
        <v>2282.0512820512822</v>
      </c>
      <c r="D41" s="52">
        <f>SUM(AF8:AH8,AF23:AH23)</f>
        <v>9329.0226363498259</v>
      </c>
      <c r="E41" s="52">
        <f>SUM(G8:I8,G23:I23)</f>
        <v>2570.5128205128208</v>
      </c>
      <c r="F41" s="52">
        <f>SUM(AI8:AK8,AI23:AK23)</f>
        <v>10508.25302577607</v>
      </c>
      <c r="G41" s="52">
        <f>SUM(J8:L8,J23:L23)</f>
        <v>2711.5384615384614</v>
      </c>
      <c r="H41" s="52">
        <f>SUM(AL8:AN8,AL23:AN23)</f>
        <v>11084.765660606676</v>
      </c>
      <c r="I41" s="52">
        <f>SUM(M8:O8,M23:O23)</f>
        <v>2435.897435897436</v>
      </c>
      <c r="J41" s="52">
        <f>SUM(AO8:AQ8,AO23:AQ23)</f>
        <v>9957.9455107104877</v>
      </c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</row>
    <row r="42" spans="1:43" s="48" customFormat="1" ht="18.75">
      <c r="V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49"/>
      <c r="AQ42" s="49"/>
    </row>
    <row r="43" spans="1:43" s="48" customFormat="1" ht="18.75">
      <c r="V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</row>
    <row r="44" spans="1:43" s="48" customFormat="1" ht="18.75">
      <c r="V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</row>
    <row r="45" spans="1:43" s="48" customFormat="1" ht="18.75">
      <c r="V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</row>
    <row r="46" spans="1:43" s="48" customFormat="1" ht="18.75">
      <c r="V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</row>
  </sheetData>
  <mergeCells count="5">
    <mergeCell ref="A25:B25"/>
    <mergeCell ref="C30:D30"/>
    <mergeCell ref="E30:F30"/>
    <mergeCell ref="G30:H30"/>
    <mergeCell ref="I30:J3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41"/>
  <sheetViews>
    <sheetView rightToLeft="1" workbookViewId="0">
      <pane xSplit="1" ySplit="2" topLeftCell="B3" activePane="bottomRight" state="frozen"/>
      <selection activeCell="B14" sqref="B14:B16"/>
      <selection pane="topRight" activeCell="B14" sqref="B14:B16"/>
      <selection pane="bottomLeft" activeCell="B14" sqref="B14:B16"/>
      <selection pane="bottomRight" activeCell="B14" sqref="B14:B16"/>
    </sheetView>
  </sheetViews>
  <sheetFormatPr defaultRowHeight="15"/>
  <cols>
    <col min="1" max="1" width="15.7109375" customWidth="1"/>
    <col min="3" max="3" width="14.28515625" customWidth="1"/>
    <col min="4" max="4" width="16.28515625" customWidth="1"/>
    <col min="5" max="5" width="11.42578125" customWidth="1"/>
    <col min="6" max="6" width="16.5703125" customWidth="1"/>
    <col min="7" max="15" width="11.42578125" customWidth="1"/>
    <col min="16" max="16" width="12.42578125" style="15" customWidth="1"/>
    <col min="17" max="24" width="21" customWidth="1"/>
    <col min="25" max="25" width="22.42578125" customWidth="1"/>
    <col min="26" max="26" width="17.42578125" customWidth="1"/>
    <col min="27" max="27" width="17.5703125" customWidth="1"/>
    <col min="28" max="38" width="15.28515625" customWidth="1"/>
  </cols>
  <sheetData>
    <row r="1" spans="1:38" ht="27.75" customHeight="1">
      <c r="A1" s="55" t="s">
        <v>0</v>
      </c>
      <c r="B1" s="56" t="s">
        <v>60</v>
      </c>
      <c r="C1" s="57" t="s">
        <v>20</v>
      </c>
      <c r="D1" s="58" t="s">
        <v>21</v>
      </c>
      <c r="E1" s="59" t="s">
        <v>22</v>
      </c>
      <c r="F1" s="59" t="s">
        <v>23</v>
      </c>
      <c r="G1" s="59" t="s">
        <v>24</v>
      </c>
      <c r="H1" s="59" t="s">
        <v>25</v>
      </c>
      <c r="I1" s="59" t="s">
        <v>26</v>
      </c>
      <c r="J1" s="59" t="s">
        <v>27</v>
      </c>
      <c r="K1" s="59" t="s">
        <v>28</v>
      </c>
      <c r="L1" s="59" t="s">
        <v>29</v>
      </c>
      <c r="M1" s="59" t="s">
        <v>30</v>
      </c>
      <c r="N1" s="59" t="s">
        <v>31</v>
      </c>
      <c r="O1" s="60" t="s">
        <v>32</v>
      </c>
      <c r="P1" s="138" t="s">
        <v>90</v>
      </c>
      <c r="Q1" s="8" t="s">
        <v>57</v>
      </c>
      <c r="R1" s="124" t="s">
        <v>58</v>
      </c>
      <c r="S1" s="8" t="s">
        <v>59</v>
      </c>
      <c r="T1" s="8" t="s">
        <v>76</v>
      </c>
      <c r="U1" s="8" t="s">
        <v>77</v>
      </c>
      <c r="V1" s="8" t="s">
        <v>78</v>
      </c>
      <c r="W1" s="8" t="s">
        <v>79</v>
      </c>
      <c r="X1" s="8" t="s">
        <v>80</v>
      </c>
      <c r="Z1" s="140" t="s">
        <v>92</v>
      </c>
      <c r="AA1" s="6" t="s">
        <v>21</v>
      </c>
      <c r="AB1" s="6" t="s">
        <v>22</v>
      </c>
      <c r="AC1" s="6" t="s">
        <v>23</v>
      </c>
      <c r="AD1" s="6" t="s">
        <v>24</v>
      </c>
      <c r="AE1" s="6" t="s">
        <v>25</v>
      </c>
      <c r="AF1" s="6" t="s">
        <v>26</v>
      </c>
      <c r="AG1" s="6" t="s">
        <v>27</v>
      </c>
      <c r="AH1" s="6" t="s">
        <v>28</v>
      </c>
      <c r="AI1" s="6" t="s">
        <v>29</v>
      </c>
      <c r="AJ1" s="6" t="s">
        <v>30</v>
      </c>
      <c r="AK1" s="6" t="s">
        <v>31</v>
      </c>
      <c r="AL1" s="6" t="s">
        <v>32</v>
      </c>
    </row>
    <row r="2" spans="1:38" ht="21.75">
      <c r="A2" s="61" t="s">
        <v>61</v>
      </c>
      <c r="B2" s="62"/>
      <c r="C2" s="63">
        <v>650000</v>
      </c>
      <c r="D2" s="64">
        <v>40000</v>
      </c>
      <c r="E2" s="12">
        <v>55000</v>
      </c>
      <c r="F2" s="65">
        <v>55000</v>
      </c>
      <c r="G2" s="65">
        <v>70000</v>
      </c>
      <c r="H2" s="65">
        <v>75000</v>
      </c>
      <c r="I2" s="65">
        <v>85000</v>
      </c>
      <c r="J2" s="65">
        <v>75000</v>
      </c>
      <c r="K2" s="65">
        <v>60000</v>
      </c>
      <c r="L2" s="65">
        <v>45000</v>
      </c>
      <c r="M2" s="65">
        <v>40000</v>
      </c>
      <c r="N2" s="65">
        <v>30000</v>
      </c>
      <c r="O2" s="66">
        <v>20000</v>
      </c>
    </row>
    <row r="3" spans="1:38" ht="22.5">
      <c r="A3" s="67" t="s">
        <v>36</v>
      </c>
      <c r="B3" s="68">
        <v>9.7902097902097904E-2</v>
      </c>
      <c r="C3" s="69">
        <f t="shared" ref="C3:C8" si="0">SUM(D3:O3)</f>
        <v>140000</v>
      </c>
      <c r="D3" s="70">
        <v>8615.3846153846152</v>
      </c>
      <c r="E3" s="71">
        <v>11846.153846153848</v>
      </c>
      <c r="F3" s="72">
        <v>11846.153846153848</v>
      </c>
      <c r="G3" s="72">
        <v>15076.923076923078</v>
      </c>
      <c r="H3" s="72">
        <v>16153.846153846154</v>
      </c>
      <c r="I3" s="72">
        <v>18307.692307692309</v>
      </c>
      <c r="J3" s="72">
        <v>16153.846153846154</v>
      </c>
      <c r="K3" s="72">
        <v>12923.076923076924</v>
      </c>
      <c r="L3" s="72">
        <v>9692.3076923076933</v>
      </c>
      <c r="M3" s="72">
        <v>8615.3846153846152</v>
      </c>
      <c r="N3" s="72">
        <v>6461.5384615384619</v>
      </c>
      <c r="O3" s="73">
        <v>4307.6923076923076</v>
      </c>
      <c r="P3" s="15">
        <f>C3</f>
        <v>140000</v>
      </c>
      <c r="Q3" s="136">
        <f>P3/0.98*3735000</f>
        <v>533571428571.42859</v>
      </c>
      <c r="W3" s="136">
        <f>P3/1550000*96000000000</f>
        <v>8670967741.9354839</v>
      </c>
      <c r="X3" s="136">
        <f>P3/1550000*333000000000</f>
        <v>30077419354.838707</v>
      </c>
      <c r="Y3" s="136">
        <f>T3+U3</f>
        <v>0</v>
      </c>
      <c r="Z3" s="15">
        <f>IFERROR(Y3/P3,0)</f>
        <v>0</v>
      </c>
      <c r="AA3" s="15">
        <f>D3*$Z$3</f>
        <v>0</v>
      </c>
      <c r="AB3" s="15">
        <f t="shared" ref="AB3:AL3" si="1">E3*$Z$3</f>
        <v>0</v>
      </c>
      <c r="AC3" s="15">
        <f t="shared" si="1"/>
        <v>0</v>
      </c>
      <c r="AD3" s="15">
        <f t="shared" si="1"/>
        <v>0</v>
      </c>
      <c r="AE3" s="15">
        <f t="shared" si="1"/>
        <v>0</v>
      </c>
      <c r="AF3" s="15">
        <f t="shared" si="1"/>
        <v>0</v>
      </c>
      <c r="AG3" s="15">
        <f t="shared" si="1"/>
        <v>0</v>
      </c>
      <c r="AH3" s="15">
        <f t="shared" si="1"/>
        <v>0</v>
      </c>
      <c r="AI3" s="15">
        <f t="shared" si="1"/>
        <v>0</v>
      </c>
      <c r="AJ3" s="15">
        <f t="shared" si="1"/>
        <v>0</v>
      </c>
      <c r="AK3" s="15">
        <f t="shared" si="1"/>
        <v>0</v>
      </c>
      <c r="AL3" s="15">
        <f t="shared" si="1"/>
        <v>0</v>
      </c>
    </row>
    <row r="4" spans="1:38" ht="22.5">
      <c r="A4" s="67" t="s">
        <v>37</v>
      </c>
      <c r="B4" s="68">
        <v>5.8041958041958039E-2</v>
      </c>
      <c r="C4" s="69">
        <f t="shared" si="0"/>
        <v>83000.000000000015</v>
      </c>
      <c r="D4" s="70">
        <v>5107.6923076923076</v>
      </c>
      <c r="E4" s="71">
        <v>7023.0769230769229</v>
      </c>
      <c r="F4" s="72">
        <v>7023.0769230769229</v>
      </c>
      <c r="G4" s="72">
        <v>8938.461538461539</v>
      </c>
      <c r="H4" s="72">
        <v>9576.9230769230762</v>
      </c>
      <c r="I4" s="72">
        <v>10853.846153846154</v>
      </c>
      <c r="J4" s="72">
        <v>9576.9230769230762</v>
      </c>
      <c r="K4" s="72">
        <v>7661.538461538461</v>
      </c>
      <c r="L4" s="72">
        <v>5746.1538461538457</v>
      </c>
      <c r="M4" s="72">
        <v>5107.6923076923076</v>
      </c>
      <c r="N4" s="72">
        <v>3830.7692307692305</v>
      </c>
      <c r="O4" s="73">
        <v>2553.8461538461538</v>
      </c>
      <c r="P4" s="15">
        <f t="shared" ref="P4:P23" si="2">C4</f>
        <v>83000.000000000015</v>
      </c>
      <c r="Q4" s="136">
        <f t="shared" ref="Q4:Q23" si="3">P4/0.98*3735000</f>
        <v>316331632653.06128</v>
      </c>
      <c r="W4" s="136">
        <f t="shared" ref="W4:W23" si="4">P4/1550000*96000000000</f>
        <v>5140645161.2903233</v>
      </c>
      <c r="X4" s="136">
        <f t="shared" ref="X4:X23" si="5">P4/1550000*333000000000</f>
        <v>17831612903.225811</v>
      </c>
      <c r="Y4" s="136">
        <f t="shared" ref="Y4:Y23" si="6">T4+U4</f>
        <v>0</v>
      </c>
      <c r="Z4" s="15">
        <f t="shared" ref="Z4:Z23" si="7">IFERROR(Y4/P4,0)</f>
        <v>0</v>
      </c>
      <c r="AA4" s="15">
        <f>D4*$Z$4</f>
        <v>0</v>
      </c>
      <c r="AB4" s="15">
        <f t="shared" ref="AB4:AL4" si="8">E4*$Z$4</f>
        <v>0</v>
      </c>
      <c r="AC4" s="15">
        <f t="shared" si="8"/>
        <v>0</v>
      </c>
      <c r="AD4" s="15">
        <f t="shared" si="8"/>
        <v>0</v>
      </c>
      <c r="AE4" s="15">
        <f t="shared" si="8"/>
        <v>0</v>
      </c>
      <c r="AF4" s="15">
        <f t="shared" si="8"/>
        <v>0</v>
      </c>
      <c r="AG4" s="15">
        <f t="shared" si="8"/>
        <v>0</v>
      </c>
      <c r="AH4" s="15">
        <f t="shared" si="8"/>
        <v>0</v>
      </c>
      <c r="AI4" s="15">
        <f t="shared" si="8"/>
        <v>0</v>
      </c>
      <c r="AJ4" s="15">
        <f t="shared" si="8"/>
        <v>0</v>
      </c>
      <c r="AK4" s="15">
        <f t="shared" si="8"/>
        <v>0</v>
      </c>
      <c r="AL4" s="15">
        <f t="shared" si="8"/>
        <v>0</v>
      </c>
    </row>
    <row r="5" spans="1:38" ht="22.5">
      <c r="A5" s="67" t="s">
        <v>38</v>
      </c>
      <c r="B5" s="68">
        <v>6.993006993006993E-3</v>
      </c>
      <c r="C5" s="69">
        <f t="shared" si="0"/>
        <v>31999.999999999993</v>
      </c>
      <c r="D5" s="70">
        <f>615.384615384615*(32/10)</f>
        <v>1969.2307692307681</v>
      </c>
      <c r="E5" s="71">
        <f>846.153846153846*(32/10)</f>
        <v>2707.6923076923072</v>
      </c>
      <c r="F5" s="72">
        <f>846.153846153846*(32/10)</f>
        <v>2707.6923076923072</v>
      </c>
      <c r="G5" s="72">
        <f>1076.92307692308*(32/10)</f>
        <v>3446.1538461538566</v>
      </c>
      <c r="H5" s="72">
        <f>1153.84615384615*(32/10)</f>
        <v>3692.3076923076801</v>
      </c>
      <c r="I5" s="72">
        <f>1307.69230769231*(32/10)</f>
        <v>4184.615384615392</v>
      </c>
      <c r="J5" s="72">
        <f>1153.84615384615*(32/10)</f>
        <v>3692.3076923076801</v>
      </c>
      <c r="K5" s="72">
        <f>923.076923076923*(32/10)</f>
        <v>2953.8461538461538</v>
      </c>
      <c r="L5" s="72">
        <f>692.307692307692*(32/10)</f>
        <v>2215.3846153846148</v>
      </c>
      <c r="M5" s="72">
        <f>615.384615384615*(32/10)</f>
        <v>1969.2307692307681</v>
      </c>
      <c r="N5" s="72">
        <f>461.538461538462*(32/10)</f>
        <v>1476.9230769230785</v>
      </c>
      <c r="O5" s="73">
        <f>307.692307692308*(32/10)</f>
        <v>984.61538461538566</v>
      </c>
      <c r="P5" s="15">
        <f t="shared" si="2"/>
        <v>31999.999999999993</v>
      </c>
      <c r="Q5" s="136">
        <f>P5*0.75/0.98*3735000</f>
        <v>91469387755.10202</v>
      </c>
      <c r="R5" s="136">
        <f>P5*0.25*9069780</f>
        <v>72558239999.999985</v>
      </c>
      <c r="W5" s="136">
        <f t="shared" si="4"/>
        <v>1981935483.8709674</v>
      </c>
      <c r="X5" s="136">
        <f t="shared" si="5"/>
        <v>6874838709.6774178</v>
      </c>
      <c r="Y5" s="136">
        <f t="shared" si="6"/>
        <v>0</v>
      </c>
      <c r="Z5" s="15">
        <f t="shared" si="7"/>
        <v>0</v>
      </c>
      <c r="AA5" s="15">
        <f>D5*$Z$5</f>
        <v>0</v>
      </c>
      <c r="AB5" s="15">
        <f t="shared" ref="AB5:AL5" si="9">E5*$Z$5</f>
        <v>0</v>
      </c>
      <c r="AC5" s="15">
        <f t="shared" si="9"/>
        <v>0</v>
      </c>
      <c r="AD5" s="15">
        <f t="shared" si="9"/>
        <v>0</v>
      </c>
      <c r="AE5" s="15">
        <f t="shared" si="9"/>
        <v>0</v>
      </c>
      <c r="AF5" s="15">
        <f t="shared" si="9"/>
        <v>0</v>
      </c>
      <c r="AG5" s="15">
        <f t="shared" si="9"/>
        <v>0</v>
      </c>
      <c r="AH5" s="15">
        <f t="shared" si="9"/>
        <v>0</v>
      </c>
      <c r="AI5" s="15">
        <f t="shared" si="9"/>
        <v>0</v>
      </c>
      <c r="AJ5" s="15">
        <f t="shared" si="9"/>
        <v>0</v>
      </c>
      <c r="AK5" s="15">
        <f t="shared" si="9"/>
        <v>0</v>
      </c>
      <c r="AL5" s="15">
        <f t="shared" si="9"/>
        <v>0</v>
      </c>
    </row>
    <row r="6" spans="1:38" ht="22.5">
      <c r="A6" s="67" t="s">
        <v>18</v>
      </c>
      <c r="B6" s="74">
        <v>1.3986013986013986E-3</v>
      </c>
      <c r="C6" s="69">
        <f t="shared" si="0"/>
        <v>2000.0000000000002</v>
      </c>
      <c r="D6" s="70">
        <v>123.07692307692308</v>
      </c>
      <c r="E6" s="72">
        <f>2000-SUM(D6,F6:O6)</f>
        <v>169.23076923076928</v>
      </c>
      <c r="F6" s="72">
        <v>169.23076923076923</v>
      </c>
      <c r="G6" s="72">
        <v>215.38461538461539</v>
      </c>
      <c r="H6" s="72">
        <v>230.76923076923077</v>
      </c>
      <c r="I6" s="72">
        <v>261.53846153846155</v>
      </c>
      <c r="J6" s="72">
        <v>230.76923076923077</v>
      </c>
      <c r="K6" s="72">
        <v>184.61538461538461</v>
      </c>
      <c r="L6" s="72">
        <v>138.46153846153845</v>
      </c>
      <c r="M6" s="72">
        <v>123.07692307692308</v>
      </c>
      <c r="N6" s="72">
        <v>92.307692307692307</v>
      </c>
      <c r="O6" s="73">
        <v>61.53846153846154</v>
      </c>
      <c r="P6" s="15">
        <f t="shared" si="2"/>
        <v>2000.0000000000002</v>
      </c>
      <c r="Q6" s="136">
        <f>P6*0.62/0.98*3735000</f>
        <v>4725918367.3469391</v>
      </c>
      <c r="W6" s="136">
        <f t="shared" si="4"/>
        <v>123870967.74193551</v>
      </c>
      <c r="X6" s="136">
        <f t="shared" si="5"/>
        <v>429677419.35483879</v>
      </c>
      <c r="Y6" s="136">
        <f t="shared" si="6"/>
        <v>0</v>
      </c>
      <c r="Z6" s="15">
        <f t="shared" si="7"/>
        <v>0</v>
      </c>
      <c r="AA6" s="15">
        <f>D6*$Z$6</f>
        <v>0</v>
      </c>
      <c r="AB6" s="15">
        <f t="shared" ref="AB6:AL6" si="10">E6*$Z$6</f>
        <v>0</v>
      </c>
      <c r="AC6" s="15">
        <f t="shared" si="10"/>
        <v>0</v>
      </c>
      <c r="AD6" s="15">
        <f t="shared" si="10"/>
        <v>0</v>
      </c>
      <c r="AE6" s="15">
        <f t="shared" si="10"/>
        <v>0</v>
      </c>
      <c r="AF6" s="15">
        <f t="shared" si="10"/>
        <v>0</v>
      </c>
      <c r="AG6" s="15">
        <f t="shared" si="10"/>
        <v>0</v>
      </c>
      <c r="AH6" s="15">
        <f t="shared" si="10"/>
        <v>0</v>
      </c>
      <c r="AI6" s="15">
        <f t="shared" si="10"/>
        <v>0</v>
      </c>
      <c r="AJ6" s="15">
        <f t="shared" si="10"/>
        <v>0</v>
      </c>
      <c r="AK6" s="15">
        <f t="shared" si="10"/>
        <v>0</v>
      </c>
      <c r="AL6" s="15">
        <f t="shared" si="10"/>
        <v>0</v>
      </c>
    </row>
    <row r="7" spans="1:38" ht="22.5">
      <c r="A7" s="75" t="s">
        <v>39</v>
      </c>
      <c r="B7" s="68">
        <v>0.28671328671328672</v>
      </c>
      <c r="C7" s="69">
        <f t="shared" si="0"/>
        <v>410000.00000000006</v>
      </c>
      <c r="D7" s="70">
        <v>25230.76923076923</v>
      </c>
      <c r="E7" s="71">
        <v>34692.307692307688</v>
      </c>
      <c r="F7" s="72">
        <v>34692.307692307688</v>
      </c>
      <c r="G7" s="72">
        <v>44153.846153846149</v>
      </c>
      <c r="H7" s="72">
        <v>47307.692307692305</v>
      </c>
      <c r="I7" s="72">
        <v>53615.384615384617</v>
      </c>
      <c r="J7" s="72">
        <v>47307.692307692305</v>
      </c>
      <c r="K7" s="72">
        <v>37846.153846153844</v>
      </c>
      <c r="L7" s="72">
        <v>28384.615384615383</v>
      </c>
      <c r="M7" s="72">
        <v>25230.76923076923</v>
      </c>
      <c r="N7" s="72">
        <v>18923.076923076922</v>
      </c>
      <c r="O7" s="73">
        <v>12615.384615384615</v>
      </c>
      <c r="P7" s="15">
        <f t="shared" si="2"/>
        <v>410000.00000000006</v>
      </c>
      <c r="Q7" s="136">
        <f t="shared" si="3"/>
        <v>1562602040816.3267</v>
      </c>
      <c r="W7" s="136">
        <f t="shared" si="4"/>
        <v>25393548387.096779</v>
      </c>
      <c r="X7" s="136">
        <f t="shared" si="5"/>
        <v>88083870967.741959</v>
      </c>
      <c r="Y7" s="136">
        <f t="shared" si="6"/>
        <v>0</v>
      </c>
      <c r="Z7" s="15">
        <f t="shared" si="7"/>
        <v>0</v>
      </c>
      <c r="AA7" s="15">
        <f>D7*$Z$7</f>
        <v>0</v>
      </c>
      <c r="AB7" s="15">
        <f t="shared" ref="AB7:AL7" si="11">E7*$Z$7</f>
        <v>0</v>
      </c>
      <c r="AC7" s="15">
        <f t="shared" si="11"/>
        <v>0</v>
      </c>
      <c r="AD7" s="15">
        <f t="shared" si="11"/>
        <v>0</v>
      </c>
      <c r="AE7" s="15">
        <f t="shared" si="11"/>
        <v>0</v>
      </c>
      <c r="AF7" s="15">
        <f t="shared" si="11"/>
        <v>0</v>
      </c>
      <c r="AG7" s="15">
        <f t="shared" si="11"/>
        <v>0</v>
      </c>
      <c r="AH7" s="15">
        <f t="shared" si="11"/>
        <v>0</v>
      </c>
      <c r="AI7" s="15">
        <f t="shared" si="11"/>
        <v>0</v>
      </c>
      <c r="AJ7" s="15">
        <f t="shared" si="11"/>
        <v>0</v>
      </c>
      <c r="AK7" s="15">
        <f t="shared" si="11"/>
        <v>0</v>
      </c>
      <c r="AL7" s="15">
        <f t="shared" si="11"/>
        <v>0</v>
      </c>
    </row>
    <row r="8" spans="1:38" ht="23.25" thickBot="1">
      <c r="A8" s="76" t="s">
        <v>40</v>
      </c>
      <c r="B8" s="77">
        <v>3.4965034965034965E-3</v>
      </c>
      <c r="C8" s="69">
        <f t="shared" si="0"/>
        <v>5000</v>
      </c>
      <c r="D8" s="78">
        <v>307.69230769230774</v>
      </c>
      <c r="E8" s="79">
        <v>423.07692307692309</v>
      </c>
      <c r="F8" s="80">
        <v>423.07692307692309</v>
      </c>
      <c r="G8" s="80">
        <v>538.46153846153845</v>
      </c>
      <c r="H8" s="80">
        <v>576.92307692307691</v>
      </c>
      <c r="I8" s="80">
        <v>653.84615384615392</v>
      </c>
      <c r="J8" s="80">
        <v>576.92307692307691</v>
      </c>
      <c r="K8" s="80">
        <v>461.53846153846155</v>
      </c>
      <c r="L8" s="80">
        <v>346.15384615384619</v>
      </c>
      <c r="M8" s="80">
        <v>307.69230769230774</v>
      </c>
      <c r="N8" s="80">
        <v>230.76923076923077</v>
      </c>
      <c r="O8" s="81">
        <v>153.84615384615387</v>
      </c>
      <c r="P8" s="15">
        <f t="shared" si="2"/>
        <v>5000</v>
      </c>
      <c r="Q8" s="136">
        <f t="shared" si="3"/>
        <v>19056122448.979595</v>
      </c>
      <c r="W8" s="136">
        <f t="shared" si="4"/>
        <v>309677419.35483873</v>
      </c>
      <c r="X8" s="136">
        <f t="shared" si="5"/>
        <v>1074193548.3870969</v>
      </c>
      <c r="Y8" s="136">
        <f t="shared" si="6"/>
        <v>0</v>
      </c>
      <c r="Z8" s="15">
        <f t="shared" si="7"/>
        <v>0</v>
      </c>
      <c r="AA8" s="15">
        <f>D8*$Z$8</f>
        <v>0</v>
      </c>
      <c r="AB8" s="15">
        <f t="shared" ref="AB8:AL8" si="12">E8*$Z$8</f>
        <v>0</v>
      </c>
      <c r="AC8" s="15">
        <f t="shared" si="12"/>
        <v>0</v>
      </c>
      <c r="AD8" s="15">
        <f t="shared" si="12"/>
        <v>0</v>
      </c>
      <c r="AE8" s="15">
        <f t="shared" si="12"/>
        <v>0</v>
      </c>
      <c r="AF8" s="15">
        <f t="shared" si="12"/>
        <v>0</v>
      </c>
      <c r="AG8" s="15">
        <f t="shared" si="12"/>
        <v>0</v>
      </c>
      <c r="AH8" s="15">
        <f t="shared" si="12"/>
        <v>0</v>
      </c>
      <c r="AI8" s="15">
        <f t="shared" si="12"/>
        <v>0</v>
      </c>
      <c r="AJ8" s="15">
        <f t="shared" si="12"/>
        <v>0</v>
      </c>
      <c r="AK8" s="15">
        <f t="shared" si="12"/>
        <v>0</v>
      </c>
      <c r="AL8" s="15">
        <f t="shared" si="12"/>
        <v>0</v>
      </c>
    </row>
    <row r="9" spans="1:38" ht="24.75" thickBot="1">
      <c r="A9" s="82" t="s">
        <v>62</v>
      </c>
      <c r="B9" s="83"/>
      <c r="C9" s="84">
        <f>SUM(C3:C8)</f>
        <v>672000</v>
      </c>
      <c r="D9" s="85">
        <v>39999.999999999993</v>
      </c>
      <c r="E9" s="86">
        <v>55000</v>
      </c>
      <c r="F9" s="87">
        <v>55000</v>
      </c>
      <c r="G9" s="87">
        <v>70000</v>
      </c>
      <c r="H9" s="87">
        <v>75000</v>
      </c>
      <c r="I9" s="87">
        <v>85000</v>
      </c>
      <c r="J9" s="87">
        <v>75000</v>
      </c>
      <c r="K9" s="87">
        <v>59999.999999999993</v>
      </c>
      <c r="L9" s="87">
        <v>45000</v>
      </c>
      <c r="M9" s="87">
        <v>39999.999999999993</v>
      </c>
      <c r="N9" s="87">
        <v>29999.999999999996</v>
      </c>
      <c r="O9" s="88">
        <v>19999.999999999996</v>
      </c>
      <c r="Q9" s="136">
        <f t="shared" si="3"/>
        <v>0</v>
      </c>
      <c r="W9" s="136">
        <f t="shared" si="4"/>
        <v>0</v>
      </c>
      <c r="X9" s="136">
        <f t="shared" si="5"/>
        <v>0</v>
      </c>
      <c r="Y9" s="136">
        <f t="shared" si="6"/>
        <v>0</v>
      </c>
      <c r="Z9" s="15">
        <f t="shared" si="7"/>
        <v>0</v>
      </c>
      <c r="AA9" s="15">
        <f t="shared" ref="AA9:AL10" si="13">D9*Z9</f>
        <v>0</v>
      </c>
      <c r="AB9" s="15">
        <f t="shared" si="13"/>
        <v>0</v>
      </c>
      <c r="AC9" s="15">
        <f t="shared" si="13"/>
        <v>0</v>
      </c>
      <c r="AD9" s="15">
        <f t="shared" si="13"/>
        <v>0</v>
      </c>
      <c r="AE9" s="15">
        <f t="shared" si="13"/>
        <v>0</v>
      </c>
      <c r="AF9" s="15">
        <f t="shared" si="13"/>
        <v>0</v>
      </c>
      <c r="AG9" s="15">
        <f t="shared" si="13"/>
        <v>0</v>
      </c>
      <c r="AH9" s="15">
        <f t="shared" si="13"/>
        <v>0</v>
      </c>
      <c r="AI9" s="15">
        <f t="shared" si="13"/>
        <v>0</v>
      </c>
      <c r="AJ9" s="15">
        <f t="shared" si="13"/>
        <v>0</v>
      </c>
      <c r="AK9" s="15">
        <f t="shared" si="13"/>
        <v>0</v>
      </c>
      <c r="AL9" s="15">
        <f t="shared" si="13"/>
        <v>0</v>
      </c>
    </row>
    <row r="10" spans="1:38" ht="21.75">
      <c r="A10" s="89" t="s">
        <v>63</v>
      </c>
      <c r="B10" s="90"/>
      <c r="C10" s="91">
        <v>780000</v>
      </c>
      <c r="D10" s="92">
        <v>52000</v>
      </c>
      <c r="E10" s="32">
        <v>65000</v>
      </c>
      <c r="F10" s="93">
        <v>65000</v>
      </c>
      <c r="G10" s="93">
        <v>52000</v>
      </c>
      <c r="H10" s="93">
        <v>47666.666666666664</v>
      </c>
      <c r="I10" s="93">
        <v>43333.333333333336</v>
      </c>
      <c r="J10" s="93">
        <v>52000</v>
      </c>
      <c r="K10" s="93">
        <v>65000</v>
      </c>
      <c r="L10" s="93">
        <v>78000</v>
      </c>
      <c r="M10" s="93">
        <v>82333.333333333343</v>
      </c>
      <c r="N10" s="93">
        <v>86666.666666666672</v>
      </c>
      <c r="O10" s="94">
        <v>91000</v>
      </c>
      <c r="Q10" s="136">
        <f t="shared" si="3"/>
        <v>0</v>
      </c>
      <c r="W10" s="136">
        <f t="shared" si="4"/>
        <v>0</v>
      </c>
      <c r="X10" s="136">
        <f t="shared" si="5"/>
        <v>0</v>
      </c>
      <c r="Y10" s="136">
        <f t="shared" si="6"/>
        <v>0</v>
      </c>
      <c r="Z10" s="15">
        <f t="shared" si="7"/>
        <v>0</v>
      </c>
      <c r="AA10" s="15">
        <f t="shared" si="13"/>
        <v>0</v>
      </c>
      <c r="AB10" s="15">
        <f t="shared" si="13"/>
        <v>0</v>
      </c>
      <c r="AC10" s="15">
        <f t="shared" si="13"/>
        <v>0</v>
      </c>
      <c r="AD10" s="15">
        <f t="shared" si="13"/>
        <v>0</v>
      </c>
      <c r="AE10" s="15">
        <f t="shared" si="13"/>
        <v>0</v>
      </c>
      <c r="AF10" s="15">
        <f t="shared" si="13"/>
        <v>0</v>
      </c>
      <c r="AG10" s="15">
        <f t="shared" si="13"/>
        <v>0</v>
      </c>
      <c r="AH10" s="15">
        <f t="shared" si="13"/>
        <v>0</v>
      </c>
      <c r="AI10" s="15">
        <f t="shared" si="13"/>
        <v>0</v>
      </c>
      <c r="AJ10" s="15">
        <f t="shared" si="13"/>
        <v>0</v>
      </c>
      <c r="AK10" s="15">
        <f t="shared" si="13"/>
        <v>0</v>
      </c>
      <c r="AL10" s="15">
        <f t="shared" si="13"/>
        <v>0</v>
      </c>
    </row>
    <row r="11" spans="1:38" ht="22.5">
      <c r="A11" s="67" t="s">
        <v>64</v>
      </c>
      <c r="B11" s="95">
        <v>0.26223776223776224</v>
      </c>
      <c r="C11" s="69">
        <f>SUM(D11:O11)</f>
        <v>447999.99999999988</v>
      </c>
      <c r="D11" s="70">
        <f>31333.3333333333*(448000/470000)</f>
        <v>29866.666666666635</v>
      </c>
      <c r="E11" s="71">
        <f>39166.6666666667*(448000/470000)</f>
        <v>37333.333333333365</v>
      </c>
      <c r="F11" s="72">
        <f>39166.6666666667*(448000/470000)</f>
        <v>37333.333333333365</v>
      </c>
      <c r="G11" s="72">
        <f>31333.3333333333*(448000/470000)</f>
        <v>29866.666666666635</v>
      </c>
      <c r="H11" s="72">
        <f>28722.2222222222*(448000/470000)</f>
        <v>27377.777777777759</v>
      </c>
      <c r="I11" s="72">
        <f>26111.1111111111*(448000/470000)</f>
        <v>24888.88888888888</v>
      </c>
      <c r="J11" s="72">
        <f>31333.3333333333*(448000/470000)</f>
        <v>29866.666666666635</v>
      </c>
      <c r="K11" s="72">
        <f>39166.6666666667*(448000/470000)</f>
        <v>37333.333333333365</v>
      </c>
      <c r="L11" s="72">
        <f>47000*(448000/470000)</f>
        <v>44800</v>
      </c>
      <c r="M11" s="72">
        <f>49611.1111111111*(448000/470000)</f>
        <v>47288.888888888883</v>
      </c>
      <c r="N11" s="72">
        <f>52222.2222222222*(448000/470000)</f>
        <v>49777.777777777759</v>
      </c>
      <c r="O11" s="73">
        <f>54833.3333333333*(448000/470000)</f>
        <v>52266.666666666635</v>
      </c>
      <c r="P11" s="15">
        <f t="shared" si="2"/>
        <v>447999.99999999988</v>
      </c>
      <c r="Q11" s="136">
        <f t="shared" si="3"/>
        <v>1707428571428.571</v>
      </c>
      <c r="W11" s="136">
        <f t="shared" si="4"/>
        <v>27747096774.193539</v>
      </c>
      <c r="X11" s="136">
        <f t="shared" si="5"/>
        <v>96247741935.483841</v>
      </c>
      <c r="Y11" s="136">
        <f t="shared" si="6"/>
        <v>0</v>
      </c>
      <c r="Z11" s="15">
        <f t="shared" si="7"/>
        <v>0</v>
      </c>
      <c r="AA11" s="15">
        <f>D11*$Z$11</f>
        <v>0</v>
      </c>
      <c r="AB11" s="15">
        <f t="shared" ref="AB11:AL11" si="14">E11*$Z$11</f>
        <v>0</v>
      </c>
      <c r="AC11" s="15">
        <f t="shared" si="14"/>
        <v>0</v>
      </c>
      <c r="AD11" s="15">
        <f t="shared" si="14"/>
        <v>0</v>
      </c>
      <c r="AE11" s="15">
        <f t="shared" si="14"/>
        <v>0</v>
      </c>
      <c r="AF11" s="15">
        <f t="shared" si="14"/>
        <v>0</v>
      </c>
      <c r="AG11" s="15">
        <f t="shared" si="14"/>
        <v>0</v>
      </c>
      <c r="AH11" s="15">
        <f t="shared" si="14"/>
        <v>0</v>
      </c>
      <c r="AI11" s="15">
        <f t="shared" si="14"/>
        <v>0</v>
      </c>
      <c r="AJ11" s="15">
        <f t="shared" si="14"/>
        <v>0</v>
      </c>
      <c r="AK11" s="15">
        <f t="shared" si="14"/>
        <v>0</v>
      </c>
      <c r="AL11" s="15">
        <f t="shared" si="14"/>
        <v>0</v>
      </c>
    </row>
    <row r="12" spans="1:38" ht="22.5">
      <c r="A12" s="67" t="s">
        <v>65</v>
      </c>
      <c r="B12" s="95">
        <v>0</v>
      </c>
      <c r="C12" s="69">
        <f t="shared" ref="C12:C23" si="15">SUM(D12:O12)</f>
        <v>0</v>
      </c>
      <c r="D12" s="70">
        <v>0</v>
      </c>
      <c r="E12" s="71">
        <v>0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  <c r="N12" s="72">
        <v>0</v>
      </c>
      <c r="O12" s="73">
        <v>0</v>
      </c>
      <c r="P12" s="15">
        <f t="shared" si="2"/>
        <v>0</v>
      </c>
      <c r="Q12" s="136">
        <f t="shared" si="3"/>
        <v>0</v>
      </c>
      <c r="W12" s="136">
        <f t="shared" si="4"/>
        <v>0</v>
      </c>
      <c r="X12" s="136">
        <f t="shared" si="5"/>
        <v>0</v>
      </c>
      <c r="Y12" s="136">
        <f t="shared" si="6"/>
        <v>0</v>
      </c>
      <c r="Z12" s="15">
        <f t="shared" si="7"/>
        <v>0</v>
      </c>
      <c r="AA12" s="15">
        <f>D12*$Z$12</f>
        <v>0</v>
      </c>
      <c r="AB12" s="15">
        <f t="shared" ref="AB12:AL12" si="16">E12*$Z$12</f>
        <v>0</v>
      </c>
      <c r="AC12" s="15">
        <f t="shared" si="16"/>
        <v>0</v>
      </c>
      <c r="AD12" s="15">
        <f t="shared" si="16"/>
        <v>0</v>
      </c>
      <c r="AE12" s="15">
        <f t="shared" si="16"/>
        <v>0</v>
      </c>
      <c r="AF12" s="15">
        <f t="shared" si="16"/>
        <v>0</v>
      </c>
      <c r="AG12" s="15">
        <f t="shared" si="16"/>
        <v>0</v>
      </c>
      <c r="AH12" s="15">
        <f t="shared" si="16"/>
        <v>0</v>
      </c>
      <c r="AI12" s="15">
        <f t="shared" si="16"/>
        <v>0</v>
      </c>
      <c r="AJ12" s="15">
        <f t="shared" si="16"/>
        <v>0</v>
      </c>
      <c r="AK12" s="15">
        <f t="shared" si="16"/>
        <v>0</v>
      </c>
      <c r="AL12" s="15">
        <f t="shared" si="16"/>
        <v>0</v>
      </c>
    </row>
    <row r="13" spans="1:38" ht="22.5">
      <c r="A13" s="67" t="s">
        <v>44</v>
      </c>
      <c r="B13" s="95">
        <v>4.195804195804196E-2</v>
      </c>
      <c r="C13" s="69">
        <f t="shared" si="15"/>
        <v>60000</v>
      </c>
      <c r="D13" s="70">
        <v>4000</v>
      </c>
      <c r="E13" s="71">
        <v>5000</v>
      </c>
      <c r="F13" s="72">
        <v>5000</v>
      </c>
      <c r="G13" s="72">
        <v>4000</v>
      </c>
      <c r="H13" s="72">
        <v>3666.6666666666665</v>
      </c>
      <c r="I13" s="72">
        <v>3333.3333333333335</v>
      </c>
      <c r="J13" s="72">
        <v>4000</v>
      </c>
      <c r="K13" s="72">
        <v>5000</v>
      </c>
      <c r="L13" s="72">
        <v>6000</v>
      </c>
      <c r="M13" s="72">
        <v>6333.333333333333</v>
      </c>
      <c r="N13" s="72">
        <v>6666.666666666667</v>
      </c>
      <c r="O13" s="73">
        <v>7000</v>
      </c>
      <c r="P13" s="15">
        <f t="shared" si="2"/>
        <v>60000</v>
      </c>
      <c r="Q13" s="136">
        <f t="shared" si="3"/>
        <v>228673469387.7551</v>
      </c>
      <c r="S13" s="20">
        <f>P13*1068000</f>
        <v>64080000000</v>
      </c>
      <c r="V13" s="20">
        <f>P13*317839</f>
        <v>19070340000</v>
      </c>
      <c r="W13" s="136">
        <f t="shared" si="4"/>
        <v>3716129032.2580647</v>
      </c>
      <c r="X13" s="136">
        <f t="shared" si="5"/>
        <v>12890322580.645163</v>
      </c>
      <c r="Y13" s="136">
        <f t="shared" si="6"/>
        <v>0</v>
      </c>
      <c r="Z13" s="15">
        <f t="shared" si="7"/>
        <v>0</v>
      </c>
      <c r="AA13" s="15">
        <f>D13*$Z$13</f>
        <v>0</v>
      </c>
      <c r="AB13" s="15">
        <f t="shared" ref="AB13:AL13" si="17">E13*$Z$13</f>
        <v>0</v>
      </c>
      <c r="AC13" s="15">
        <f t="shared" si="17"/>
        <v>0</v>
      </c>
      <c r="AD13" s="15">
        <f t="shared" si="17"/>
        <v>0</v>
      </c>
      <c r="AE13" s="15">
        <f t="shared" si="17"/>
        <v>0</v>
      </c>
      <c r="AF13" s="15">
        <f t="shared" si="17"/>
        <v>0</v>
      </c>
      <c r="AG13" s="15">
        <f t="shared" si="17"/>
        <v>0</v>
      </c>
      <c r="AH13" s="15">
        <f t="shared" si="17"/>
        <v>0</v>
      </c>
      <c r="AI13" s="15">
        <f t="shared" si="17"/>
        <v>0</v>
      </c>
      <c r="AJ13" s="15">
        <f t="shared" si="17"/>
        <v>0</v>
      </c>
      <c r="AK13" s="15">
        <f t="shared" si="17"/>
        <v>0</v>
      </c>
      <c r="AL13" s="15">
        <f t="shared" si="17"/>
        <v>0</v>
      </c>
    </row>
    <row r="14" spans="1:38" ht="22.5">
      <c r="A14" s="67" t="s">
        <v>45</v>
      </c>
      <c r="B14" s="95">
        <v>0.1048951048951049</v>
      </c>
      <c r="C14" s="69">
        <f t="shared" si="15"/>
        <v>150000</v>
      </c>
      <c r="D14" s="70">
        <v>10000</v>
      </c>
      <c r="E14" s="71">
        <v>12500</v>
      </c>
      <c r="F14" s="72">
        <v>12500</v>
      </c>
      <c r="G14" s="72">
        <v>10000</v>
      </c>
      <c r="H14" s="72">
        <v>9166.6666666666661</v>
      </c>
      <c r="I14" s="72">
        <v>8333.3333333333321</v>
      </c>
      <c r="J14" s="72">
        <v>10000</v>
      </c>
      <c r="K14" s="72">
        <v>12500</v>
      </c>
      <c r="L14" s="72">
        <v>15000</v>
      </c>
      <c r="M14" s="72">
        <v>15833.333333333332</v>
      </c>
      <c r="N14" s="72">
        <v>16666.666666666664</v>
      </c>
      <c r="O14" s="73">
        <v>17500</v>
      </c>
      <c r="P14" s="15">
        <f t="shared" si="2"/>
        <v>150000</v>
      </c>
      <c r="Q14" s="136">
        <f t="shared" si="3"/>
        <v>571683673469.3877</v>
      </c>
      <c r="S14" s="20">
        <f>P14*1068000</f>
        <v>160200000000</v>
      </c>
      <c r="T14" s="20">
        <f>P14*450000</f>
        <v>67500000000</v>
      </c>
      <c r="U14" s="20">
        <f>P14*260000</f>
        <v>39000000000</v>
      </c>
      <c r="V14" s="20">
        <f>P14*317839</f>
        <v>47675850000</v>
      </c>
      <c r="W14" s="136">
        <f t="shared" si="4"/>
        <v>9290322580.6451607</v>
      </c>
      <c r="X14" s="136">
        <f t="shared" si="5"/>
        <v>32225806451.612904</v>
      </c>
      <c r="Y14" s="136">
        <f t="shared" si="6"/>
        <v>106500000000</v>
      </c>
      <c r="Z14" s="15">
        <f t="shared" si="7"/>
        <v>710000</v>
      </c>
      <c r="AA14" s="15">
        <f>D14*$Z$14</f>
        <v>7100000000</v>
      </c>
      <c r="AB14" s="15">
        <f t="shared" ref="AB14:AL14" si="18">E14*$Z$14</f>
        <v>8875000000</v>
      </c>
      <c r="AC14" s="15">
        <f t="shared" si="18"/>
        <v>8875000000</v>
      </c>
      <c r="AD14" s="15">
        <f t="shared" si="18"/>
        <v>7100000000</v>
      </c>
      <c r="AE14" s="15">
        <f t="shared" si="18"/>
        <v>6508333333.333333</v>
      </c>
      <c r="AF14" s="15">
        <f t="shared" si="18"/>
        <v>5916666666.666666</v>
      </c>
      <c r="AG14" s="15">
        <f t="shared" si="18"/>
        <v>7100000000</v>
      </c>
      <c r="AH14" s="15">
        <f t="shared" si="18"/>
        <v>8875000000</v>
      </c>
      <c r="AI14" s="15">
        <f t="shared" si="18"/>
        <v>10650000000</v>
      </c>
      <c r="AJ14" s="15">
        <f t="shared" si="18"/>
        <v>11241666666.666666</v>
      </c>
      <c r="AK14" s="15">
        <f t="shared" si="18"/>
        <v>11833333333.333332</v>
      </c>
      <c r="AL14" s="15">
        <f t="shared" si="18"/>
        <v>12425000000</v>
      </c>
    </row>
    <row r="15" spans="1:38" ht="22.5">
      <c r="A15" s="67" t="s">
        <v>66</v>
      </c>
      <c r="B15" s="95">
        <v>8.3916083916083919E-2</v>
      </c>
      <c r="C15" s="69">
        <f t="shared" si="15"/>
        <v>125000</v>
      </c>
      <c r="D15" s="70">
        <v>8333.3333333333339</v>
      </c>
      <c r="E15" s="71">
        <v>10416.666666666666</v>
      </c>
      <c r="F15" s="72">
        <v>10416.666666666666</v>
      </c>
      <c r="G15" s="72">
        <v>8333.3333333333339</v>
      </c>
      <c r="H15" s="72">
        <v>7638.8888888888887</v>
      </c>
      <c r="I15" s="72">
        <v>6944.4444444444443</v>
      </c>
      <c r="J15" s="72">
        <v>8333.3333333333339</v>
      </c>
      <c r="K15" s="72">
        <v>10416.666666666666</v>
      </c>
      <c r="L15" s="72">
        <v>12500</v>
      </c>
      <c r="M15" s="72">
        <v>13194.444444444443</v>
      </c>
      <c r="N15" s="72">
        <v>13888.888888888889</v>
      </c>
      <c r="O15" s="73">
        <v>14583.333333333334</v>
      </c>
      <c r="P15" s="15">
        <f t="shared" si="2"/>
        <v>125000</v>
      </c>
      <c r="Q15" s="136">
        <f t="shared" si="3"/>
        <v>476403061224.48981</v>
      </c>
      <c r="W15" s="136">
        <f t="shared" si="4"/>
        <v>7741935483.8709679</v>
      </c>
      <c r="X15" s="136">
        <f t="shared" si="5"/>
        <v>26854838709.677418</v>
      </c>
      <c r="Y15" s="136">
        <f t="shared" si="6"/>
        <v>0</v>
      </c>
      <c r="Z15" s="15">
        <f t="shared" si="7"/>
        <v>0</v>
      </c>
      <c r="AA15" s="15">
        <f>D15*$Z$15</f>
        <v>0</v>
      </c>
      <c r="AB15" s="15">
        <f t="shared" ref="AB15:AL15" si="19">E15*$Z$15</f>
        <v>0</v>
      </c>
      <c r="AC15" s="15">
        <f t="shared" si="19"/>
        <v>0</v>
      </c>
      <c r="AD15" s="15">
        <f t="shared" si="19"/>
        <v>0</v>
      </c>
      <c r="AE15" s="15">
        <f t="shared" si="19"/>
        <v>0</v>
      </c>
      <c r="AF15" s="15">
        <f t="shared" si="19"/>
        <v>0</v>
      </c>
      <c r="AG15" s="15">
        <f t="shared" si="19"/>
        <v>0</v>
      </c>
      <c r="AH15" s="15">
        <f t="shared" si="19"/>
        <v>0</v>
      </c>
      <c r="AI15" s="15">
        <f t="shared" si="19"/>
        <v>0</v>
      </c>
      <c r="AJ15" s="15">
        <f t="shared" si="19"/>
        <v>0</v>
      </c>
      <c r="AK15" s="15">
        <f t="shared" si="19"/>
        <v>0</v>
      </c>
      <c r="AL15" s="15">
        <f t="shared" si="19"/>
        <v>0</v>
      </c>
    </row>
    <row r="16" spans="1:38" ht="22.5">
      <c r="A16" s="67" t="s">
        <v>67</v>
      </c>
      <c r="B16" s="95">
        <v>0</v>
      </c>
      <c r="C16" s="69">
        <f t="shared" si="15"/>
        <v>0</v>
      </c>
      <c r="D16" s="70">
        <v>0</v>
      </c>
      <c r="E16" s="71">
        <v>0</v>
      </c>
      <c r="F16" s="72">
        <v>0</v>
      </c>
      <c r="G16" s="72">
        <v>0</v>
      </c>
      <c r="H16" s="72">
        <v>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3">
        <v>0</v>
      </c>
      <c r="P16" s="15">
        <f t="shared" si="2"/>
        <v>0</v>
      </c>
      <c r="Q16" s="136">
        <f t="shared" si="3"/>
        <v>0</v>
      </c>
      <c r="W16" s="136">
        <f t="shared" si="4"/>
        <v>0</v>
      </c>
      <c r="X16" s="136">
        <f t="shared" si="5"/>
        <v>0</v>
      </c>
      <c r="Y16" s="136">
        <f t="shared" si="6"/>
        <v>0</v>
      </c>
      <c r="Z16" s="15">
        <f t="shared" si="7"/>
        <v>0</v>
      </c>
      <c r="AA16" s="15">
        <f>D16*$Z$16</f>
        <v>0</v>
      </c>
      <c r="AB16" s="15">
        <f t="shared" ref="AB16:AL16" si="20">E16*$Z$16</f>
        <v>0</v>
      </c>
      <c r="AC16" s="15">
        <f t="shared" si="20"/>
        <v>0</v>
      </c>
      <c r="AD16" s="15">
        <f t="shared" si="20"/>
        <v>0</v>
      </c>
      <c r="AE16" s="15">
        <f t="shared" si="20"/>
        <v>0</v>
      </c>
      <c r="AF16" s="15">
        <f t="shared" si="20"/>
        <v>0</v>
      </c>
      <c r="AG16" s="15">
        <f t="shared" si="20"/>
        <v>0</v>
      </c>
      <c r="AH16" s="15">
        <f t="shared" si="20"/>
        <v>0</v>
      </c>
      <c r="AI16" s="15">
        <f t="shared" si="20"/>
        <v>0</v>
      </c>
      <c r="AJ16" s="15">
        <f t="shared" si="20"/>
        <v>0</v>
      </c>
      <c r="AK16" s="15">
        <f t="shared" si="20"/>
        <v>0</v>
      </c>
      <c r="AL16" s="15">
        <f t="shared" si="20"/>
        <v>0</v>
      </c>
    </row>
    <row r="17" spans="1:38" ht="22.5">
      <c r="A17" s="67" t="s">
        <v>47</v>
      </c>
      <c r="B17" s="95">
        <v>1.048951048951049E-2</v>
      </c>
      <c r="C17" s="69">
        <f t="shared" si="15"/>
        <v>15000</v>
      </c>
      <c r="D17" s="70">
        <v>1000</v>
      </c>
      <c r="E17" s="71">
        <v>1250</v>
      </c>
      <c r="F17" s="72">
        <v>1250</v>
      </c>
      <c r="G17" s="72">
        <v>1000</v>
      </c>
      <c r="H17" s="72">
        <v>916.66666666666663</v>
      </c>
      <c r="I17" s="72">
        <v>833.33333333333337</v>
      </c>
      <c r="J17" s="72">
        <v>1000</v>
      </c>
      <c r="K17" s="72">
        <v>1250</v>
      </c>
      <c r="L17" s="72">
        <v>1500</v>
      </c>
      <c r="M17" s="72">
        <v>1583.3333333333333</v>
      </c>
      <c r="N17" s="72">
        <v>1666.6666666666667</v>
      </c>
      <c r="O17" s="73">
        <v>1750</v>
      </c>
      <c r="P17" s="15">
        <f t="shared" si="2"/>
        <v>15000</v>
      </c>
      <c r="Q17" s="136">
        <f t="shared" si="3"/>
        <v>57168367346.938774</v>
      </c>
      <c r="S17" s="20">
        <f>P17*1068000</f>
        <v>16020000000</v>
      </c>
      <c r="V17" s="20">
        <f>P17*317839</f>
        <v>4767585000</v>
      </c>
      <c r="W17" s="136">
        <f t="shared" si="4"/>
        <v>929032258.06451619</v>
      </c>
      <c r="X17" s="136">
        <f t="shared" si="5"/>
        <v>3222580645.1612906</v>
      </c>
      <c r="Y17" s="136">
        <f t="shared" si="6"/>
        <v>0</v>
      </c>
      <c r="Z17" s="15">
        <f t="shared" si="7"/>
        <v>0</v>
      </c>
      <c r="AA17" s="15">
        <f>D17*$Z$17</f>
        <v>0</v>
      </c>
      <c r="AB17" s="15">
        <f t="shared" ref="AB17:AL17" si="21">E17*$Z$17</f>
        <v>0</v>
      </c>
      <c r="AC17" s="15">
        <f t="shared" si="21"/>
        <v>0</v>
      </c>
      <c r="AD17" s="15">
        <f t="shared" si="21"/>
        <v>0</v>
      </c>
      <c r="AE17" s="15">
        <f t="shared" si="21"/>
        <v>0</v>
      </c>
      <c r="AF17" s="15">
        <f t="shared" si="21"/>
        <v>0</v>
      </c>
      <c r="AG17" s="15">
        <f t="shared" si="21"/>
        <v>0</v>
      </c>
      <c r="AH17" s="15">
        <f t="shared" si="21"/>
        <v>0</v>
      </c>
      <c r="AI17" s="15">
        <f t="shared" si="21"/>
        <v>0</v>
      </c>
      <c r="AJ17" s="15">
        <f t="shared" si="21"/>
        <v>0</v>
      </c>
      <c r="AK17" s="15">
        <f t="shared" si="21"/>
        <v>0</v>
      </c>
      <c r="AL17" s="15">
        <f t="shared" si="21"/>
        <v>0</v>
      </c>
    </row>
    <row r="18" spans="1:38" ht="22.5">
      <c r="A18" s="67" t="s">
        <v>48</v>
      </c>
      <c r="B18" s="95">
        <v>1.7482517482517484E-2</v>
      </c>
      <c r="C18" s="69">
        <f t="shared" si="15"/>
        <v>25000</v>
      </c>
      <c r="D18" s="70">
        <v>1666.6666666666665</v>
      </c>
      <c r="E18" s="71">
        <v>2083.333333333333</v>
      </c>
      <c r="F18" s="72">
        <v>2083.333333333333</v>
      </c>
      <c r="G18" s="72">
        <v>1666.6666666666665</v>
      </c>
      <c r="H18" s="72">
        <v>1527.7777777777776</v>
      </c>
      <c r="I18" s="72">
        <v>1388.8888888888889</v>
      </c>
      <c r="J18" s="72">
        <v>1666.6666666666665</v>
      </c>
      <c r="K18" s="72">
        <v>2083.333333333333</v>
      </c>
      <c r="L18" s="72">
        <v>2500</v>
      </c>
      <c r="M18" s="72">
        <v>2638.8888888888887</v>
      </c>
      <c r="N18" s="72">
        <v>2777.7777777777778</v>
      </c>
      <c r="O18" s="73">
        <v>2916.6666666666665</v>
      </c>
      <c r="P18" s="15">
        <f t="shared" si="2"/>
        <v>25000</v>
      </c>
      <c r="Q18" s="136">
        <f t="shared" si="3"/>
        <v>95280612244.897964</v>
      </c>
      <c r="S18" s="20">
        <f>P18*1068000</f>
        <v>26700000000</v>
      </c>
      <c r="T18" s="20">
        <f>P18*450000</f>
        <v>11250000000</v>
      </c>
      <c r="U18" s="20">
        <f>P18*260000</f>
        <v>6500000000</v>
      </c>
      <c r="V18" s="20">
        <f>P18*317839</f>
        <v>7945975000</v>
      </c>
      <c r="W18" s="136">
        <f t="shared" si="4"/>
        <v>1548387096.7741935</v>
      </c>
      <c r="X18" s="136">
        <f t="shared" si="5"/>
        <v>5370967741.9354839</v>
      </c>
      <c r="Y18" s="136">
        <f t="shared" si="6"/>
        <v>17750000000</v>
      </c>
      <c r="Z18" s="15">
        <f t="shared" si="7"/>
        <v>710000</v>
      </c>
      <c r="AA18" s="15">
        <f>D18*$Z$18</f>
        <v>1183333333.3333333</v>
      </c>
      <c r="AB18" s="15">
        <f t="shared" ref="AB18:AL18" si="22">E18*$Z$18</f>
        <v>1479166666.6666665</v>
      </c>
      <c r="AC18" s="15">
        <f t="shared" si="22"/>
        <v>1479166666.6666665</v>
      </c>
      <c r="AD18" s="15">
        <f t="shared" si="22"/>
        <v>1183333333.3333333</v>
      </c>
      <c r="AE18" s="15">
        <f t="shared" si="22"/>
        <v>1084722222.2222221</v>
      </c>
      <c r="AF18" s="15">
        <f t="shared" si="22"/>
        <v>986111111.11111116</v>
      </c>
      <c r="AG18" s="15">
        <f t="shared" si="22"/>
        <v>1183333333.3333333</v>
      </c>
      <c r="AH18" s="15">
        <f t="shared" si="22"/>
        <v>1479166666.6666665</v>
      </c>
      <c r="AI18" s="15">
        <f t="shared" si="22"/>
        <v>1775000000</v>
      </c>
      <c r="AJ18" s="15">
        <f t="shared" si="22"/>
        <v>1873611111.1111109</v>
      </c>
      <c r="AK18" s="15">
        <f t="shared" si="22"/>
        <v>1972222222.2222223</v>
      </c>
      <c r="AL18" s="15">
        <f t="shared" si="22"/>
        <v>2070833333.3333333</v>
      </c>
    </row>
    <row r="19" spans="1:38" ht="22.5">
      <c r="A19" s="67" t="s">
        <v>38</v>
      </c>
      <c r="B19" s="95">
        <v>0</v>
      </c>
      <c r="C19" s="69">
        <f t="shared" si="15"/>
        <v>0</v>
      </c>
      <c r="D19" s="70">
        <v>0</v>
      </c>
      <c r="E19" s="71">
        <v>0</v>
      </c>
      <c r="F19" s="72">
        <v>0</v>
      </c>
      <c r="G19" s="72">
        <v>0</v>
      </c>
      <c r="H19" s="72">
        <v>0</v>
      </c>
      <c r="I19" s="72">
        <v>0</v>
      </c>
      <c r="J19" s="72">
        <v>0</v>
      </c>
      <c r="K19" s="72">
        <v>0</v>
      </c>
      <c r="L19" s="72">
        <v>0</v>
      </c>
      <c r="M19" s="72">
        <v>0</v>
      </c>
      <c r="N19" s="72">
        <v>0</v>
      </c>
      <c r="O19" s="73">
        <v>0</v>
      </c>
      <c r="P19" s="15">
        <f t="shared" si="2"/>
        <v>0</v>
      </c>
      <c r="Q19" s="136">
        <f>P19*0.75/0.98*3735000</f>
        <v>0</v>
      </c>
      <c r="W19" s="136">
        <f t="shared" si="4"/>
        <v>0</v>
      </c>
      <c r="X19" s="136">
        <f t="shared" si="5"/>
        <v>0</v>
      </c>
      <c r="Y19" s="136">
        <f t="shared" si="6"/>
        <v>0</v>
      </c>
      <c r="Z19" s="15">
        <f t="shared" si="7"/>
        <v>0</v>
      </c>
      <c r="AA19" s="15">
        <f>D19*$Z$19</f>
        <v>0</v>
      </c>
      <c r="AB19" s="15">
        <f t="shared" ref="AB19:AL19" si="23">E19*$Z$19</f>
        <v>0</v>
      </c>
      <c r="AC19" s="15">
        <f t="shared" si="23"/>
        <v>0</v>
      </c>
      <c r="AD19" s="15">
        <f t="shared" si="23"/>
        <v>0</v>
      </c>
      <c r="AE19" s="15">
        <f t="shared" si="23"/>
        <v>0</v>
      </c>
      <c r="AF19" s="15">
        <f t="shared" si="23"/>
        <v>0</v>
      </c>
      <c r="AG19" s="15">
        <f t="shared" si="23"/>
        <v>0</v>
      </c>
      <c r="AH19" s="15">
        <f t="shared" si="23"/>
        <v>0</v>
      </c>
      <c r="AI19" s="15">
        <f t="shared" si="23"/>
        <v>0</v>
      </c>
      <c r="AJ19" s="15">
        <f t="shared" si="23"/>
        <v>0</v>
      </c>
      <c r="AK19" s="15">
        <f t="shared" si="23"/>
        <v>0</v>
      </c>
      <c r="AL19" s="15">
        <f t="shared" si="23"/>
        <v>0</v>
      </c>
    </row>
    <row r="20" spans="1:38" ht="22.5">
      <c r="A20" s="96" t="s">
        <v>49</v>
      </c>
      <c r="B20" s="95">
        <v>1.3986013986013986E-2</v>
      </c>
      <c r="C20" s="69">
        <f t="shared" si="15"/>
        <v>40000</v>
      </c>
      <c r="D20" s="97">
        <v>2666.666666666667</v>
      </c>
      <c r="E20" s="98">
        <v>3333.3333333333335</v>
      </c>
      <c r="F20" s="99">
        <v>3333.3333333333335</v>
      </c>
      <c r="G20" s="99">
        <v>2666.666666666667</v>
      </c>
      <c r="H20" s="99">
        <v>2444.4444444444443</v>
      </c>
      <c r="I20" s="99">
        <v>2222.2222222222222</v>
      </c>
      <c r="J20" s="99">
        <v>2666.666666666667</v>
      </c>
      <c r="K20" s="99">
        <v>3333.3333333333335</v>
      </c>
      <c r="L20" s="99">
        <v>4000</v>
      </c>
      <c r="M20" s="99">
        <v>4222.2222222222226</v>
      </c>
      <c r="N20" s="99">
        <v>4444.4444444444443</v>
      </c>
      <c r="O20" s="100">
        <v>4666.666666666667</v>
      </c>
      <c r="P20" s="15">
        <f t="shared" si="2"/>
        <v>40000</v>
      </c>
      <c r="Q20" s="136">
        <f t="shared" si="3"/>
        <v>152448979591.83676</v>
      </c>
      <c r="W20" s="136">
        <f t="shared" si="4"/>
        <v>2477419354.8387098</v>
      </c>
      <c r="X20" s="136">
        <f t="shared" si="5"/>
        <v>8593548387.0967751</v>
      </c>
      <c r="Y20" s="136">
        <f t="shared" si="6"/>
        <v>0</v>
      </c>
      <c r="Z20" s="15">
        <f t="shared" si="7"/>
        <v>0</v>
      </c>
      <c r="AA20" s="15">
        <f>D20*$Z$20</f>
        <v>0</v>
      </c>
      <c r="AB20" s="15">
        <f t="shared" ref="AB20:AL20" si="24">E20*$Z$20</f>
        <v>0</v>
      </c>
      <c r="AC20" s="15">
        <f t="shared" si="24"/>
        <v>0</v>
      </c>
      <c r="AD20" s="15">
        <f t="shared" si="24"/>
        <v>0</v>
      </c>
      <c r="AE20" s="15">
        <f t="shared" si="24"/>
        <v>0</v>
      </c>
      <c r="AF20" s="15">
        <f t="shared" si="24"/>
        <v>0</v>
      </c>
      <c r="AG20" s="15">
        <f t="shared" si="24"/>
        <v>0</v>
      </c>
      <c r="AH20" s="15">
        <f t="shared" si="24"/>
        <v>0</v>
      </c>
      <c r="AI20" s="15">
        <f t="shared" si="24"/>
        <v>0</v>
      </c>
      <c r="AJ20" s="15">
        <f t="shared" si="24"/>
        <v>0</v>
      </c>
      <c r="AK20" s="15">
        <f t="shared" si="24"/>
        <v>0</v>
      </c>
      <c r="AL20" s="15">
        <f t="shared" si="24"/>
        <v>0</v>
      </c>
    </row>
    <row r="21" spans="1:38" ht="22.5">
      <c r="A21" s="96" t="s">
        <v>50</v>
      </c>
      <c r="B21" s="95">
        <v>6.993006993006993E-3</v>
      </c>
      <c r="C21" s="69">
        <f t="shared" si="15"/>
        <v>10000</v>
      </c>
      <c r="D21" s="97">
        <v>666.66666666666674</v>
      </c>
      <c r="E21" s="98">
        <v>833.33333333333337</v>
      </c>
      <c r="F21" s="99">
        <v>833.33333333333337</v>
      </c>
      <c r="G21" s="99">
        <v>666.66666666666674</v>
      </c>
      <c r="H21" s="99">
        <v>611.11111111111109</v>
      </c>
      <c r="I21" s="99">
        <v>555.55555555555554</v>
      </c>
      <c r="J21" s="99">
        <v>666.66666666666674</v>
      </c>
      <c r="K21" s="99">
        <v>833.33333333333337</v>
      </c>
      <c r="L21" s="99">
        <v>1000</v>
      </c>
      <c r="M21" s="99">
        <v>1055.5555555555557</v>
      </c>
      <c r="N21" s="99">
        <v>1111.1111111111111</v>
      </c>
      <c r="O21" s="100">
        <v>1166.6666666666667</v>
      </c>
      <c r="P21" s="15">
        <f t="shared" si="2"/>
        <v>10000</v>
      </c>
      <c r="Q21" s="136">
        <f t="shared" si="3"/>
        <v>38112244897.95919</v>
      </c>
      <c r="S21" s="20">
        <f>P21*1068000</f>
        <v>10680000000</v>
      </c>
      <c r="T21" s="20">
        <f>P21*450000</f>
        <v>4500000000</v>
      </c>
      <c r="U21" s="20">
        <f>P21*260000</f>
        <v>2600000000</v>
      </c>
      <c r="V21" s="20">
        <f>P21*317839</f>
        <v>3178390000</v>
      </c>
      <c r="W21" s="136">
        <f t="shared" si="4"/>
        <v>619354838.70967746</v>
      </c>
      <c r="X21" s="136">
        <f t="shared" si="5"/>
        <v>2148387096.7741938</v>
      </c>
      <c r="Y21" s="136">
        <f t="shared" si="6"/>
        <v>7100000000</v>
      </c>
      <c r="Z21" s="15">
        <f t="shared" si="7"/>
        <v>710000</v>
      </c>
      <c r="AA21" s="15">
        <f>D21*$Z$21</f>
        <v>473333333.33333337</v>
      </c>
      <c r="AB21" s="15">
        <f t="shared" ref="AB21:AL21" si="25">E21*$Z$21</f>
        <v>591666666.66666675</v>
      </c>
      <c r="AC21" s="15">
        <f t="shared" si="25"/>
        <v>591666666.66666675</v>
      </c>
      <c r="AD21" s="15">
        <f t="shared" si="25"/>
        <v>473333333.33333337</v>
      </c>
      <c r="AE21" s="15">
        <f t="shared" si="25"/>
        <v>433888888.8888889</v>
      </c>
      <c r="AF21" s="15">
        <f t="shared" si="25"/>
        <v>394444444.44444442</v>
      </c>
      <c r="AG21" s="15">
        <f t="shared" si="25"/>
        <v>473333333.33333337</v>
      </c>
      <c r="AH21" s="15">
        <f t="shared" si="25"/>
        <v>591666666.66666675</v>
      </c>
      <c r="AI21" s="15">
        <f t="shared" si="25"/>
        <v>710000000</v>
      </c>
      <c r="AJ21" s="15">
        <f t="shared" si="25"/>
        <v>749444444.44444454</v>
      </c>
      <c r="AK21" s="15">
        <f t="shared" si="25"/>
        <v>788888888.88888884</v>
      </c>
      <c r="AL21" s="15">
        <f t="shared" si="25"/>
        <v>828333333.33333337</v>
      </c>
    </row>
    <row r="22" spans="1:38" ht="22.5">
      <c r="A22" s="96" t="s">
        <v>51</v>
      </c>
      <c r="B22" s="95">
        <v>0</v>
      </c>
      <c r="C22" s="69">
        <f t="shared" si="15"/>
        <v>0</v>
      </c>
      <c r="D22" s="97">
        <v>0</v>
      </c>
      <c r="E22" s="98">
        <v>0</v>
      </c>
      <c r="F22" s="99">
        <v>0</v>
      </c>
      <c r="G22" s="99">
        <v>0</v>
      </c>
      <c r="H22" s="99">
        <v>0</v>
      </c>
      <c r="I22" s="99">
        <v>0</v>
      </c>
      <c r="J22" s="99">
        <v>0</v>
      </c>
      <c r="K22" s="99">
        <v>0</v>
      </c>
      <c r="L22" s="99">
        <v>0</v>
      </c>
      <c r="M22" s="99">
        <v>0</v>
      </c>
      <c r="N22" s="99">
        <v>0</v>
      </c>
      <c r="O22" s="100">
        <v>0</v>
      </c>
      <c r="P22" s="15">
        <f t="shared" si="2"/>
        <v>0</v>
      </c>
      <c r="Q22" s="136">
        <f t="shared" si="3"/>
        <v>0</v>
      </c>
      <c r="W22" s="136">
        <f t="shared" si="4"/>
        <v>0</v>
      </c>
      <c r="X22" s="136">
        <f t="shared" si="5"/>
        <v>0</v>
      </c>
      <c r="Y22" s="136">
        <f t="shared" si="6"/>
        <v>0</v>
      </c>
      <c r="Z22" s="15">
        <f t="shared" si="7"/>
        <v>0</v>
      </c>
      <c r="AA22" s="15">
        <f>D22*$Z$22</f>
        <v>0</v>
      </c>
      <c r="AB22" s="15">
        <f t="shared" ref="AB22:AL22" si="26">E22*$Z$22</f>
        <v>0</v>
      </c>
      <c r="AC22" s="15">
        <f t="shared" si="26"/>
        <v>0</v>
      </c>
      <c r="AD22" s="15">
        <f t="shared" si="26"/>
        <v>0</v>
      </c>
      <c r="AE22" s="15">
        <f t="shared" si="26"/>
        <v>0</v>
      </c>
      <c r="AF22" s="15">
        <f t="shared" si="26"/>
        <v>0</v>
      </c>
      <c r="AG22" s="15">
        <f t="shared" si="26"/>
        <v>0</v>
      </c>
      <c r="AH22" s="15">
        <f t="shared" si="26"/>
        <v>0</v>
      </c>
      <c r="AI22" s="15">
        <f t="shared" si="26"/>
        <v>0</v>
      </c>
      <c r="AJ22" s="15">
        <f t="shared" si="26"/>
        <v>0</v>
      </c>
      <c r="AK22" s="15">
        <f t="shared" si="26"/>
        <v>0</v>
      </c>
      <c r="AL22" s="15">
        <f t="shared" si="26"/>
        <v>0</v>
      </c>
    </row>
    <row r="23" spans="1:38" ht="22.5">
      <c r="A23" s="75" t="s">
        <v>40</v>
      </c>
      <c r="B23" s="95">
        <v>3.4965034965034965E-3</v>
      </c>
      <c r="C23" s="69">
        <f t="shared" si="15"/>
        <v>5000</v>
      </c>
      <c r="D23" s="70">
        <v>333.33333333333337</v>
      </c>
      <c r="E23" s="71">
        <v>416.66666666666669</v>
      </c>
      <c r="F23" s="72">
        <v>416.66666666666669</v>
      </c>
      <c r="G23" s="72">
        <v>333.33333333333337</v>
      </c>
      <c r="H23" s="72">
        <v>305.55555555555554</v>
      </c>
      <c r="I23" s="72">
        <v>277.77777777777777</v>
      </c>
      <c r="J23" s="72">
        <v>333.33333333333337</v>
      </c>
      <c r="K23" s="72">
        <v>416.66666666666669</v>
      </c>
      <c r="L23" s="72">
        <v>500</v>
      </c>
      <c r="M23" s="72">
        <v>527.77777777777783</v>
      </c>
      <c r="N23" s="72">
        <v>555.55555555555554</v>
      </c>
      <c r="O23" s="73">
        <v>583.33333333333337</v>
      </c>
      <c r="P23" s="15">
        <f t="shared" si="2"/>
        <v>5000</v>
      </c>
      <c r="Q23" s="136">
        <f t="shared" si="3"/>
        <v>19056122448.979595</v>
      </c>
      <c r="W23" s="136">
        <f t="shared" si="4"/>
        <v>309677419.35483873</v>
      </c>
      <c r="X23" s="136">
        <f t="shared" si="5"/>
        <v>1074193548.3870969</v>
      </c>
      <c r="Y23" s="136">
        <f t="shared" si="6"/>
        <v>0</v>
      </c>
      <c r="Z23" s="15">
        <f t="shared" si="7"/>
        <v>0</v>
      </c>
      <c r="AA23" s="15">
        <f>D23*$Z$23</f>
        <v>0</v>
      </c>
      <c r="AB23" s="15">
        <f t="shared" ref="AB23:AL23" si="27">E23*$Z$23</f>
        <v>0</v>
      </c>
      <c r="AC23" s="15">
        <f t="shared" si="27"/>
        <v>0</v>
      </c>
      <c r="AD23" s="15">
        <f t="shared" si="27"/>
        <v>0</v>
      </c>
      <c r="AE23" s="15">
        <f t="shared" si="27"/>
        <v>0</v>
      </c>
      <c r="AF23" s="15">
        <f t="shared" si="27"/>
        <v>0</v>
      </c>
      <c r="AG23" s="15">
        <f t="shared" si="27"/>
        <v>0</v>
      </c>
      <c r="AH23" s="15">
        <f t="shared" si="27"/>
        <v>0</v>
      </c>
      <c r="AI23" s="15">
        <f t="shared" si="27"/>
        <v>0</v>
      </c>
      <c r="AJ23" s="15">
        <f t="shared" si="27"/>
        <v>0</v>
      </c>
      <c r="AK23" s="15">
        <f t="shared" si="27"/>
        <v>0</v>
      </c>
      <c r="AL23" s="15">
        <f t="shared" si="27"/>
        <v>0</v>
      </c>
    </row>
    <row r="24" spans="1:38" ht="21.75" thickBot="1">
      <c r="A24" s="101" t="s">
        <v>68</v>
      </c>
      <c r="B24" s="102"/>
      <c r="C24" s="103">
        <f>SUM(C11:C23)</f>
        <v>877999.99999999988</v>
      </c>
      <c r="D24" s="104">
        <v>52000</v>
      </c>
      <c r="E24" s="105">
        <v>65000</v>
      </c>
      <c r="F24" s="106">
        <v>65000</v>
      </c>
      <c r="G24" s="106">
        <v>52000</v>
      </c>
      <c r="H24" s="106">
        <v>47666.666666666664</v>
      </c>
      <c r="I24" s="106">
        <v>43333.333333333336</v>
      </c>
      <c r="J24" s="106">
        <v>52000</v>
      </c>
      <c r="K24" s="106">
        <v>65000</v>
      </c>
      <c r="L24" s="106">
        <v>78000</v>
      </c>
      <c r="M24" s="106">
        <v>82333.333333333343</v>
      </c>
      <c r="N24" s="106">
        <v>86666.666666666672</v>
      </c>
      <c r="O24" s="107">
        <v>91000</v>
      </c>
    </row>
    <row r="25" spans="1:38" ht="21.75" thickBot="1">
      <c r="A25" s="134" t="s">
        <v>8</v>
      </c>
      <c r="B25" s="108">
        <v>1</v>
      </c>
      <c r="C25" s="109">
        <f>C24+C9</f>
        <v>1550000</v>
      </c>
      <c r="D25" s="110">
        <v>92000</v>
      </c>
      <c r="E25" s="46">
        <v>120000</v>
      </c>
      <c r="F25" s="111">
        <v>120000</v>
      </c>
      <c r="G25" s="111">
        <v>122000</v>
      </c>
      <c r="H25" s="112">
        <v>122666.66666666666</v>
      </c>
      <c r="I25" s="112">
        <v>128333.33333333334</v>
      </c>
      <c r="J25" s="112">
        <v>127000</v>
      </c>
      <c r="K25" s="112">
        <v>125000</v>
      </c>
      <c r="L25" s="112">
        <v>123000</v>
      </c>
      <c r="M25" s="112">
        <v>122333.33333333334</v>
      </c>
      <c r="N25" s="112">
        <v>116666.66666666667</v>
      </c>
      <c r="O25" s="113">
        <v>111000</v>
      </c>
      <c r="Q25" s="139">
        <f>SUM(Q3:Q24)</f>
        <v>5874011632653.0615</v>
      </c>
      <c r="R25" s="139">
        <f t="shared" ref="R25:X25" si="28">SUM(R3:R24)</f>
        <v>72558239999.999985</v>
      </c>
      <c r="S25" s="139">
        <f t="shared" si="28"/>
        <v>277680000000</v>
      </c>
      <c r="T25" s="139">
        <f t="shared" si="28"/>
        <v>83250000000</v>
      </c>
      <c r="U25" s="139">
        <f t="shared" si="28"/>
        <v>48100000000</v>
      </c>
      <c r="V25" s="139">
        <f t="shared" si="28"/>
        <v>82638140000</v>
      </c>
      <c r="W25" s="139">
        <f t="shared" si="28"/>
        <v>96000000000</v>
      </c>
      <c r="X25" s="139">
        <f t="shared" si="28"/>
        <v>333000000000</v>
      </c>
    </row>
    <row r="27" spans="1:38"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</row>
    <row r="30" spans="1:38" ht="21">
      <c r="B30" s="50"/>
      <c r="C30" s="605" t="s">
        <v>53</v>
      </c>
      <c r="D30" s="605"/>
      <c r="E30" s="605" t="s">
        <v>54</v>
      </c>
      <c r="F30" s="605"/>
      <c r="G30" s="605" t="s">
        <v>55</v>
      </c>
      <c r="H30" s="605"/>
      <c r="I30" s="605" t="s">
        <v>56</v>
      </c>
      <c r="J30" s="605"/>
    </row>
    <row r="31" spans="1:38" ht="21">
      <c r="B31" s="50"/>
      <c r="C31" s="54" t="s">
        <v>69</v>
      </c>
      <c r="D31" s="54" t="s">
        <v>9</v>
      </c>
      <c r="E31" s="54" t="s">
        <v>69</v>
      </c>
      <c r="F31" s="54" t="s">
        <v>9</v>
      </c>
      <c r="G31" s="54" t="s">
        <v>69</v>
      </c>
      <c r="H31" s="54" t="s">
        <v>9</v>
      </c>
      <c r="I31" s="54" t="s">
        <v>69</v>
      </c>
      <c r="J31" s="54" t="s">
        <v>9</v>
      </c>
    </row>
    <row r="32" spans="1:38" ht="18.75">
      <c r="A32" t="s">
        <v>12</v>
      </c>
      <c r="B32" s="52"/>
      <c r="C32" s="52">
        <f>SUM(D3:F3,D11:F12)</f>
        <v>136841.02564102568</v>
      </c>
      <c r="D32" s="52">
        <f>SUM(AA3:AC3,AA11:AC12)/1000000</f>
        <v>0</v>
      </c>
      <c r="E32" s="52">
        <f>SUM(G3:I3,G11:I12)</f>
        <v>131671.79487179482</v>
      </c>
      <c r="F32" s="52">
        <f>SUM(AD3:AF3,AD11:AF12)/1000000</f>
        <v>0</v>
      </c>
      <c r="G32" s="52">
        <f>SUM(J3:L3,J11:L12)</f>
        <v>150769.23076923078</v>
      </c>
      <c r="H32" s="52">
        <f>SUM(AG3:AI3,AG11:AI12)/1000000</f>
        <v>0</v>
      </c>
      <c r="I32" s="52">
        <f>SUM(M3:O3,M11:O12)</f>
        <v>168717.94871794866</v>
      </c>
      <c r="J32" s="52">
        <f>SUM(AJ3:AL3,AJ11:AL12)/1000000</f>
        <v>0</v>
      </c>
    </row>
    <row r="33" spans="1:10" ht="18.75">
      <c r="A33" t="s">
        <v>13</v>
      </c>
      <c r="B33" s="52"/>
      <c r="C33" s="52">
        <f>SUM(D13:F14)</f>
        <v>49000</v>
      </c>
      <c r="D33" s="52">
        <f>SUM(AA13:AC14)/1000000</f>
        <v>24850</v>
      </c>
      <c r="E33" s="52">
        <f>SUM(G13:I14)</f>
        <v>38500</v>
      </c>
      <c r="F33" s="52">
        <f>SUM(AD13:AF14)/1000000</f>
        <v>19525</v>
      </c>
      <c r="G33" s="52">
        <f>SUM(J13:L14)</f>
        <v>52500</v>
      </c>
      <c r="H33" s="52">
        <f>SUM(AG13:AI14)/1000000</f>
        <v>26625</v>
      </c>
      <c r="I33" s="52">
        <f>SUM(M13:O14)</f>
        <v>70000</v>
      </c>
      <c r="J33" s="52">
        <f>SUM(AJ13:AL14)/1000000</f>
        <v>35500</v>
      </c>
    </row>
    <row r="34" spans="1:10" ht="18.75">
      <c r="A34" t="s">
        <v>14</v>
      </c>
      <c r="B34" s="52"/>
      <c r="C34" s="52">
        <f>SUM(D4:F4,D15:F16)</f>
        <v>48320.512820512813</v>
      </c>
      <c r="D34" s="52">
        <f>SUM(AA4:AC4,AA15:AC16)/1000000</f>
        <v>0</v>
      </c>
      <c r="E34" s="52">
        <f>SUM(G4:I4,G15:I16)</f>
        <v>52285.897435897445</v>
      </c>
      <c r="F34" s="52">
        <f>SUM(AD4:AF4,AD15:AF16)/1000000</f>
        <v>0</v>
      </c>
      <c r="G34" s="52">
        <f>SUM(J4:L4,J15:L16)</f>
        <v>54234.615384615383</v>
      </c>
      <c r="H34" s="52">
        <f>SUM(AG4:AI4,AG15:AI16)/1000000</f>
        <v>0</v>
      </c>
      <c r="I34" s="52">
        <f>SUM(M4:O4,M15:O16)</f>
        <v>53158.974358974359</v>
      </c>
      <c r="J34" s="52">
        <f>SUM(AJ4:AL4,AJ15:AL16)/1000000</f>
        <v>0</v>
      </c>
    </row>
    <row r="35" spans="1:10" ht="18.75">
      <c r="A35" t="s">
        <v>15</v>
      </c>
      <c r="B35" s="52"/>
      <c r="C35" s="52">
        <f>SUM(D17:F18)</f>
        <v>9333.3333333333321</v>
      </c>
      <c r="D35" s="52">
        <f>SUM(AA17:AC18)/1000000</f>
        <v>4141.6666666666661</v>
      </c>
      <c r="E35" s="52">
        <f>SUM(G17:I18)</f>
        <v>7333.3333333333321</v>
      </c>
      <c r="F35" s="52">
        <f>SUM(AD17:AF18)/1000000</f>
        <v>3254.1666666666665</v>
      </c>
      <c r="G35" s="52">
        <f>SUM(J17:L18)</f>
        <v>10000</v>
      </c>
      <c r="H35" s="52">
        <f>SUM(AG17:AI18)/1000000</f>
        <v>4437.5</v>
      </c>
      <c r="I35" s="52">
        <f>SUM(M17:O18)</f>
        <v>13333.333333333332</v>
      </c>
      <c r="J35" s="52">
        <f>SUM(AJ17:AL18)/1000000</f>
        <v>5916.6666666666661</v>
      </c>
    </row>
    <row r="36" spans="1:10" ht="18.75">
      <c r="A36" t="s">
        <v>16</v>
      </c>
      <c r="B36" s="52"/>
      <c r="C36" s="52">
        <f>SUM(D7:F7)</f>
        <v>94615.38461538461</v>
      </c>
      <c r="D36" s="52">
        <f>SUM(AA7:AC7)/1000000</f>
        <v>0</v>
      </c>
      <c r="E36" s="52">
        <f>SUM(G7:I7)</f>
        <v>145076.92307692306</v>
      </c>
      <c r="F36" s="52">
        <f>SUM(AD7:AF7)/1000000</f>
        <v>0</v>
      </c>
      <c r="G36" s="52">
        <f>SUM(J7:L7)</f>
        <v>113538.46153846153</v>
      </c>
      <c r="H36" s="52">
        <f>SUM(AG7:AI7)/1000000</f>
        <v>0</v>
      </c>
      <c r="I36" s="52">
        <f>SUM(M7:O7)</f>
        <v>56769.230769230773</v>
      </c>
      <c r="J36" s="52">
        <f>SUM(AJ7:AL7)/1000000</f>
        <v>0</v>
      </c>
    </row>
    <row r="37" spans="1:10" ht="18.75">
      <c r="A37" t="s">
        <v>17</v>
      </c>
      <c r="B37" s="52"/>
      <c r="C37" s="52">
        <f>SUM(D5:F5,D19:F19)</f>
        <v>7384.6153846153829</v>
      </c>
      <c r="D37" s="52">
        <f>SUM(AA5:AC5,AA19:AC19)/1000000</f>
        <v>0</v>
      </c>
      <c r="E37" s="52">
        <f>SUM(G5:I5,G19:I19)</f>
        <v>11323.076923076929</v>
      </c>
      <c r="F37" s="52">
        <f>SUM(AD5:AF5,AD19:AF19)/1000000</f>
        <v>0</v>
      </c>
      <c r="G37" s="52">
        <f>SUM(J5:L5,J19:L19)</f>
        <v>8861.5384615384482</v>
      </c>
      <c r="H37" s="52">
        <f>SUM(AG5:AI5,AG19:AI19)/1000000</f>
        <v>0</v>
      </c>
      <c r="I37" s="52">
        <f>SUM(M5:O5,M19:O19)</f>
        <v>4430.7692307692323</v>
      </c>
      <c r="J37" s="52">
        <f>SUM(AJ5:AL5,AJ19:AL19)/1000000</f>
        <v>0</v>
      </c>
    </row>
    <row r="38" spans="1:10" ht="18.75">
      <c r="A38" t="s">
        <v>18</v>
      </c>
      <c r="B38" s="52"/>
      <c r="C38" s="52">
        <f>SUM(D6:F6)</f>
        <v>461.5384615384616</v>
      </c>
      <c r="D38" s="52">
        <f>SUM(AA6:AC6)/1000000</f>
        <v>0</v>
      </c>
      <c r="E38" s="52">
        <f>SUM(G6:I6)</f>
        <v>707.69230769230774</v>
      </c>
      <c r="F38" s="52">
        <f>SUM(AD6:AF6)/1000000</f>
        <v>0</v>
      </c>
      <c r="G38" s="52">
        <f>SUM(J6:L6)</f>
        <v>553.84615384615381</v>
      </c>
      <c r="H38" s="52">
        <f>SUM(AG6:AI6)/1000000</f>
        <v>0</v>
      </c>
      <c r="I38" s="52">
        <f>SUM(M6:O6)</f>
        <v>276.92307692307691</v>
      </c>
      <c r="J38" s="52">
        <f>SUM(AJ6:AL6)/1000000</f>
        <v>0</v>
      </c>
    </row>
    <row r="39" spans="1:10" ht="18.75">
      <c r="A39" t="s">
        <v>49</v>
      </c>
      <c r="B39" s="52"/>
      <c r="C39" s="52">
        <f>SUM(D20:F20,D22:F22)</f>
        <v>9333.3333333333339</v>
      </c>
      <c r="D39" s="52">
        <f>SUM(AA20:AC20,AA22:AC22)/1000000</f>
        <v>0</v>
      </c>
      <c r="E39" s="52">
        <f>SUM(G20:I20,G22:I22)</f>
        <v>7333.3333333333339</v>
      </c>
      <c r="F39" s="52">
        <f>SUM(AD20:AF20,AD22:AF22)/1000000</f>
        <v>0</v>
      </c>
      <c r="G39" s="52">
        <f>SUM(J20:L20,J22:L22)</f>
        <v>10000</v>
      </c>
      <c r="H39" s="52">
        <f>SUM(AG20:AI20,AG22:AI22)/1000000</f>
        <v>0</v>
      </c>
      <c r="I39" s="52">
        <f>SUM(M20:O20,M22:O22)</f>
        <v>13333.333333333336</v>
      </c>
      <c r="J39" s="52">
        <f>SUM(AJ20:AL20,AJ22:AL22)/1000000</f>
        <v>0</v>
      </c>
    </row>
    <row r="40" spans="1:10" ht="18.75">
      <c r="A40" t="s">
        <v>74</v>
      </c>
      <c r="B40" s="52"/>
      <c r="C40" s="52">
        <f>SUM(D21:F21)</f>
        <v>2333.3333333333335</v>
      </c>
      <c r="D40" s="52">
        <f>SUM(AA21:AC21)/1000000</f>
        <v>1656.666666666667</v>
      </c>
      <c r="E40" s="52">
        <f>SUM(G21:I21)</f>
        <v>1833.3333333333335</v>
      </c>
      <c r="F40" s="52">
        <f>SUM(AD21:AF21)/1000000</f>
        <v>1301.6666666666667</v>
      </c>
      <c r="G40" s="52">
        <f>SUM(J21:L21)</f>
        <v>2500</v>
      </c>
      <c r="H40" s="52">
        <f>SUM(AG21:AI21)/1000000</f>
        <v>1775</v>
      </c>
      <c r="I40" s="52">
        <f>SUM(M21:O21)</f>
        <v>3333.3333333333339</v>
      </c>
      <c r="J40" s="52">
        <f>SUM(AJ21:AL21)/1000000</f>
        <v>2366.666666666667</v>
      </c>
    </row>
    <row r="41" spans="1:10" ht="18.75">
      <c r="A41" t="s">
        <v>19</v>
      </c>
      <c r="B41" s="52"/>
      <c r="C41" s="52">
        <f>SUM(D8:F8,D23:F23)</f>
        <v>2320.5128205128208</v>
      </c>
      <c r="D41" s="52">
        <f>SUM(AA8:AC8,AA23:AC23)/1000000</f>
        <v>0</v>
      </c>
      <c r="E41" s="52">
        <f>SUM(G8:I8,G23:I23)</f>
        <v>2685.897435897436</v>
      </c>
      <c r="F41" s="52">
        <f>SUM(AD8:AF8,AD23:AF23)/1000000</f>
        <v>0</v>
      </c>
      <c r="G41" s="52">
        <f>SUM(J8:L8,J23:L23)</f>
        <v>2634.6153846153848</v>
      </c>
      <c r="H41" s="52">
        <f>SUM(AG8:AI8,AG23:AI23)/1000000</f>
        <v>0</v>
      </c>
      <c r="I41" s="52">
        <f>SUM(M8:O8,M23:O23)</f>
        <v>2358.9743589743593</v>
      </c>
      <c r="J41" s="52">
        <f>SUM(AJ8:AL8,AJ23:AL23)/1000000</f>
        <v>0</v>
      </c>
    </row>
  </sheetData>
  <mergeCells count="4">
    <mergeCell ref="C30:D30"/>
    <mergeCell ref="E30:F30"/>
    <mergeCell ref="G30:H30"/>
    <mergeCell ref="I30:J3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8"/>
  <sheetViews>
    <sheetView rightToLeft="1" workbookViewId="0">
      <selection activeCell="W23" sqref="W23:W24"/>
    </sheetView>
  </sheetViews>
  <sheetFormatPr defaultColWidth="12.28515625" defaultRowHeight="18.75"/>
  <cols>
    <col min="1" max="1" width="9.28515625" style="158" customWidth="1"/>
    <col min="2" max="2" width="35" style="48" bestFit="1" customWidth="1"/>
    <col min="3" max="4" width="12.140625" style="49" customWidth="1"/>
    <col min="5" max="5" width="44.7109375" style="48" bestFit="1" customWidth="1"/>
    <col min="6" max="7" width="12.42578125" style="170" hidden="1" customWidth="1"/>
    <col min="8" max="8" width="17.85546875" style="170" hidden="1" customWidth="1"/>
    <col min="9" max="9" width="0" style="48" hidden="1" customWidth="1"/>
    <col min="10" max="16384" width="12.28515625" style="48"/>
  </cols>
  <sheetData>
    <row r="1" spans="1:9" s="159" customFormat="1" ht="21.75" thickBot="1">
      <c r="A1" s="160" t="s">
        <v>95</v>
      </c>
      <c r="B1" s="160" t="s">
        <v>98</v>
      </c>
      <c r="C1" s="161" t="s">
        <v>96</v>
      </c>
      <c r="D1" s="161" t="s">
        <v>97</v>
      </c>
      <c r="E1" s="171" t="s">
        <v>99</v>
      </c>
      <c r="F1" s="174" t="s">
        <v>4</v>
      </c>
      <c r="G1" s="174" t="s">
        <v>111</v>
      </c>
      <c r="H1" s="174" t="s">
        <v>10</v>
      </c>
      <c r="I1" s="54" t="s">
        <v>112</v>
      </c>
    </row>
    <row r="2" spans="1:9">
      <c r="A2" s="162">
        <v>1</v>
      </c>
      <c r="B2" s="163" t="s">
        <v>2</v>
      </c>
      <c r="C2" s="164">
        <v>500881.51699999999</v>
      </c>
      <c r="D2" s="164"/>
      <c r="E2" s="172" t="s">
        <v>100</v>
      </c>
      <c r="F2" s="175">
        <f>10500+6000+7500</f>
        <v>24000</v>
      </c>
      <c r="G2" s="175" t="e">
        <f>#REF!</f>
        <v>#REF!</v>
      </c>
      <c r="H2" s="175" t="e">
        <f>F2*G2</f>
        <v>#REF!</v>
      </c>
      <c r="I2" s="50" t="s">
        <v>108</v>
      </c>
    </row>
    <row r="3" spans="1:9" ht="19.5" thickBot="1">
      <c r="A3" s="166">
        <v>1</v>
      </c>
      <c r="B3" s="167" t="s">
        <v>3</v>
      </c>
      <c r="C3" s="168"/>
      <c r="D3" s="168">
        <v>500881.51699999999</v>
      </c>
      <c r="E3" s="173" t="s">
        <v>100</v>
      </c>
      <c r="F3" s="175">
        <v>18000</v>
      </c>
      <c r="G3" s="175" t="e">
        <f>#REF!</f>
        <v>#REF!</v>
      </c>
      <c r="H3" s="175" t="e">
        <f>F3*G3</f>
        <v>#REF!</v>
      </c>
      <c r="I3" s="50" t="s">
        <v>109</v>
      </c>
    </row>
    <row r="4" spans="1:9">
      <c r="A4" s="162">
        <v>2</v>
      </c>
      <c r="B4" s="163" t="s">
        <v>2</v>
      </c>
      <c r="C4" s="164">
        <v>848170.43299999996</v>
      </c>
      <c r="D4" s="164"/>
      <c r="E4" s="172" t="s">
        <v>101</v>
      </c>
      <c r="F4" s="175">
        <f>151000-18000</f>
        <v>133000</v>
      </c>
      <c r="G4" s="175" t="e">
        <f>#REF!</f>
        <v>#REF!</v>
      </c>
      <c r="H4" s="175" t="e">
        <f>F4*G4</f>
        <v>#REF!</v>
      </c>
      <c r="I4" s="50" t="s">
        <v>110</v>
      </c>
    </row>
    <row r="5" spans="1:9" ht="19.5" thickBot="1">
      <c r="A5" s="166">
        <v>2</v>
      </c>
      <c r="B5" s="167" t="s">
        <v>3</v>
      </c>
      <c r="C5" s="168"/>
      <c r="D5" s="168">
        <f>C4</f>
        <v>848170.43299999996</v>
      </c>
      <c r="E5" s="173" t="s">
        <v>101</v>
      </c>
      <c r="F5" s="175">
        <v>40000</v>
      </c>
      <c r="G5" s="175" t="e">
        <f>G2</f>
        <v>#REF!</v>
      </c>
      <c r="H5" s="175" t="e">
        <f>F5*G5</f>
        <v>#REF!</v>
      </c>
      <c r="I5" s="50" t="s">
        <v>108</v>
      </c>
    </row>
    <row r="6" spans="1:9" ht="19.5" thickBot="1">
      <c r="A6" s="162">
        <v>3</v>
      </c>
      <c r="B6" s="163" t="s">
        <v>2</v>
      </c>
      <c r="C6" s="164">
        <f>120000*317839/1000000</f>
        <v>38140.68</v>
      </c>
      <c r="D6" s="164"/>
      <c r="E6" s="165" t="s">
        <v>102</v>
      </c>
      <c r="H6" s="176" t="e">
        <f>SUM(H2:H5)</f>
        <v>#REF!</v>
      </c>
    </row>
    <row r="7" spans="1:9" ht="20.25" thickTop="1" thickBot="1">
      <c r="A7" s="166">
        <v>3</v>
      </c>
      <c r="B7" s="167" t="s">
        <v>3</v>
      </c>
      <c r="C7" s="168"/>
      <c r="D7" s="168">
        <f>C6</f>
        <v>38140.68</v>
      </c>
      <c r="E7" s="169" t="s">
        <v>102</v>
      </c>
    </row>
    <row r="8" spans="1:9">
      <c r="A8" s="162">
        <v>4</v>
      </c>
      <c r="B8" s="163" t="s">
        <v>2</v>
      </c>
      <c r="C8" s="164">
        <f>140000*317839/1000000</f>
        <v>44497.46</v>
      </c>
      <c r="D8" s="164"/>
      <c r="E8" s="165" t="s">
        <v>103</v>
      </c>
    </row>
    <row r="9" spans="1:9" ht="19.5" thickBot="1">
      <c r="A9" s="166">
        <v>4</v>
      </c>
      <c r="B9" s="167" t="s">
        <v>3</v>
      </c>
      <c r="C9" s="168"/>
      <c r="D9" s="168">
        <f>C8</f>
        <v>44497.46</v>
      </c>
      <c r="E9" s="169" t="s">
        <v>103</v>
      </c>
    </row>
    <row r="10" spans="1:9">
      <c r="A10" s="162">
        <v>5</v>
      </c>
      <c r="B10" s="163" t="s">
        <v>2</v>
      </c>
      <c r="C10" s="164">
        <f>3420+26250</f>
        <v>29670</v>
      </c>
      <c r="D10" s="164"/>
      <c r="E10" s="165" t="s">
        <v>104</v>
      </c>
    </row>
    <row r="11" spans="1:9" ht="19.5" thickBot="1">
      <c r="A11" s="166">
        <v>5</v>
      </c>
      <c r="B11" s="167" t="s">
        <v>3</v>
      </c>
      <c r="C11" s="168"/>
      <c r="D11" s="168">
        <f>C10</f>
        <v>29670</v>
      </c>
      <c r="E11" s="169" t="s">
        <v>104</v>
      </c>
    </row>
    <row r="12" spans="1:9">
      <c r="A12" s="162">
        <v>6</v>
      </c>
      <c r="B12" s="163" t="s">
        <v>2</v>
      </c>
      <c r="C12" s="164">
        <f>3420+47600</f>
        <v>51020</v>
      </c>
      <c r="D12" s="164"/>
      <c r="E12" s="165" t="s">
        <v>105</v>
      </c>
    </row>
    <row r="13" spans="1:9" ht="19.5" thickBot="1">
      <c r="A13" s="166">
        <v>6</v>
      </c>
      <c r="B13" s="167" t="s">
        <v>3</v>
      </c>
      <c r="C13" s="168"/>
      <c r="D13" s="168">
        <f>C12</f>
        <v>51020</v>
      </c>
      <c r="E13" s="169" t="s">
        <v>105</v>
      </c>
    </row>
    <row r="14" spans="1:9">
      <c r="A14" s="162">
        <v>7</v>
      </c>
      <c r="B14" s="163" t="s">
        <v>1</v>
      </c>
      <c r="C14" s="164">
        <v>117750</v>
      </c>
      <c r="D14" s="164"/>
      <c r="E14" s="165" t="s">
        <v>106</v>
      </c>
    </row>
    <row r="15" spans="1:9" ht="19.5" thickBot="1">
      <c r="A15" s="166">
        <v>7</v>
      </c>
      <c r="B15" s="167" t="s">
        <v>107</v>
      </c>
      <c r="C15" s="168"/>
      <c r="D15" s="168">
        <f>C14</f>
        <v>117750</v>
      </c>
      <c r="E15" s="169" t="s">
        <v>106</v>
      </c>
    </row>
    <row r="18" spans="4:4">
      <c r="D18" s="49">
        <f>73850+6840</f>
        <v>80690</v>
      </c>
    </row>
  </sheetData>
  <printOptions horizontalCentered="1"/>
  <pageMargins left="0.70866141732283472" right="0.70866141732283472" top="0.82677165354330717" bottom="0.74803149606299213" header="0.31496062992125984" footer="0.31496062992125984"/>
  <pageSetup paperSize="9" scale="120" orientation="portrait" r:id="rId1"/>
  <headerFooter>
    <oddHeader>&amp;C&amp;"B Nazanin,Bold"&amp;12اسناد تعدیلات تلفیق بودجه سال 95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نمای کل</vt:lpstr>
      <vt:lpstr>مقدار فروش </vt:lpstr>
      <vt:lpstr> تولید </vt:lpstr>
      <vt:lpstr>ضایعات</vt:lpstr>
      <vt:lpstr>تولید</vt:lpstr>
      <vt:lpstr>نرخ وکیوم و حمل</vt:lpstr>
      <vt:lpstr>فروش سه ماهه آخر 94</vt:lpstr>
      <vt:lpstr>تولید سه ماهه آخر 94</vt:lpstr>
      <vt:lpstr>بهای تمام شده 95</vt:lpstr>
      <vt:lpstr>مظروف سازی 95</vt:lpstr>
      <vt:lpstr>اسناد تعدیلات تلفیق</vt:lpstr>
      <vt:lpstr>' تولید '!Print_Area</vt:lpstr>
      <vt:lpstr>'اسناد تعدیلات تلفیق'!Print_Area</vt:lpstr>
      <vt:lpstr>تولید!Print_Area</vt:lpstr>
      <vt:lpstr>'تولید سه ماهه آخر 94'!Print_Area</vt:lpstr>
      <vt:lpstr>ضایعات!Print_Area</vt:lpstr>
      <vt:lpstr>'فروش سه ماهه آخر 94'!Print_Area</vt:lpstr>
      <vt:lpstr>'مقدار فروش '!Print_Area</vt:lpstr>
      <vt:lpstr>'نرخ وکیوم و حمل'!Print_Area</vt:lpstr>
      <vt:lpstr>'نمای کل'!Print_Area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user;محمدحسين نجارزاده</dc:creator>
  <cp:lastModifiedBy>Maryam Sharifi</cp:lastModifiedBy>
  <cp:lastPrinted>2024-11-19T07:17:55Z</cp:lastPrinted>
  <dcterms:created xsi:type="dcterms:W3CDTF">2012-12-06T07:37:25Z</dcterms:created>
  <dcterms:modified xsi:type="dcterms:W3CDTF">2024-11-19T08:44:24Z</dcterms:modified>
</cp:coreProperties>
</file>