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adian\Desktop\Desktop\"/>
    </mc:Choice>
  </mc:AlternateContent>
  <xr:revisionPtr revIDLastSave="0" documentId="13_ncr:1_{5E21A756-5494-4613-9BC5-3B579841DD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حداکثر 100000 رکورد (6)" sheetId="8" r:id="rId1"/>
    <sheet name="حداکثر 100000 رکورد (5)" sheetId="6" r:id="rId2"/>
    <sheet name="حداکثر 100000 رکورد (4)" sheetId="5" r:id="rId3"/>
    <sheet name="mid" sheetId="4" r:id="rId4"/>
    <sheet name="حداکثر 100000 رکورد (3)" sheetId="3" r:id="rId5"/>
    <sheet name="حداکثر 100000 رکورد (2)" sheetId="2" r:id="rId6"/>
    <sheet name="حداکثر 100000 رکورد" sheetId="1" r:id="rId7"/>
  </sheets>
  <externalReferences>
    <externalReference r:id="rId8"/>
  </externalReferences>
  <definedNames>
    <definedName name="_xlnm._FilterDatabase" localSheetId="3" hidden="1">mid!$A$1:$B$83</definedName>
    <definedName name="_xlnm._FilterDatabase" localSheetId="6" hidden="1">'حداکثر 100000 رکورد'!$A$1:$D$83</definedName>
    <definedName name="_xlnm._FilterDatabase" localSheetId="5" hidden="1">'حداکثر 100000 رکورد (2)'!$B$1:$P$82</definedName>
    <definedName name="_xlnm._FilterDatabase" localSheetId="4" hidden="1">'حداکثر 100000 رکورد (3)'!$A$1:$F$82</definedName>
    <definedName name="_xlnm._FilterDatabase" localSheetId="2" hidden="1">'حداکثر 100000 رکورد (4)'!$A$1:$D$83</definedName>
    <definedName name="_xlnm._FilterDatabase" localSheetId="1" hidden="1">'حداکثر 100000 رکورد (5)'!$A$1:$D$83</definedName>
    <definedName name="_xlnm._FilterDatabase" localSheetId="0" hidden="1">'حداکثر 100000 رکورد (6)'!$A$1:$D$83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8" l="1"/>
  <c r="G75" i="4"/>
  <c r="G74" i="4"/>
  <c r="G73" i="4"/>
  <c r="G72" i="4"/>
  <c r="G71" i="4"/>
  <c r="G70" i="4"/>
  <c r="G69" i="4"/>
  <c r="G67" i="4"/>
  <c r="G66" i="4"/>
  <c r="G65" i="4"/>
  <c r="G64" i="4"/>
  <c r="G63" i="4"/>
  <c r="G62" i="4"/>
  <c r="G45" i="4"/>
  <c r="G44" i="4"/>
  <c r="G43" i="4"/>
  <c r="G42" i="4"/>
  <c r="G41" i="4"/>
  <c r="G40" i="4"/>
  <c r="G31" i="4"/>
  <c r="G30" i="4"/>
  <c r="G29" i="4"/>
  <c r="G28" i="4"/>
  <c r="G27" i="4"/>
  <c r="G23" i="4"/>
  <c r="G22" i="4"/>
  <c r="G21" i="4"/>
  <c r="G20" i="4"/>
  <c r="G13" i="4"/>
  <c r="G12" i="4"/>
  <c r="G80" i="4"/>
  <c r="G79" i="4"/>
  <c r="G78" i="4"/>
  <c r="G77" i="4"/>
  <c r="G76" i="4"/>
  <c r="E9" i="6"/>
  <c r="C83" i="6"/>
  <c r="C82" i="6"/>
  <c r="C81" i="6"/>
  <c r="G80" i="6"/>
  <c r="E80" i="6"/>
  <c r="G79" i="6"/>
  <c r="E79" i="6"/>
  <c r="G78" i="6"/>
  <c r="E78" i="6"/>
  <c r="G77" i="6"/>
  <c r="E77" i="6"/>
  <c r="G76" i="6"/>
  <c r="E76" i="6"/>
  <c r="G75" i="6"/>
  <c r="E75" i="6"/>
  <c r="G74" i="6"/>
  <c r="E74" i="6"/>
  <c r="G73" i="6"/>
  <c r="E73" i="6"/>
  <c r="G72" i="6"/>
  <c r="E72" i="6"/>
  <c r="G71" i="6"/>
  <c r="E71" i="6"/>
  <c r="G70" i="6"/>
  <c r="E70" i="6"/>
  <c r="G69" i="6"/>
  <c r="E69" i="6"/>
  <c r="C68" i="6"/>
  <c r="G67" i="6"/>
  <c r="E67" i="6"/>
  <c r="G66" i="6"/>
  <c r="E66" i="6"/>
  <c r="G65" i="6"/>
  <c r="E65" i="6"/>
  <c r="G64" i="6"/>
  <c r="E64" i="6"/>
  <c r="G63" i="6"/>
  <c r="E63" i="6"/>
  <c r="G62" i="6"/>
  <c r="E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G46" i="6"/>
  <c r="C46" i="6"/>
  <c r="G45" i="6"/>
  <c r="E45" i="6"/>
  <c r="G44" i="6"/>
  <c r="E44" i="6"/>
  <c r="G43" i="6"/>
  <c r="E43" i="6"/>
  <c r="G42" i="6"/>
  <c r="E42" i="6"/>
  <c r="G41" i="6"/>
  <c r="E41" i="6"/>
  <c r="G40" i="6"/>
  <c r="E40" i="6"/>
  <c r="G39" i="6"/>
  <c r="C39" i="6"/>
  <c r="G38" i="6"/>
  <c r="C38" i="6"/>
  <c r="G37" i="6"/>
  <c r="C37" i="6"/>
  <c r="G36" i="6"/>
  <c r="C36" i="6"/>
  <c r="G35" i="6"/>
  <c r="C35" i="6"/>
  <c r="G34" i="6"/>
  <c r="C34" i="6"/>
  <c r="G33" i="6"/>
  <c r="C33" i="6"/>
  <c r="G32" i="6"/>
  <c r="C32" i="6"/>
  <c r="G31" i="6"/>
  <c r="E31" i="6"/>
  <c r="G30" i="6"/>
  <c r="E30" i="6"/>
  <c r="G29" i="6"/>
  <c r="E29" i="6"/>
  <c r="G28" i="6"/>
  <c r="E28" i="6"/>
  <c r="G27" i="6"/>
  <c r="E27" i="6"/>
  <c r="G26" i="6"/>
  <c r="C26" i="6"/>
  <c r="G25" i="6"/>
  <c r="C25" i="6"/>
  <c r="G24" i="6"/>
  <c r="C24" i="6"/>
  <c r="G23" i="6"/>
  <c r="E23" i="6"/>
  <c r="G22" i="6"/>
  <c r="E22" i="6"/>
  <c r="G21" i="6"/>
  <c r="E21" i="6"/>
  <c r="G20" i="6"/>
  <c r="E20" i="6"/>
  <c r="G19" i="6"/>
  <c r="G18" i="6"/>
  <c r="C18" i="6"/>
  <c r="G17" i="6"/>
  <c r="C17" i="6"/>
  <c r="G16" i="6"/>
  <c r="C16" i="6"/>
  <c r="G15" i="6"/>
  <c r="C15" i="6"/>
  <c r="G14" i="6"/>
  <c r="C14" i="6"/>
  <c r="G13" i="6"/>
  <c r="E13" i="6"/>
  <c r="G12" i="6"/>
  <c r="E12" i="6"/>
  <c r="G11" i="6"/>
  <c r="E11" i="6"/>
  <c r="G10" i="6"/>
  <c r="E10" i="6"/>
  <c r="G9" i="6"/>
  <c r="C8" i="6"/>
  <c r="C7" i="6"/>
  <c r="C6" i="6"/>
  <c r="C5" i="6"/>
  <c r="C4" i="6"/>
  <c r="C3" i="6"/>
  <c r="C2" i="6"/>
  <c r="C83" i="5"/>
  <c r="C82" i="5"/>
  <c r="C81" i="5"/>
  <c r="G80" i="5"/>
  <c r="I80" i="5" s="1"/>
  <c r="E80" i="5"/>
  <c r="G79" i="5"/>
  <c r="I79" i="5" s="1"/>
  <c r="E79" i="5"/>
  <c r="G78" i="5"/>
  <c r="I78" i="5" s="1"/>
  <c r="E78" i="5"/>
  <c r="G77" i="5"/>
  <c r="I77" i="5" s="1"/>
  <c r="E77" i="5"/>
  <c r="G76" i="5"/>
  <c r="I76" i="5" s="1"/>
  <c r="E76" i="5"/>
  <c r="G75" i="5"/>
  <c r="I75" i="5" s="1"/>
  <c r="E75" i="5"/>
  <c r="G74" i="5"/>
  <c r="I74" i="5" s="1"/>
  <c r="E74" i="5"/>
  <c r="G73" i="5"/>
  <c r="I73" i="5" s="1"/>
  <c r="E73" i="5"/>
  <c r="G72" i="5"/>
  <c r="I72" i="5" s="1"/>
  <c r="E72" i="5"/>
  <c r="G71" i="5"/>
  <c r="I71" i="5" s="1"/>
  <c r="E71" i="5"/>
  <c r="G70" i="5"/>
  <c r="I70" i="5" s="1"/>
  <c r="E70" i="5"/>
  <c r="G69" i="5"/>
  <c r="I69" i="5" s="1"/>
  <c r="E69" i="5"/>
  <c r="C68" i="5"/>
  <c r="G67" i="5"/>
  <c r="I67" i="5" s="1"/>
  <c r="E67" i="5"/>
  <c r="G66" i="5"/>
  <c r="I66" i="5" s="1"/>
  <c r="E66" i="5"/>
  <c r="G65" i="5"/>
  <c r="I65" i="5" s="1"/>
  <c r="E65" i="5"/>
  <c r="G64" i="5"/>
  <c r="I64" i="5" s="1"/>
  <c r="E64" i="5"/>
  <c r="G63" i="5"/>
  <c r="I63" i="5" s="1"/>
  <c r="E63" i="5"/>
  <c r="G62" i="5"/>
  <c r="I62" i="5" s="1"/>
  <c r="E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G46" i="5"/>
  <c r="C46" i="5"/>
  <c r="G45" i="5"/>
  <c r="I45" i="5" s="1"/>
  <c r="E45" i="5"/>
  <c r="G44" i="5"/>
  <c r="I44" i="5" s="1"/>
  <c r="E44" i="5"/>
  <c r="G43" i="5"/>
  <c r="I43" i="5" s="1"/>
  <c r="E43" i="5"/>
  <c r="G42" i="5"/>
  <c r="I42" i="5" s="1"/>
  <c r="E42" i="5"/>
  <c r="G41" i="5"/>
  <c r="I41" i="5" s="1"/>
  <c r="E41" i="5"/>
  <c r="G40" i="5"/>
  <c r="I40" i="5" s="1"/>
  <c r="E40" i="5"/>
  <c r="G39" i="5"/>
  <c r="C39" i="5"/>
  <c r="G38" i="5"/>
  <c r="C38" i="5"/>
  <c r="G37" i="5"/>
  <c r="C37" i="5"/>
  <c r="G36" i="5"/>
  <c r="C36" i="5"/>
  <c r="G35" i="5"/>
  <c r="C35" i="5"/>
  <c r="G34" i="5"/>
  <c r="C34" i="5"/>
  <c r="G33" i="5"/>
  <c r="C33" i="5"/>
  <c r="G32" i="5"/>
  <c r="C32" i="5"/>
  <c r="G31" i="5"/>
  <c r="I31" i="5" s="1"/>
  <c r="E31" i="5"/>
  <c r="G30" i="5"/>
  <c r="I30" i="5" s="1"/>
  <c r="E30" i="5"/>
  <c r="G29" i="5"/>
  <c r="I29" i="5" s="1"/>
  <c r="E29" i="5"/>
  <c r="G28" i="5"/>
  <c r="I28" i="5" s="1"/>
  <c r="E28" i="5"/>
  <c r="G27" i="5"/>
  <c r="I27" i="5" s="1"/>
  <c r="E27" i="5"/>
  <c r="G26" i="5"/>
  <c r="C26" i="5"/>
  <c r="G25" i="5"/>
  <c r="C25" i="5"/>
  <c r="G24" i="5"/>
  <c r="C24" i="5"/>
  <c r="G23" i="5"/>
  <c r="I23" i="5" s="1"/>
  <c r="E23" i="5"/>
  <c r="G22" i="5"/>
  <c r="I22" i="5" s="1"/>
  <c r="E22" i="5"/>
  <c r="G21" i="5"/>
  <c r="I21" i="5" s="1"/>
  <c r="E21" i="5"/>
  <c r="G20" i="5"/>
  <c r="I20" i="5" s="1"/>
  <c r="E20" i="5"/>
  <c r="G19" i="5"/>
  <c r="G18" i="5"/>
  <c r="C18" i="5"/>
  <c r="G17" i="5"/>
  <c r="C17" i="5"/>
  <c r="G16" i="5"/>
  <c r="C16" i="5"/>
  <c r="G15" i="5"/>
  <c r="C15" i="5"/>
  <c r="G14" i="5"/>
  <c r="C14" i="5"/>
  <c r="G13" i="5"/>
  <c r="I13" i="5" s="1"/>
  <c r="E13" i="5"/>
  <c r="G12" i="5"/>
  <c r="I12" i="5" s="1"/>
  <c r="E12" i="5"/>
  <c r="G11" i="5"/>
  <c r="I11" i="5" s="1"/>
  <c r="E11" i="5"/>
  <c r="G10" i="5"/>
  <c r="I10" i="5" s="1"/>
  <c r="E10" i="5"/>
  <c r="G9" i="5"/>
  <c r="I9" i="5" s="1"/>
  <c r="E9" i="5"/>
  <c r="C8" i="5"/>
  <c r="C7" i="5"/>
  <c r="C6" i="5"/>
  <c r="C5" i="5"/>
  <c r="C4" i="5"/>
  <c r="C3" i="5"/>
  <c r="C2" i="5"/>
  <c r="F9" i="1"/>
  <c r="G9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1" i="1"/>
  <c r="G31" i="1" s="1"/>
  <c r="F30" i="1"/>
  <c r="G30" i="1" s="1"/>
  <c r="F29" i="1"/>
  <c r="G29" i="1" s="1"/>
  <c r="F28" i="1"/>
  <c r="G28" i="1" s="1"/>
  <c r="F27" i="1"/>
  <c r="G27" i="1" s="1"/>
  <c r="F23" i="1"/>
  <c r="G23" i="1" s="1"/>
  <c r="F22" i="1"/>
  <c r="G22" i="1" s="1"/>
  <c r="F21" i="1"/>
  <c r="G21" i="1" s="1"/>
  <c r="F20" i="1"/>
  <c r="G20" i="1" s="1"/>
  <c r="F13" i="1"/>
  <c r="G13" i="1" s="1"/>
  <c r="F12" i="1"/>
  <c r="G12" i="1" s="1"/>
  <c r="F11" i="1"/>
  <c r="G11" i="1" s="1"/>
  <c r="F10" i="1"/>
  <c r="G10" i="1" s="1"/>
  <c r="F46" i="1"/>
  <c r="F39" i="1"/>
  <c r="F38" i="1"/>
  <c r="F37" i="1"/>
  <c r="F36" i="1"/>
  <c r="F35" i="1"/>
  <c r="F34" i="1"/>
  <c r="F33" i="1"/>
  <c r="F32" i="1"/>
  <c r="F26" i="1"/>
  <c r="F25" i="1"/>
  <c r="F24" i="1"/>
  <c r="F19" i="1"/>
  <c r="F18" i="1"/>
  <c r="F17" i="1"/>
  <c r="F16" i="1"/>
  <c r="F15" i="1"/>
  <c r="F14" i="1"/>
  <c r="H80" i="4"/>
  <c r="H79" i="4"/>
  <c r="H78" i="4"/>
  <c r="H77" i="4"/>
  <c r="H76" i="4"/>
  <c r="H75" i="4"/>
  <c r="H74" i="4"/>
  <c r="H73" i="4"/>
  <c r="H72" i="4"/>
  <c r="H71" i="4"/>
  <c r="H70" i="4"/>
  <c r="H69" i="4"/>
  <c r="H67" i="4"/>
  <c r="H66" i="4"/>
  <c r="H65" i="4"/>
  <c r="H64" i="4"/>
  <c r="H63" i="4"/>
  <c r="H45" i="4"/>
  <c r="H44" i="4"/>
  <c r="H43" i="4"/>
  <c r="H42" i="4"/>
  <c r="H41" i="4"/>
  <c r="H62" i="4"/>
  <c r="H40" i="4"/>
  <c r="H31" i="4"/>
  <c r="H30" i="4"/>
  <c r="H29" i="4"/>
  <c r="H28" i="4"/>
  <c r="H27" i="4"/>
  <c r="H23" i="4"/>
  <c r="H22" i="4"/>
  <c r="H21" i="4"/>
  <c r="H12" i="4"/>
  <c r="H13" i="4"/>
  <c r="H20" i="4"/>
  <c r="E22" i="1"/>
  <c r="E20" i="1"/>
  <c r="E21" i="1"/>
  <c r="E23" i="1"/>
  <c r="E9" i="1"/>
  <c r="E73" i="1"/>
  <c r="E29" i="1"/>
  <c r="E30" i="1"/>
  <c r="E28" i="1"/>
  <c r="E31" i="1"/>
  <c r="E80" i="1"/>
  <c r="E79" i="1"/>
  <c r="E78" i="1"/>
  <c r="E77" i="1"/>
  <c r="E76" i="1"/>
  <c r="E75" i="1"/>
  <c r="E74" i="1"/>
  <c r="E72" i="1"/>
  <c r="E71" i="1"/>
  <c r="E70" i="1"/>
  <c r="E69" i="1"/>
  <c r="E67" i="1"/>
  <c r="E66" i="1"/>
  <c r="E65" i="1"/>
  <c r="E64" i="1"/>
  <c r="E63" i="1"/>
  <c r="E62" i="1"/>
  <c r="E45" i="1"/>
  <c r="E44" i="1"/>
  <c r="E43" i="1"/>
  <c r="E42" i="1"/>
  <c r="E41" i="1"/>
  <c r="E40" i="1"/>
  <c r="E27" i="1"/>
  <c r="E13" i="1"/>
  <c r="E12" i="1"/>
  <c r="E11" i="1"/>
  <c r="E10" i="1"/>
  <c r="H2" i="3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2" i="2"/>
  <c r="E82" i="3"/>
  <c r="E81" i="3"/>
  <c r="E80" i="3"/>
  <c r="E67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38" i="3"/>
  <c r="E37" i="3"/>
  <c r="E36" i="3"/>
  <c r="E35" i="3"/>
  <c r="E34" i="3"/>
  <c r="E33" i="3"/>
  <c r="E32" i="3"/>
  <c r="E31" i="3"/>
  <c r="E25" i="3"/>
  <c r="E24" i="3"/>
  <c r="E23" i="3"/>
  <c r="E18" i="3"/>
  <c r="E17" i="3"/>
  <c r="E16" i="3"/>
  <c r="E15" i="3"/>
  <c r="E14" i="3"/>
  <c r="E8" i="3"/>
  <c r="E7" i="3"/>
  <c r="E6" i="3"/>
  <c r="E5" i="3"/>
  <c r="E4" i="3"/>
  <c r="E3" i="3"/>
  <c r="E2" i="3"/>
  <c r="E82" i="2"/>
  <c r="E81" i="2"/>
  <c r="E80" i="2"/>
  <c r="E67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38" i="2"/>
  <c r="E37" i="2"/>
  <c r="E36" i="2"/>
  <c r="E35" i="2"/>
  <c r="E34" i="2"/>
  <c r="E33" i="2"/>
  <c r="E32" i="2"/>
  <c r="E31" i="2"/>
  <c r="E25" i="2"/>
  <c r="E24" i="2"/>
  <c r="E23" i="2"/>
  <c r="E18" i="2"/>
  <c r="E17" i="2"/>
  <c r="E16" i="2"/>
  <c r="E15" i="2"/>
  <c r="E14" i="2"/>
  <c r="E8" i="2"/>
  <c r="E7" i="2"/>
  <c r="E6" i="2"/>
  <c r="E5" i="2"/>
  <c r="E4" i="2"/>
  <c r="E3" i="2"/>
  <c r="E2" i="2"/>
  <c r="C82" i="1"/>
  <c r="C81" i="1"/>
  <c r="C68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39" i="1"/>
  <c r="C38" i="1"/>
  <c r="C37" i="1"/>
  <c r="C36" i="1"/>
  <c r="C35" i="1"/>
  <c r="C34" i="1"/>
  <c r="C33" i="1"/>
  <c r="C32" i="1"/>
  <c r="C26" i="1"/>
  <c r="C83" i="1"/>
  <c r="C25" i="1"/>
  <c r="C24" i="1"/>
  <c r="C18" i="1"/>
  <c r="C17" i="1"/>
  <c r="C16" i="1"/>
  <c r="C15" i="1"/>
  <c r="C14" i="1"/>
  <c r="C8" i="1"/>
  <c r="C7" i="1"/>
  <c r="C6" i="1"/>
  <c r="C5" i="1"/>
  <c r="C4" i="1"/>
  <c r="C3" i="1"/>
  <c r="C2" i="1"/>
  <c r="B3" i="8" a="1"/>
  <c r="B4" i="8" a="1"/>
  <c r="B5" i="8" a="1"/>
  <c r="B6" i="8" a="1"/>
  <c r="B7" i="8" a="1"/>
  <c r="B8" i="8" a="1"/>
  <c r="B9" i="8" a="1"/>
  <c r="B10" i="8" a="1"/>
  <c r="B11" i="8" a="1"/>
  <c r="B12" i="8" a="1"/>
  <c r="B13" i="8" a="1"/>
  <c r="B14" i="8" a="1"/>
  <c r="B15" i="8" a="1"/>
  <c r="B16" i="8" a="1"/>
  <c r="B17" i="8" a="1"/>
  <c r="B18" i="8" a="1"/>
  <c r="B19" i="8" a="1"/>
  <c r="B20" i="8" a="1"/>
  <c r="B21" i="8" a="1"/>
  <c r="B22" i="8" a="1"/>
  <c r="B23" i="8" a="1"/>
  <c r="B24" i="8" a="1"/>
  <c r="B25" i="8" a="1"/>
  <c r="B26" i="8" a="1"/>
  <c r="B27" i="8" a="1"/>
  <c r="B28" i="8" a="1"/>
  <c r="B29" i="8" a="1"/>
  <c r="B30" i="8" a="1"/>
  <c r="B31" i="8" a="1"/>
  <c r="B32" i="8" a="1"/>
  <c r="B33" i="8" a="1"/>
  <c r="B34" i="8" a="1"/>
  <c r="B35" i="8" a="1"/>
  <c r="B36" i="8" a="1"/>
  <c r="B37" i="8" a="1"/>
  <c r="B38" i="8" a="1"/>
  <c r="B39" i="8" a="1"/>
  <c r="B40" i="8" a="1"/>
  <c r="B41" i="8" a="1"/>
  <c r="B42" i="8" a="1"/>
  <c r="B43" i="8" a="1"/>
  <c r="B44" i="8" a="1"/>
  <c r="B45" i="8" a="1"/>
  <c r="B46" i="8" a="1"/>
  <c r="B47" i="8" a="1"/>
  <c r="B48" i="8" a="1"/>
  <c r="B49" i="8" a="1"/>
  <c r="B50" i="8" a="1"/>
  <c r="B51" i="8" a="1"/>
  <c r="B52" i="8" a="1"/>
  <c r="B53" i="8" a="1"/>
  <c r="B54" i="8" a="1"/>
  <c r="B55" i="8" a="1"/>
  <c r="B56" i="8" a="1"/>
  <c r="B57" i="8" a="1"/>
  <c r="B58" i="8" a="1"/>
  <c r="B59" i="8" a="1"/>
  <c r="B60" i="8" a="1"/>
  <c r="B61" i="8" a="1"/>
  <c r="B62" i="8" a="1"/>
  <c r="B63" i="8" a="1"/>
  <c r="B64" i="8" a="1"/>
  <c r="B65" i="8" a="1"/>
  <c r="B66" i="8" a="1"/>
  <c r="B67" i="8" a="1"/>
  <c r="B68" i="8" a="1"/>
  <c r="B69" i="8" a="1"/>
  <c r="B70" i="8" a="1"/>
  <c r="B71" i="8" a="1"/>
  <c r="B72" i="8" a="1"/>
  <c r="B73" i="8" a="1"/>
  <c r="B74" i="8" a="1"/>
  <c r="B75" i="8" a="1"/>
  <c r="B76" i="8" a="1"/>
  <c r="B77" i="8" a="1"/>
  <c r="B78" i="8" a="1"/>
  <c r="B79" i="8" a="1"/>
  <c r="B80" i="8" a="1"/>
  <c r="B81" i="8" a="1"/>
  <c r="B82" i="8" a="1"/>
  <c r="B83" i="8" a="1"/>
  <c r="B2" i="8" a="1"/>
  <c r="A3" i="3" a="1"/>
  <c r="A4" i="3" a="1"/>
  <c r="A5" i="3" a="1"/>
  <c r="A6" i="3" a="1"/>
  <c r="A7" i="3" a="1"/>
  <c r="A8" i="3" a="1"/>
  <c r="A9" i="3" a="1"/>
  <c r="A10" i="3" a="1"/>
  <c r="A11" i="3" a="1"/>
  <c r="A12" i="3" a="1"/>
  <c r="A13" i="3" a="1"/>
  <c r="A14" i="3" a="1"/>
  <c r="A15" i="3" a="1"/>
  <c r="A16" i="3" a="1"/>
  <c r="A17" i="3" a="1"/>
  <c r="A18" i="3" a="1"/>
  <c r="A19" i="3" a="1"/>
  <c r="A20" i="3" a="1"/>
  <c r="A21" i="3" a="1"/>
  <c r="A22" i="3" a="1"/>
  <c r="A23" i="3" a="1"/>
  <c r="A24" i="3" a="1"/>
  <c r="A25" i="3" a="1"/>
  <c r="A26" i="3" a="1"/>
  <c r="A27" i="3" a="1"/>
  <c r="A28" i="3" a="1"/>
  <c r="A29" i="3" a="1"/>
  <c r="A30" i="3" a="1"/>
  <c r="A31" i="3" a="1"/>
  <c r="A32" i="3" a="1"/>
  <c r="A33" i="3" a="1"/>
  <c r="A34" i="3" a="1"/>
  <c r="A35" i="3" a="1"/>
  <c r="A36" i="3" a="1"/>
  <c r="A37" i="3" a="1"/>
  <c r="A38" i="3" a="1"/>
  <c r="A39" i="3" a="1"/>
  <c r="A40" i="3" a="1"/>
  <c r="A41" i="3" a="1"/>
  <c r="A42" i="3" a="1"/>
  <c r="A43" i="3" a="1"/>
  <c r="A44" i="3" a="1"/>
  <c r="A45" i="3" a="1"/>
  <c r="A46" i="3" a="1"/>
  <c r="A47" i="3" a="1"/>
  <c r="A48" i="3" a="1"/>
  <c r="A49" i="3" a="1"/>
  <c r="A50" i="3" a="1"/>
  <c r="A51" i="3" a="1"/>
  <c r="A52" i="3" a="1"/>
  <c r="A53" i="3" a="1"/>
  <c r="A54" i="3" a="1"/>
  <c r="A55" i="3" a="1"/>
  <c r="A56" i="3" a="1"/>
  <c r="A57" i="3" a="1"/>
  <c r="A58" i="3" a="1"/>
  <c r="A59" i="3" a="1"/>
  <c r="A60" i="3" a="1"/>
  <c r="A61" i="3" a="1"/>
  <c r="A62" i="3" a="1"/>
  <c r="A63" i="3" a="1"/>
  <c r="A64" i="3" a="1"/>
  <c r="A65" i="3" a="1"/>
  <c r="A66" i="3" a="1"/>
  <c r="A67" i="3" a="1"/>
  <c r="A68" i="3" a="1"/>
  <c r="A69" i="3" a="1"/>
  <c r="A70" i="3" a="1"/>
  <c r="A71" i="3" a="1"/>
  <c r="A72" i="3" a="1"/>
  <c r="A73" i="3" a="1"/>
  <c r="A74" i="3" a="1"/>
  <c r="A75" i="3" a="1"/>
  <c r="A76" i="3" a="1"/>
  <c r="A77" i="3" a="1"/>
  <c r="A78" i="3" a="1"/>
  <c r="A79" i="3" a="1"/>
  <c r="A80" i="3" a="1"/>
  <c r="A81" i="3" a="1"/>
  <c r="A82" i="3" a="1"/>
  <c r="A2" i="3" a="1"/>
  <c r="A3" i="2" a="1"/>
  <c r="A4" i="2" a="1"/>
  <c r="A5" i="2" a="1"/>
  <c r="A6" i="2" a="1"/>
  <c r="A7" i="2" a="1"/>
  <c r="A8" i="2" a="1"/>
  <c r="A10" i="2" a="1"/>
  <c r="A11" i="2" a="1"/>
  <c r="A12" i="2" a="1"/>
  <c r="A13" i="2" a="1"/>
  <c r="A14" i="2" a="1"/>
  <c r="A15" i="2" a="1"/>
  <c r="A16" i="2" a="1"/>
  <c r="A17" i="2" a="1"/>
  <c r="A18" i="2" a="1"/>
  <c r="A19" i="2" a="1"/>
  <c r="A20" i="2" a="1"/>
  <c r="A22" i="2" a="1"/>
  <c r="A24" i="2" a="1"/>
  <c r="A26" i="2" a="1"/>
  <c r="A28" i="2" a="1"/>
  <c r="A30" i="2" a="1"/>
  <c r="A32" i="2" a="1"/>
  <c r="A9" i="2" a="1"/>
  <c r="A21" i="2" a="1"/>
  <c r="A23" i="2" a="1"/>
  <c r="A25" i="2" a="1"/>
  <c r="A27" i="2" a="1"/>
  <c r="A29" i="2" a="1"/>
  <c r="A31" i="2" a="1"/>
  <c r="A33" i="2" a="1"/>
  <c r="A35" i="2" a="1"/>
  <c r="A37" i="2" a="1"/>
  <c r="A39" i="2" a="1"/>
  <c r="A41" i="2" a="1"/>
  <c r="A43" i="2" a="1"/>
  <c r="A45" i="2" a="1"/>
  <c r="A47" i="2" a="1"/>
  <c r="A49" i="2" a="1"/>
  <c r="A51" i="2" a="1"/>
  <c r="A53" i="2" a="1"/>
  <c r="A55" i="2" a="1"/>
  <c r="A57" i="2" a="1"/>
  <c r="A59" i="2" a="1"/>
  <c r="A61" i="2" a="1"/>
  <c r="A63" i="2" a="1"/>
  <c r="A65" i="2" a="1"/>
  <c r="A67" i="2" a="1"/>
  <c r="A69" i="2" a="1"/>
  <c r="A71" i="2" a="1"/>
  <c r="A73" i="2" a="1"/>
  <c r="A75" i="2" a="1"/>
  <c r="A77" i="2" a="1"/>
  <c r="A79" i="2" a="1"/>
  <c r="A81" i="2" a="1"/>
  <c r="A34" i="2" a="1"/>
  <c r="A36" i="2" a="1"/>
  <c r="A38" i="2" a="1"/>
  <c r="A40" i="2" a="1"/>
  <c r="A42" i="2" a="1"/>
  <c r="A44" i="2" a="1"/>
  <c r="A46" i="2" a="1"/>
  <c r="A48" i="2" a="1"/>
  <c r="A50" i="2" a="1"/>
  <c r="A52" i="2" a="1"/>
  <c r="A54" i="2" a="1"/>
  <c r="A56" i="2" a="1"/>
  <c r="A58" i="2" a="1"/>
  <c r="A60" i="2" a="1"/>
  <c r="A62" i="2" a="1"/>
  <c r="A64" i="2" a="1"/>
  <c r="A66" i="2" a="1"/>
  <c r="A68" i="2" a="1"/>
  <c r="A70" i="2" a="1"/>
  <c r="A72" i="2" a="1"/>
  <c r="A74" i="2" a="1"/>
  <c r="A76" i="2" a="1"/>
  <c r="A78" i="2" a="1"/>
  <c r="A80" i="2" a="1"/>
  <c r="A82" i="2" a="1"/>
  <c r="A2" i="2" a="1"/>
  <c r="B83" i="8" l="1"/>
  <c r="B82" i="8"/>
  <c r="B81" i="8"/>
  <c r="B80" i="8"/>
  <c r="B79" i="8"/>
  <c r="B78" i="8"/>
  <c r="B77" i="8"/>
  <c r="B76" i="8"/>
  <c r="B75" i="8"/>
  <c r="B74" i="8"/>
  <c r="B73" i="8"/>
  <c r="B72" i="8"/>
  <c r="B71" i="8"/>
  <c r="B70" i="8"/>
  <c r="B69" i="8"/>
  <c r="B68" i="8"/>
  <c r="B67" i="8"/>
  <c r="B66" i="8"/>
  <c r="B65" i="8"/>
  <c r="B64" i="8"/>
  <c r="B63" i="8"/>
  <c r="B62" i="8"/>
  <c r="B61" i="8"/>
  <c r="B60" i="8"/>
  <c r="B59" i="8"/>
  <c r="B58" i="8"/>
  <c r="B57" i="8"/>
  <c r="B56" i="8"/>
  <c r="B55" i="8"/>
  <c r="B54" i="8"/>
  <c r="B53" i="8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6" i="8"/>
  <c r="B5" i="8"/>
  <c r="B4" i="8"/>
  <c r="B3" i="8"/>
  <c r="B2" i="8"/>
  <c r="A82" i="3"/>
  <c r="F82" i="3" s="1"/>
  <c r="A81" i="3"/>
  <c r="F81" i="3" s="1"/>
  <c r="A80" i="3"/>
  <c r="F80" i="3" s="1"/>
  <c r="A79" i="3"/>
  <c r="F79" i="3" s="1"/>
  <c r="A78" i="3"/>
  <c r="F78" i="3" s="1"/>
  <c r="A77" i="3"/>
  <c r="F77" i="3" s="1"/>
  <c r="A76" i="3"/>
  <c r="F76" i="3" s="1"/>
  <c r="A75" i="3"/>
  <c r="F75" i="3" s="1"/>
  <c r="A74" i="3"/>
  <c r="F74" i="3" s="1"/>
  <c r="A73" i="3"/>
  <c r="F73" i="3" s="1"/>
  <c r="A72" i="3"/>
  <c r="F72" i="3" s="1"/>
  <c r="A71" i="3"/>
  <c r="F71" i="3" s="1"/>
  <c r="A70" i="3"/>
  <c r="F70" i="3" s="1"/>
  <c r="A69" i="3"/>
  <c r="F69" i="3" s="1"/>
  <c r="A68" i="3"/>
  <c r="F68" i="3" s="1"/>
  <c r="A67" i="3"/>
  <c r="F67" i="3" s="1"/>
  <c r="A66" i="3"/>
  <c r="F66" i="3" s="1"/>
  <c r="A65" i="3"/>
  <c r="F65" i="3" s="1"/>
  <c r="A64" i="3"/>
  <c r="F64" i="3" s="1"/>
  <c r="A63" i="3"/>
  <c r="F63" i="3" s="1"/>
  <c r="A62" i="3"/>
  <c r="F62" i="3" s="1"/>
  <c r="A61" i="3"/>
  <c r="F61" i="3" s="1"/>
  <c r="A60" i="3"/>
  <c r="F60" i="3" s="1"/>
  <c r="A59" i="3"/>
  <c r="F59" i="3" s="1"/>
  <c r="A58" i="3"/>
  <c r="F58" i="3" s="1"/>
  <c r="A57" i="3"/>
  <c r="F57" i="3" s="1"/>
  <c r="A56" i="3"/>
  <c r="F56" i="3" s="1"/>
  <c r="A55" i="3"/>
  <c r="F55" i="3" s="1"/>
  <c r="A54" i="3"/>
  <c r="F54" i="3" s="1"/>
  <c r="A53" i="3"/>
  <c r="F53" i="3" s="1"/>
  <c r="A52" i="3"/>
  <c r="F52" i="3" s="1"/>
  <c r="A51" i="3"/>
  <c r="F51" i="3" s="1"/>
  <c r="A50" i="3"/>
  <c r="F50" i="3" s="1"/>
  <c r="A49" i="3"/>
  <c r="F49" i="3" s="1"/>
  <c r="A48" i="3"/>
  <c r="F48" i="3" s="1"/>
  <c r="A47" i="3"/>
  <c r="F47" i="3" s="1"/>
  <c r="A46" i="3"/>
  <c r="F46" i="3" s="1"/>
  <c r="A45" i="3"/>
  <c r="F45" i="3" s="1"/>
  <c r="A44" i="3"/>
  <c r="F44" i="3" s="1"/>
  <c r="A43" i="3"/>
  <c r="F43" i="3" s="1"/>
  <c r="A42" i="3"/>
  <c r="F42" i="3" s="1"/>
  <c r="A41" i="3"/>
  <c r="F41" i="3" s="1"/>
  <c r="A40" i="3"/>
  <c r="F40" i="3" s="1"/>
  <c r="A39" i="3"/>
  <c r="F39" i="3" s="1"/>
  <c r="A38" i="3"/>
  <c r="F38" i="3" s="1"/>
  <c r="A37" i="3"/>
  <c r="F37" i="3" s="1"/>
  <c r="A36" i="3"/>
  <c r="F36" i="3" s="1"/>
  <c r="A35" i="3"/>
  <c r="F35" i="3" s="1"/>
  <c r="A34" i="3"/>
  <c r="F34" i="3" s="1"/>
  <c r="A33" i="3"/>
  <c r="F33" i="3" s="1"/>
  <c r="A32" i="3"/>
  <c r="F32" i="3" s="1"/>
  <c r="A31" i="3"/>
  <c r="F31" i="3" s="1"/>
  <c r="A30" i="3"/>
  <c r="F30" i="3" s="1"/>
  <c r="A29" i="3"/>
  <c r="F29" i="3" s="1"/>
  <c r="A28" i="3"/>
  <c r="F28" i="3" s="1"/>
  <c r="A27" i="3"/>
  <c r="F27" i="3" s="1"/>
  <c r="A26" i="3"/>
  <c r="F26" i="3" s="1"/>
  <c r="A25" i="3"/>
  <c r="F25" i="3" s="1"/>
  <c r="A24" i="3"/>
  <c r="F24" i="3" s="1"/>
  <c r="A23" i="3"/>
  <c r="F23" i="3" s="1"/>
  <c r="A22" i="3"/>
  <c r="F22" i="3" s="1"/>
  <c r="A21" i="3"/>
  <c r="F21" i="3" s="1"/>
  <c r="A20" i="3"/>
  <c r="F20" i="3" s="1"/>
  <c r="A19" i="3"/>
  <c r="F19" i="3" s="1"/>
  <c r="A18" i="3"/>
  <c r="F18" i="3" s="1"/>
  <c r="A17" i="3"/>
  <c r="F17" i="3" s="1"/>
  <c r="A16" i="3"/>
  <c r="F16" i="3" s="1"/>
  <c r="A15" i="3"/>
  <c r="F15" i="3" s="1"/>
  <c r="A14" i="3"/>
  <c r="F14" i="3" s="1"/>
  <c r="A13" i="3"/>
  <c r="F13" i="3" s="1"/>
  <c r="A12" i="3"/>
  <c r="F12" i="3" s="1"/>
  <c r="A11" i="3"/>
  <c r="F11" i="3" s="1"/>
  <c r="A10" i="3"/>
  <c r="F10" i="3" s="1"/>
  <c r="A9" i="3"/>
  <c r="F9" i="3" s="1"/>
  <c r="A8" i="3"/>
  <c r="F8" i="3" s="1"/>
  <c r="A7" i="3"/>
  <c r="F7" i="3" s="1"/>
  <c r="A6" i="3"/>
  <c r="F6" i="3" s="1"/>
  <c r="A5" i="3"/>
  <c r="F5" i="3" s="1"/>
  <c r="A4" i="3"/>
  <c r="F4" i="3" s="1"/>
  <c r="A3" i="3"/>
  <c r="F3" i="3" s="1"/>
  <c r="A2" i="3"/>
  <c r="A82" i="2"/>
  <c r="A80" i="2"/>
  <c r="A78" i="2"/>
  <c r="A76" i="2"/>
  <c r="A74" i="2"/>
  <c r="A72" i="2"/>
  <c r="A70" i="2"/>
  <c r="A68" i="2"/>
  <c r="A66" i="2"/>
  <c r="A64" i="2"/>
  <c r="A62" i="2"/>
  <c r="A60" i="2"/>
  <c r="A58" i="2"/>
  <c r="A56" i="2"/>
  <c r="A54" i="2"/>
  <c r="A52" i="2"/>
  <c r="A50" i="2"/>
  <c r="A48" i="2"/>
  <c r="A46" i="2"/>
  <c r="A44" i="2"/>
  <c r="A42" i="2"/>
  <c r="A40" i="2"/>
  <c r="A38" i="2"/>
  <c r="A36" i="2"/>
  <c r="A34" i="2"/>
  <c r="A81" i="2"/>
  <c r="A79" i="2"/>
  <c r="A77" i="2"/>
  <c r="A75" i="2"/>
  <c r="A73" i="2"/>
  <c r="A71" i="2"/>
  <c r="A69" i="2"/>
  <c r="A67" i="2"/>
  <c r="A65" i="2"/>
  <c r="A63" i="2"/>
  <c r="A61" i="2"/>
  <c r="A59" i="2"/>
  <c r="A57" i="2"/>
  <c r="A55" i="2"/>
  <c r="A53" i="2"/>
  <c r="A51" i="2"/>
  <c r="A49" i="2"/>
  <c r="A47" i="2"/>
  <c r="A45" i="2"/>
  <c r="A43" i="2"/>
  <c r="A41" i="2"/>
  <c r="A39" i="2"/>
  <c r="A37" i="2"/>
  <c r="A35" i="2"/>
  <c r="A33" i="2"/>
  <c r="A31" i="2"/>
  <c r="A29" i="2"/>
  <c r="A27" i="2"/>
  <c r="A25" i="2"/>
  <c r="A23" i="2"/>
  <c r="A21" i="2"/>
  <c r="A9" i="2"/>
  <c r="A32" i="2"/>
  <c r="A30" i="2"/>
  <c r="A28" i="2"/>
  <c r="A26" i="2"/>
  <c r="A24" i="2"/>
  <c r="A22" i="2"/>
  <c r="A20" i="2"/>
  <c r="A19" i="2"/>
  <c r="A18" i="2"/>
  <c r="A17" i="2"/>
  <c r="A16" i="2"/>
  <c r="A15" i="2"/>
  <c r="A14" i="2"/>
  <c r="A13" i="2"/>
  <c r="A12" i="2"/>
  <c r="A11" i="2"/>
  <c r="A10" i="2"/>
  <c r="A8" i="2"/>
  <c r="A7" i="2"/>
  <c r="A6" i="2"/>
  <c r="A5" i="2"/>
  <c r="A4" i="2"/>
  <c r="A3" i="2"/>
  <c r="A2" i="2"/>
  <c r="F2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<sst xmlns="http://schemas.openxmlformats.org/spreadsheetml/2006/main" count="1396" uniqueCount="226">
  <si>
    <t>تاریخ</t>
  </si>
  <si>
    <t>شرح</t>
  </si>
  <si>
    <t>بدهکار</t>
  </si>
  <si>
    <t>بستانکار</t>
  </si>
  <si>
    <t>تعداد</t>
  </si>
  <si>
    <t>1403/02/12</t>
  </si>
  <si>
    <t>بابت خرید 10.000.000 واحد سرمایه گذاری در صندوق سرمایه گذاری ثبات ویستا با نرخ میانگین 18.261 ریال طبق اعلامیه مورخ 1403/02/16کارگزاری خبرگان سهام</t>
  </si>
  <si>
    <t>1403/02/17</t>
  </si>
  <si>
    <t>بابت خرید 17.330.000 واحد سرمایه گذاری در صندوق سرمایه گذاری ثبات ویستا با نرخ میانگین 18.286 ریال طبق اعلامیه مورخ 1403/02/17کارگزاری خبرگان سهام</t>
  </si>
  <si>
    <t>بابت خرید 33.480.000 واحد سرمایه گذاری در صندوق سرمایه گذاری لبخند فارابی با نرخ میانگین 14.982 ریال طبق اعلامیه مورخ 1403/02/17کارگزاری خبرگان سهام</t>
  </si>
  <si>
    <t>1403/02/18</t>
  </si>
  <si>
    <t>بابت خرید 13.000.000 واحد سرمایه گذاری در صندوق سرمایه گذاری لبخند فارابی با نرخ میانگین 14.958 ریال طبق اعلامیه مورخ 1403/02/18کارگزاری خبرگان سهام</t>
  </si>
  <si>
    <t>1403/02/19</t>
  </si>
  <si>
    <t>بابت خرید 13.450.000 واحد سرمایه گذاری در صندوق سرمایه گذاری سپر سرمایه بیدار با نرخ میانگین 22.740 ریال طبق اعلامیه مورخ 1403/02/22کارگزاری خبرگان سهام</t>
  </si>
  <si>
    <t>1403/02/25</t>
  </si>
  <si>
    <t>بابت خرید 24.100.000 واحد سرمایه گذاری در صندوق سرمایه گذاری آوای فردای زاگرس با نرخ میانگین 20.734 ریال طبق اعلامیه مورخ 1403/02/25کارگزاری خبرگان سهام</t>
  </si>
  <si>
    <t>بابت خرید 19.055.000 واحد سرمایه گذاری در صندوق سرمایه گذاری افرا نماد پایدار با نرخ میانگین 26.230 ریال طبق اعلامیه مورخ 1403/02/25کارگزاری خبرگان سهام</t>
  </si>
  <si>
    <t>1403/02/31</t>
  </si>
  <si>
    <t>بابت فروش تعداد 24.100.000 واحد سرمایه گذاری در صندوق آوای فردای زاگرس در تاریخ 1403/02/31با نرخ متوسط 20.826ریال طبق اعلامیه کارگزاری خبرگان سهام</t>
  </si>
  <si>
    <t>بابت فروش تعداد 19.055.000واحد سرمایه گذاری در صندوق افرا نماد پایدار در تاریخ 1403/02/31با نرخ متوسط 26.347 ریال طبق اعلامیه کارگزاری خبرگان سهام</t>
  </si>
  <si>
    <t>بابت فروش تعداد 13.450.000 واحد سرمایه گذاری در صندوق سپر سرمایه بیدار در تاریخ 1403/02/31با نرخ متوسط 22.954ریال طبق اعلامیه کارگزاری خبرگان سهام</t>
  </si>
  <si>
    <t>بابت فروش تعداد 27.330.000 واحد سرمایه گذاری در صندوق ثبات ویستا در تاریخ 1403/02/31با نرخ متوسط 18.478 ریال طبق اعلامیه کارگزاری خبرگان سهام</t>
  </si>
  <si>
    <t>بابت فروش تعداد 46.480.000 واحد سرمایه گذاری در صندوق لبخند فارابی در تاریخ 1403/02/31با نرخ متوسط 15.084 ریال طبق اعلامیه کارگزاری خبرگان سهام</t>
  </si>
  <si>
    <t>1403/03/13</t>
  </si>
  <si>
    <t>بابت خرید 37.000.000 واحد سرمایه گذاری در صندوق سرمایه گذاری افرا نماد پایدار با نرخ میانگین 26.656 ریال طبق اعلامیه مورخ 1403/03/16کارگزاری خبرگان سهام</t>
  </si>
  <si>
    <t>بابت خرید 500.000 واحد سرمایه گذاری در صندوق سرمایه گذاری سپر سرمایه بیدار با نرخ میانگین 23.226 ریال طبق اعلامیه مورخ 1403/03/16کارگزاری خبرگان سهام</t>
  </si>
  <si>
    <t>بابت خرید 43.052.000 واحد سرمایه گذاری در صندوق سرمایه گذاری سپر سرمایه بیدار با نرخ میانگین 23.223 ریال طبق اعلامیه مورخ 1403/03/16کارگزاری خبرگان سهام</t>
  </si>
  <si>
    <t>بابت خرید 18.900.000 واحد سرمایه گذاری در صندوق سرمایه گذاری نشان هامرز با نرخ میانگین 15.865 ریال طبق اعلامیه مورخ 1403/03/16کارگزاری خبرگان سهام</t>
  </si>
  <si>
    <t>بابت خرید 13.500.000 واحد سرمایه گذاری در صندوق سرمایه گذاری نوع دوم نوویرا با نرخ میانگین 14.763 ریال طبق اعلامیه مورخ 1403/03/16کارگزاری خبرگان سهام</t>
  </si>
  <si>
    <t>1403/03/31</t>
  </si>
  <si>
    <t>ثبت بابت سند افتتاحیه</t>
  </si>
  <si>
    <t>1403/04/13</t>
  </si>
  <si>
    <t>بابت فروش تعداد 200.000 واحد سرمایه گذاری صندوق سپهر خبرگان نفت در تاریخ 1403/04/13 با نرخ متوسط 10.158 ریال طبق اعلامیه کارگزاری خبرگان سهام</t>
  </si>
  <si>
    <t>1403/04/17</t>
  </si>
  <si>
    <t>بابت فروش تعداد 227.209 واحد سرمایه گذاری صندوق سپهر خبرگان نفت در تاریخ 1403/04/17 با نرخ متوسط 10.009 ریال طبق اعلامیه کارگزاری خبرگان سهام</t>
  </si>
  <si>
    <t>1403/04/18</t>
  </si>
  <si>
    <t>بابت فروش تعداد 299.035واحد سرمایه گذاری صندوق سپهر خبرگان نفت در تاریخ 1403/04/18 با نرخ متوسط 10.006 ریال طبق اعلامیه کارگزاری خبرگان سهام</t>
  </si>
  <si>
    <t>1403/04/20</t>
  </si>
  <si>
    <t>بابت فروش تعداد 300.000 واحد سرمایه گذاری صندوق سپهر خبرگان نفت در تاریخ 1403/04/20 با نرخ متوسط 10.030 ریال طبق اعلامیه کارگزاری خبرگان سهام</t>
  </si>
  <si>
    <t>1403/04/24</t>
  </si>
  <si>
    <t>بابت خرید 62.550.000 واحد سرمایه گذاری در صندوق سرمایه گذاری سپر سرمایه بیدار با نرخ میانگین 23.977 ریال طبق اعلامیه مورخ 1403/04/27کارگزاری خبرگان سهام</t>
  </si>
  <si>
    <t>بابت خرید 50.795.021 واحد سرمایه گذاری در صندوق سرمایه گذاری آوند مفید با نرخ میانگین 15.748 ریال طبق اعلامیه مورخ 1403/04/27کارگزاری خبرگان سهام</t>
  </si>
  <si>
    <t>بابت خرید 36.300.000 واحد سرمایه گذاری در صندوق سرمایه گذاری ثبات ویستا با نرخ میانگین 19.279 ریال طبق اعلامیه مورخ 1403/04/27کارگزاری خبرگان سهام</t>
  </si>
  <si>
    <t>بابت فروش تعداد 6.750.000 واحد سرمایه گذاری صندوق سپهر خبرگان نفت در تاریخ 1403/04/27 با نرخ متوسط 10.020 ریال طبق اعلامیه کارگزاری خبرگان سهام</t>
  </si>
  <si>
    <t>1403/04/30</t>
  </si>
  <si>
    <t>بابت فروش تعداد 120.000 واحد سرمایه گذاری صندوق سپهر خبرگان نفت در تاریخ 1403/04/30 با نرخ متوسط 10.048 ریال طبق اعلامیه کارگزاری خبرگان سهام</t>
  </si>
  <si>
    <t>1403/04/31</t>
  </si>
  <si>
    <t>بابت فروش تعداد 120.000 واحد سرمایه گذاری صندوق سپهر خبرگان نفت در تاریخ 1403/04/31 با نرخ متوسط 10.058 ریال طبق اعلامیه کارگزاری خبرگان سهام</t>
  </si>
  <si>
    <t>1403/05/02</t>
  </si>
  <si>
    <t>بابت فروش تعداد 120.000 واحد سرمایه گذاری صندوق سپهر خبرگان نفت در تاریخ 1403/05/01 با نرخ متوسط 10.068 ریال طبق اعلامیه کارگزاری خبرگان سهام</t>
  </si>
  <si>
    <t>1403/05/03</t>
  </si>
  <si>
    <t>بابت فروش تعداد 1.826.746 واحد سرمایه گذاری صندوق سپهر خبرگان نفت در تاریخ 1403/05/02 با نرخ متوسط 10.044 ریال طبق اعلامیه کارگزاری خبرگان سهام</t>
  </si>
  <si>
    <t>1403/05/24</t>
  </si>
  <si>
    <t>بابت خرید 14.655.000 واحد سرمایه گذاری در صندوق سرمایه گذاری ارمغان فیروزه آسیا ثابت با نرخ میانگین 47.750 ریال طبق اعلامیه مورخ 1403/05/27کارگزاری خبرگان سهام</t>
  </si>
  <si>
    <t>بابت خرید 17.740.000 واحد سرمایه گذاری در صندوق سرمایه گذاری افرا نماد پایدار با نرخ میانگین 28.169 ریال طبق اعلامیه مورخ 1403/05/27کارگزاری خبرگان سهام</t>
  </si>
  <si>
    <t>بابت خرید 40.740.000 واحد سرمایه گذاری در صندوق سرمایه گذاری سپر سرمایه بیدار با نرخ میانگین 24.543 ریال طبق اعلامیه مورخ 1403/05/27کارگزاری خبرگان سهام</t>
  </si>
  <si>
    <t>بابت خرید 50.680.000 واحد سرمایه گذاری در صندوق سرمایه ثبات ویستا با نرخ میانگین 19.728 ریال طبق اعلامیه مورخ 1403/05/27کارگزاری خبرگان سهام</t>
  </si>
  <si>
    <t>بابت خرید 29.756.000 واحد سرمایه گذاری در صندوق سرمایه گذاری نشان هامرز با نرخ میانگین 16.800 ریال طبق اعلامیه مورخ 1403/05/27کارگزاری خبرگان سهام</t>
  </si>
  <si>
    <t>بابت خرید 19.260.000 واحد سرمایه گذاری در صندوق سرمایه گذاری نوع دوم نو ویرا با نرخ میانگین 15.566 ریال طبق اعلامیه مورخ 1403/05/27کارگزاری خبرگان سهام</t>
  </si>
  <si>
    <t>بابت خرید 31.100.000 واحد سرمایه گذاری در صندوق سرمایه گذاری اوراق دولت خلیج فارس با نرخ میانگین 16.075 ریال طبق اعلامیه مورخ 1403/05/27کارگزاری خبرگان سهام</t>
  </si>
  <si>
    <t>بابت خرید 38.000 واحد سرمایه گذاری در صندوق سرمایه گذاری اوراق دولت خلیج فارس با نرخ میانگین 16.075 ریال طبق اعلامیه مورخ 1403/05/27کارگزاری خبرگان سهام</t>
  </si>
  <si>
    <t>1403/05/30</t>
  </si>
  <si>
    <t>بابت فروش تعداد 7.500.000 واحد سرمایه گذاری در صندوق ارمغان فیروزه آسیا در تاریخ 1403/05/30با نرخ متوسط 47.956 ریال طبق اعلامیه کارگزاری خبرگان سهام</t>
  </si>
  <si>
    <t>بابت فروش تعداد 10.000.000 واحد سرمایه گذاری در صندوق افرا نماد پایدار در تاریخ 1403/05/30با نرخ متوسط 28.273 ریال طبق اعلامیه کارگزاری خبرگان سهام</t>
  </si>
  <si>
    <t>بابت فروش تعداد 50.795.021 واحد سرمایه گذاری در صندوق آوند مفید در تاریخ 1403/05/30با نرخ متوسط 16.167 ریال طبق اعلامیه کارگزاری خبرگان سهام</t>
  </si>
  <si>
    <t>بابت فروش تعداد 36.000.000 واحد سرمایه گذاری در صندوق ثبات ویستا در تاریخ 1403/05/30با نرخ متوسط 19.829 ریال طبق اعلامیه کارگزاری خبرگان سهام</t>
  </si>
  <si>
    <t>بابت فروش تعداد 32.760.000 واحد سرمایه گذاری در صندوق نوع دوم نو ویرا در تاریخ 1403/05/30با نرخ متوسط 15.637 ریال طبق اعلامیه کارگزاری خبرگان سهام</t>
  </si>
  <si>
    <t>1403/06/10</t>
  </si>
  <si>
    <t>بابت فروش تعداد 30.000.000 واحد سرمایه گذاری صندوق ثبات ویستا در تاریخ 1403/06/10 با نرخ متوسط 19.938 ریال طبق اعلامیه کارگزاری خبرگان سهام</t>
  </si>
  <si>
    <t>1403/06/19</t>
  </si>
  <si>
    <t>بابت خرید 26.000.000 واحد سرمایه گذاری در صندوق سرمایه گذاری سپر سرمایه بیدار با نرخ میانگین 25.000 ریال طبق اعلامیه مورخ 1403/06/19کارگزاری خبرگان سهام</t>
  </si>
  <si>
    <t>بابت خرید 11.735.517 واحد سرمایه گذاری در صندوق سرمایه گذاری نشان هامرز با نرخ میانگین 17.130 ریال طبق اعلامیه مورخ 1403/06/19کارگزاری خبرگان سهام</t>
  </si>
  <si>
    <t>بابت خرید 132.850.000 واحد سرمایه گذاری در صندوق سرمایه گذاری ماهور با نرخ میانگین 12.411 ریال طبق اعلامیه مورخ 1403/06/19کارگزاری خبرگان سهام</t>
  </si>
  <si>
    <t>1403/06/21</t>
  </si>
  <si>
    <t>بابت خرید 15.000.000 واحد سرمایه گذاری در صندوق سرمایه گذاری کیمیا با نرخ میانگین 13.340 ریال طبق اعلامیه مورخ 1403/06/21کارگزاری خبرگان سهام</t>
  </si>
  <si>
    <t>بابت خرید 18.269.000 واحد سرمایه گذاری در صندوق سرمایه گذاری اوراق دولت خلیج فارس با نرخ میانگین 16.405 ریال طبق اعلامیه مورخ 1403/06/21کارگزاری خبرگان سهام</t>
  </si>
  <si>
    <t>1403/07/01</t>
  </si>
  <si>
    <t>بابت خرید 133.580.000 واحد سرمایه گذاری در صندوق سرمایه گذاری درآمد ثابت کیمیا با نرخ میانگین 13.455 ریال طبق اعلامیه مورخ 1403/07/02کارگزاری خبرگان سهام</t>
  </si>
  <si>
    <t>بابت خرید 19.870.000 واحد سرمایه گذاری در صندوق سرمایه گذاری سپر سرمایه بیدار با نرخ میانگین 25.267 ریال طبق اعلامیه مورخ 1403/07/02کارگزاری خبرگان سهام</t>
  </si>
  <si>
    <t>بابت خرید 30.100.000 واحد سرمایه گذاری در صندوق سرمایه گذاری لبخند فارابی با نرخ میانگین 16.595 ریال طبق اعلامیه مورخ 1403/07/02کارگزاری خبرگان سهام</t>
  </si>
  <si>
    <t>بابت خرید 28.850.000 واحد سرمایه گذاری در صندوق سرمایه گذاری نشان هامرز با نرخ میانگین 17.324 ریال طبق اعلامیه مورخ 1403/07/02کارگزاری خبرگان سهام</t>
  </si>
  <si>
    <t>بابت خرید 12.100.000 واحد سرمایه گذاری در صندوق سرمایه گذاری اوراق دولت خلیج فارس با نرخ میانگین 16.559 ریال طبق اعلامیه مورخ 1403/07/02کارگزاری خبرگان سهام</t>
  </si>
  <si>
    <t>1403/07/02</t>
  </si>
  <si>
    <t>بابت خرید 37.116.000 واحد سرمایه گذاری در صندوق سرمایه گذاری دآمد ثابت کیمیا با نرخ میانگین 13.471 ریال طبق اعلامیه مورخ 1403/07/03کارگزاری خبرگان سهام</t>
  </si>
  <si>
    <t>بابت خرید 75.350.000 واحد سرمایه گذاری در صندوق سرمایه گذاری نوع دوم کارا با نرخ میانگین 19.907 ریال طبق اعلامیه مورخ 1403/07/03کارگزاری خبرگان سهام</t>
  </si>
  <si>
    <t>1403/07/10</t>
  </si>
  <si>
    <t>بابت خرید 110.560.000 واحد سرمایه گذاری در صندوق سرمایه گذاری دآمد ثابت کیمیا با نرخ میانگین 13.565 ریال طبق اعلامیه مورخ 1403/07/11کارگزاری خبرگان سهام</t>
  </si>
  <si>
    <t>بابت خرید 57.290.000 واحد سرمایه گذاری در صندوق سرمایه گذاری نشان هامرز با نرخ میانگین 17.452 ریال طبق اعلامیه مورخ 1403/07/11کارگزاری خبرگان سهام</t>
  </si>
  <si>
    <t>1403/07/16</t>
  </si>
  <si>
    <t>بابت خرید 57.023.000 واحد سرمایه گذاری در صندوق سرمایه گذاری نشان هامرز با نرخ میانگین 17.535 ریال طبق اعلامیه مورخ 1403/07/17کارگزاری خبرگان سهام</t>
  </si>
  <si>
    <t>بابت خرید 49.700.000 واحد سرمایه گذاری در صندوق سرمایه گذاری نوع دوم کارا با نرخ میانگین 20.115 ریال طبق اعلامیه مورخ 1403/07/17کارگزاری خبرگان سهام</t>
  </si>
  <si>
    <t>1403/07/24</t>
  </si>
  <si>
    <t>بابت فروش تعداد 7.155.000 واحد سرمایه گذاری در صندوق ارمغان فیروزه آسیا در تاریخ 1403/07/24با نرخ متوسط 50.100ریال طبق اعلامیه کارگزاری خبرگان سهام</t>
  </si>
  <si>
    <t>بابت فروش تعداد 44.740.000 واحد سرمایه گذاری در صندوق افرا نماد پایدار در تاریخ 1403/07/24با نرخ متوسط 29.500 ریال طبق اعلامیه کارگزاری خبرگان سهام</t>
  </si>
  <si>
    <t>بابت فروش تعداد 20.000.000 واحد سرمایه گذاری در صندوق سپر سرمایه بیدار در تاریخ 1403/07/24با نرخ متوسط 25.745 ریال طبق اعلامیه کارگزاری خبرگان سهام</t>
  </si>
  <si>
    <t>بابت فروش تعداد 20.980.000 واحد سرمایه گذاری در صندوق ثبات ویستا در تاریخ 1403/07/24با نرخ متوسط 20.652 ریال طبق اعلامیه کارگزاری خبرگان سهام</t>
  </si>
  <si>
    <t>بابت فروش تعداد 30.100.000 واحد سرمایه گذاری در صندوق لبخند فارابی در تاریخ 1403/07/24با نرخ متوسط 16.903 ریال طبق اعلامیه کارگزاری خبرگان سهام</t>
  </si>
  <si>
    <t>بابت فروش تعداد 60.000.000 واحد سرمایه گذاری در صندوق سرمایه گذاری نشان هامرز در تاریخ 1403/07/24با نرخ متوسط 17.651 ریال طبق اعلامیه کارگزاری خبرگان سهام</t>
  </si>
  <si>
    <t>بابت خرید 248.000.000 واحد سرمایه گذاری در صندوق سرمایه گذاری اوراق دولت خلیج فارس با نرخ میانگین 16.856 ریال طبق اعلامیه مورخ 1403/07/25 کارگزاری خبرگان سهام</t>
  </si>
  <si>
    <t>1403/07/29</t>
  </si>
  <si>
    <t>بابت فروش تعداد 133.000.000 واحد سرمایه گذاری  صندوق کیمیا در تاریخ 1403/07/29با نرخ متوسط 13.767 ریال طبق اعلامیه کارگزاری خبرگان سهام</t>
  </si>
  <si>
    <t>بابت فروش تعداد 94.000.000 واحد سرمایه گذاری صندوق سپر سرمایه بیدار در تاریخ 1403/07/29با نرخ متوسط 25.850 ریال طبق اعلامیه کارگزاری خبرگان سهام</t>
  </si>
  <si>
    <t>بابت فروش تعداد 50.000.000 واحد سرمایه گذاری صندوق نشان هامرز در تاریخ 1403/07/29 با نرخ متوسط 17.717 ریال طبق اعلامیه کارگزاری خبرگان سهام</t>
  </si>
  <si>
    <t>بابت فروش تعداد 81.000.000 واحد سرمایه گذاری صندوق نوع دوم کارا در تاریخ 1403/07/29با نرخ متوسط 20.326 ریال طبق اعلامیه کارگزاری خبرگان سهام</t>
  </si>
  <si>
    <t>بابت کارمزد فروش تعداد 60.000.000 واحد سرمایه گذاری در صندوق اوراق دولت خلیج فارس در تاریخ 1403/07/29با نرخ متوسط 16.924 ریال طبق اعلامیه کارگزاری خبرگان سهام</t>
  </si>
  <si>
    <t>بابت فروش تعداد 73.000.000 واحد سرمایه گذاری صندوق ماهور در تاریخ 1403/07/29با نرخ متوسط 12.846 ریال طبق اعلامیه کارگزاری خبرگان سهام</t>
  </si>
  <si>
    <t>1403/08/12</t>
  </si>
  <si>
    <t>بابت فروش تعداد 12.000.000 واحد سرمایه گذاری  صندوق کیمیا در تاریخ 1403/08/12با نرخ متوسط 13.903ریال طبق اعلامیه کارگزاری خبرگان سهام</t>
  </si>
  <si>
    <t>بابت فروش تعداد 9.600.000 واحد سرمایه گذاری صندوق سپر سرمایه بیدار در تاریخ 1403/08/12با نرخ متوسط 26.091 ریال طبق اعلامیه کارگزاری خبرگان سهام</t>
  </si>
  <si>
    <t>بابت فروش تعداد 4.700.000 واحد سرمایه گذاری صندوق نشان هامرز در تاریخ 1403/08/12 با نرخ متوسط 17.900 ریال طبق اعلامیه کارگزاری خبرگان سهام</t>
  </si>
  <si>
    <t>بابت فروش تعداد 20.300.000 واحد سرمایه گذاری صندوق نوع دوم کارا در تاریخ 1403/08/12با نرخ متوسط 20.519 ریال طبق اعلامیه کارگزاری خبرگان سهام</t>
  </si>
  <si>
    <t>بابت فروش تعداد 19.500.000 واحد سرمایه گذاری در صندوق اوراق دولت خلیج فارس در تاریخ 1403/08/12با نرخ متوسط 17.098 ریال طبق اعلامیه کارگزاری خبرگان سهام</t>
  </si>
  <si>
    <t>بابت فروش تعداد 19.300.000 واحد سرمایه گذاری صندوق ماهور در تاریخ 1403/08/12با نرخ متوسط 12.975 ریال طبق اعلامیه کارگزاری خبرگان سهام</t>
  </si>
  <si>
    <t>1403/09/06</t>
  </si>
  <si>
    <t>بابت خرید 22.982.000 واحد سرمایه گذاری در صندوق سرمایه گذاری افرا نماد پایدار با نرخ میانگین 30.452 ریال طبق اعلامیه مورخ 1403/09/06کارگزاری خبرگان سهام</t>
  </si>
  <si>
    <t>بابت خرید 30.093.000 واحد سرمایه گذاری در صندوق سرمایه گذاری سپر سرمایه بیدار با نرخ میانگین 26.579 ریال طبق اعلامیه مورخ 1403/09/06کارگزاری خبرگان سهام</t>
  </si>
  <si>
    <t>بابت خرید 35.304.000 واحد سرمایه گذاری در صندوق سرمایه گذاری کیمیا با نرخ میانگین 14.160 ریال طبق اعلامیه مورخ 1403/09/06کارگزاری خبرگان سهام</t>
  </si>
  <si>
    <t>صندوق سرمایه گذاری ثبات ویستا</t>
  </si>
  <si>
    <t>سرمایه گذاری سپر سرمایه بیدار</t>
  </si>
  <si>
    <t>سرمایه گذاری آوای فردای زاگرس</t>
  </si>
  <si>
    <t xml:space="preserve">سرمایه گذاری نشان هامرز </t>
  </si>
  <si>
    <t xml:space="preserve">سرمایه گذاری نوع دوم نوویرا </t>
  </si>
  <si>
    <t>سرمایه گذاری افرا نماد پایدار</t>
  </si>
  <si>
    <t xml:space="preserve"> سرمایه گذاری کیمیا </t>
  </si>
  <si>
    <t>سرمایه گذاری اوراق دولت خلیج فارس</t>
  </si>
  <si>
    <t>سرمایه گذاری آوند مفید</t>
  </si>
  <si>
    <t>سرمایه گذاری صندوق ماهور</t>
  </si>
  <si>
    <t>سرمایه گذاری نوع دوم کارا</t>
  </si>
  <si>
    <t>سرمایه گذاری در صندوق نوع دوم نو ویرا</t>
  </si>
  <si>
    <t>سرمایه گذاری ارمغان فیروزه آسیا ثابت</t>
  </si>
  <si>
    <t>سرمایه گذاری در صندوق ارمغان فیروزه آسیا</t>
  </si>
  <si>
    <t xml:space="preserve">سرمایه گذاری لبخند فارابی </t>
  </si>
  <si>
    <t xml:space="preserve"> سرمایه گذاری صندوق سپهر خبرگان نفت</t>
  </si>
  <si>
    <t>اسم صندوق سرمایه گذاری</t>
  </si>
  <si>
    <t>تاریخ شمسی</t>
  </si>
  <si>
    <t>تاریخ میلادی</t>
  </si>
  <si>
    <t>2024/05/01</t>
  </si>
  <si>
    <t>2024/05/06</t>
  </si>
  <si>
    <t>2024/05/07</t>
  </si>
  <si>
    <t>2024/05/08</t>
  </si>
  <si>
    <t>2024/05/14</t>
  </si>
  <si>
    <t>2024/05/20</t>
  </si>
  <si>
    <t>2024/06/02</t>
  </si>
  <si>
    <t>2024/07/03</t>
  </si>
  <si>
    <t>2024/07/07</t>
  </si>
  <si>
    <t>2024/07/08</t>
  </si>
  <si>
    <t>2024/07/10</t>
  </si>
  <si>
    <t>2024/07/14</t>
  </si>
  <si>
    <t>2024/07/20</t>
  </si>
  <si>
    <t>2024/07/21</t>
  </si>
  <si>
    <t>2024/07/23</t>
  </si>
  <si>
    <t>2024/07/24</t>
  </si>
  <si>
    <t>2024/08/14</t>
  </si>
  <si>
    <t>2024/08/20</t>
  </si>
  <si>
    <t>2024/08/31</t>
  </si>
  <si>
    <t>2024/09/09</t>
  </si>
  <si>
    <t>2024/09/11</t>
  </si>
  <si>
    <t>2024/09/22</t>
  </si>
  <si>
    <t>2024/09/23</t>
  </si>
  <si>
    <t>2024/10/01</t>
  </si>
  <si>
    <t>2024/10/07</t>
  </si>
  <si>
    <t>2024/10/15</t>
  </si>
  <si>
    <t>2024/10/20</t>
  </si>
  <si>
    <t>2024/11/02</t>
  </si>
  <si>
    <t>2024/11/26</t>
  </si>
  <si>
    <t>بابت فروش تعداد 27.330.000 متوسط 18.478 ریال طبق اعلامیه کارگزاری خبرگان سهام</t>
  </si>
  <si>
    <t>بابت فروش تعداد 46.480.000  متوسط 15.084 ریال طبق اعلامیه کارگزاری خبرگان سهام</t>
  </si>
  <si>
    <t>بابت فروش تعداد 200.000 متوسط 10.158 ریال طبق اعلامیه کارگزاری خبرگان سهام</t>
  </si>
  <si>
    <t>بابت فروش تعداد 227.209 متوسط 10.009 ریال طبق اعلامیه کارگزاری خبرگان سهام</t>
  </si>
  <si>
    <t>بابت فروش تعداد 299.035 متوسط 10.006 ریال طبق اعلامیه کارگزاری خبرگان سهام</t>
  </si>
  <si>
    <t>بابت فروش تعداد 300.000 متوسط 10.030 ریال طبق اعلامیه کارگزاری خبرگان سهام</t>
  </si>
  <si>
    <t>بابت فروش تعداد 6.750.000 متوسط 10.020 ریال طبق اعلامیه کارگزاری خبرگان سهام</t>
  </si>
  <si>
    <t>بابت فروش تعداد 120.000 متوسط 10.048 ریال طبق اعلامیه کارگزاری خبرگان سهام</t>
  </si>
  <si>
    <t>بابت فروش تعداد 120.000 متوسط 10.058 ریال طبق اعلامیه کارگزاری خبرگان سهام</t>
  </si>
  <si>
    <t>بابت فروش تعداد 120.000 متوسط 10.068 ریال طبق اعلامیه کارگزاری خبرگان سهام</t>
  </si>
  <si>
    <t>بابت</t>
  </si>
  <si>
    <t>فروش</t>
  </si>
  <si>
    <t>24.100.000</t>
  </si>
  <si>
    <t>متوسط</t>
  </si>
  <si>
    <t>طبق</t>
  </si>
  <si>
    <t>اعلامیه</t>
  </si>
  <si>
    <t>کارگزاری</t>
  </si>
  <si>
    <t>خبرگان</t>
  </si>
  <si>
    <t>سهام</t>
  </si>
  <si>
    <t>19.055.000</t>
  </si>
  <si>
    <t>13.450.000</t>
  </si>
  <si>
    <t>مبلغ فروش</t>
  </si>
  <si>
    <t xml:space="preserve"> 20.826</t>
  </si>
  <si>
    <t xml:space="preserve"> 26.347</t>
  </si>
  <si>
    <t xml:space="preserve"> 22.954</t>
  </si>
  <si>
    <t xml:space="preserve"> 18.478</t>
  </si>
  <si>
    <t xml:space="preserve"> 15.084</t>
  </si>
  <si>
    <t xml:space="preserve"> 10.158</t>
  </si>
  <si>
    <t xml:space="preserve"> 10.009</t>
  </si>
  <si>
    <t xml:space="preserve"> 10.006</t>
  </si>
  <si>
    <t xml:space="preserve"> 10.030</t>
  </si>
  <si>
    <t xml:space="preserve"> 10.020</t>
  </si>
  <si>
    <t xml:space="preserve"> 10.048</t>
  </si>
  <si>
    <t xml:space="preserve"> 10.058</t>
  </si>
  <si>
    <t xml:space="preserve"> 10.068</t>
  </si>
  <si>
    <t xml:space="preserve"> 10.044</t>
  </si>
  <si>
    <t xml:space="preserve"> 47.956</t>
  </si>
  <si>
    <t xml:space="preserve"> 28.273</t>
  </si>
  <si>
    <t xml:space="preserve"> 16.167</t>
  </si>
  <si>
    <t xml:space="preserve"> 19.829</t>
  </si>
  <si>
    <t xml:space="preserve"> 15.637</t>
  </si>
  <si>
    <t xml:space="preserve"> 19.938</t>
  </si>
  <si>
    <t xml:space="preserve"> 50.100</t>
  </si>
  <si>
    <t xml:space="preserve"> 29.500</t>
  </si>
  <si>
    <t xml:space="preserve"> 25.745</t>
  </si>
  <si>
    <t xml:space="preserve"> 20.652</t>
  </si>
  <si>
    <t xml:space="preserve"> 16.903</t>
  </si>
  <si>
    <t xml:space="preserve"> 17.651</t>
  </si>
  <si>
    <t xml:space="preserve"> 13.767</t>
  </si>
  <si>
    <t xml:space="preserve"> 25.850</t>
  </si>
  <si>
    <t xml:space="preserve"> 17.717</t>
  </si>
  <si>
    <t xml:space="preserve"> 20.326</t>
  </si>
  <si>
    <t xml:space="preserve"> 16.924</t>
  </si>
  <si>
    <t xml:space="preserve"> 12.846</t>
  </si>
  <si>
    <t xml:space="preserve"> 13.903</t>
  </si>
  <si>
    <t xml:space="preserve"> 26.091</t>
  </si>
  <si>
    <t xml:space="preserve"> 17.900</t>
  </si>
  <si>
    <t xml:space="preserve"> 20.519</t>
  </si>
  <si>
    <t xml:space="preserve"> 17.098</t>
  </si>
  <si>
    <t xml:space="preserve"> 12.975</t>
  </si>
  <si>
    <t>1403/01/01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</si>
</sst>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71" formatCode="d\.m\.yy;@"/>
    <numFmt numFmtId="173" formatCode="[$-960429]dd/mm/yy;@"/>
    <numFmt numFmtId="181" formatCode="0.000000000%"/>
    <numFmt numFmtId="183" formatCode="_(* #,##0_);_(* \(#,##0\);_(* &quot;-&quot;??_);_(@_)"/>
    <numFmt numFmtId="188" formatCode="0.0000000000%"/>
  </numFmts>
  <fonts count="6" x14ac:knownFonts="1">
    <font>
      <sz val="10"/>
      <name val="Tahoma"/>
    </font>
    <font>
      <b/>
      <sz val="10"/>
      <name val="Tahoma"/>
    </font>
    <font>
      <sz val="10"/>
      <name val="Tahoma"/>
    </font>
    <font>
      <sz val="10"/>
      <name val="Tahoma"/>
      <family val="2"/>
    </font>
    <font>
      <b/>
      <sz val="10"/>
      <name val="B Nazanin"/>
      <charset val="178"/>
    </font>
    <font>
      <sz val="10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horizontal="right"/>
    </xf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2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0" fontId="1" fillId="2" borderId="1" xfId="0" applyFont="1" applyFill="1" applyBorder="1">
      <alignment horizontal="right"/>
    </xf>
    <xf numFmtId="38" fontId="0" fillId="0" borderId="1" xfId="0" applyNumberFormat="1" applyBorder="1">
      <alignment horizontal="right"/>
    </xf>
    <xf numFmtId="0" fontId="3" fillId="0" borderId="1" xfId="0" applyFont="1" applyBorder="1">
      <alignment horizontal="right"/>
    </xf>
    <xf numFmtId="171" fontId="0" fillId="0" borderId="1" xfId="0" applyNumberFormat="1" applyBorder="1">
      <alignment horizontal="right"/>
    </xf>
    <xf numFmtId="0" fontId="4" fillId="2" borderId="1" xfId="0" applyFont="1" applyFill="1" applyBorder="1">
      <alignment horizontal="right"/>
    </xf>
    <xf numFmtId="0" fontId="5" fillId="0" borderId="0" xfId="0" applyFont="1">
      <alignment horizontal="right"/>
    </xf>
    <xf numFmtId="0" fontId="5" fillId="0" borderId="1" xfId="0" applyFont="1" applyBorder="1">
      <alignment horizontal="right"/>
    </xf>
    <xf numFmtId="3" fontId="5" fillId="0" borderId="1" xfId="0" applyNumberFormat="1" applyFont="1" applyBorder="1">
      <alignment horizontal="right"/>
    </xf>
    <xf numFmtId="38" fontId="5" fillId="0" borderId="1" xfId="0" applyNumberFormat="1" applyFont="1" applyBorder="1">
      <alignment horizontal="right"/>
    </xf>
    <xf numFmtId="173" fontId="5" fillId="0" borderId="0" xfId="0" applyNumberFormat="1" applyFont="1">
      <alignment horizontal="right"/>
    </xf>
    <xf numFmtId="181" fontId="5" fillId="0" borderId="0" xfId="2" applyNumberFormat="1" applyFont="1" applyAlignment="1">
      <alignment horizontal="right"/>
    </xf>
    <xf numFmtId="183" fontId="1" fillId="2" borderId="1" xfId="1" applyNumberFormat="1" applyFont="1" applyFill="1" applyBorder="1" applyAlignment="1">
      <alignment horizontal="right"/>
    </xf>
    <xf numFmtId="183" fontId="0" fillId="0" borderId="1" xfId="1" applyNumberFormat="1" applyFont="1" applyBorder="1" applyAlignment="1">
      <alignment horizontal="right"/>
    </xf>
    <xf numFmtId="183" fontId="0" fillId="0" borderId="0" xfId="1" applyNumberFormat="1" applyFont="1" applyAlignment="1">
      <alignment horizontal="right"/>
    </xf>
    <xf numFmtId="0" fontId="3" fillId="0" borderId="0" xfId="0" applyFont="1">
      <alignment horizontal="right"/>
    </xf>
    <xf numFmtId="2" fontId="0" fillId="0" borderId="0" xfId="0" applyNumberFormat="1">
      <alignment horizontal="right"/>
    </xf>
    <xf numFmtId="1" fontId="0" fillId="0" borderId="0" xfId="0" applyNumberFormat="1">
      <alignment horizontal="right"/>
    </xf>
    <xf numFmtId="0" fontId="0" fillId="0" borderId="0" xfId="0" applyNumberFormat="1">
      <alignment horizontal="right"/>
    </xf>
    <xf numFmtId="188" fontId="0" fillId="0" borderId="0" xfId="2" applyNumberFormat="1" applyFont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avadian\Desktop\Desktop\Persian%20Function%20For%20EXCEL_V2_.xla" TargetMode="External"/><Relationship Id="rId1" Type="http://schemas.openxmlformats.org/officeDocument/2006/relationships/externalLinkPath" Target="Persian%20Function%20For%20EXCEL_V2_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definedNames>
      <definedName name="J_GregorianDate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DE1B6-C21B-49F7-8C63-9033CD6CC78D}">
  <dimension ref="A1:G83"/>
  <sheetViews>
    <sheetView rightToLeft="1" tabSelected="1" workbookViewId="0">
      <selection activeCell="G14" sqref="G14"/>
    </sheetView>
  </sheetViews>
  <sheetFormatPr defaultRowHeight="12.75" x14ac:dyDescent="0.2"/>
  <cols>
    <col min="1" max="2" width="11.42578125" customWidth="1"/>
    <col min="3" max="3" width="80.140625" customWidth="1"/>
    <col min="4" max="4" width="20.140625" style="16" customWidth="1"/>
    <col min="7" max="7" width="14.42578125" bestFit="1" customWidth="1"/>
  </cols>
  <sheetData>
    <row r="1" spans="1:7" x14ac:dyDescent="0.2">
      <c r="A1" s="3" t="s">
        <v>0</v>
      </c>
      <c r="B1" s="3"/>
      <c r="C1" s="3" t="s">
        <v>1</v>
      </c>
      <c r="D1" s="14" t="s">
        <v>2</v>
      </c>
    </row>
    <row r="2" spans="1:7" x14ac:dyDescent="0.2">
      <c r="A2" s="5" t="s">
        <v>225</v>
      </c>
      <c r="B2" s="1" t="str" cm="1">
        <f t="array" ref="B2">"20"&amp;[1]!J_GregorianDate(A2)</f>
        <v>2024/03/20</v>
      </c>
      <c r="C2" s="1" t="s">
        <v>30</v>
      </c>
      <c r="D2" s="15">
        <v>-99706035780</v>
      </c>
    </row>
    <row r="3" spans="1:7" x14ac:dyDescent="0.2">
      <c r="A3" s="1" t="s">
        <v>5</v>
      </c>
      <c r="B3" s="1" t="str" cm="1">
        <f t="array" ref="B3">"20"&amp;[1]!J_GregorianDate(A3)</f>
        <v>2024/05/01</v>
      </c>
      <c r="C3" s="1" t="s">
        <v>6</v>
      </c>
      <c r="D3" s="15">
        <v>-182610000000</v>
      </c>
      <c r="G3" s="21">
        <f>XIRR(D2:D83,B2:B83)</f>
        <v>2.9802322387695314E-9</v>
      </c>
    </row>
    <row r="4" spans="1:7" x14ac:dyDescent="0.2">
      <c r="A4" s="1" t="s">
        <v>7</v>
      </c>
      <c r="B4" s="1" t="str" cm="1">
        <f t="array" ref="B4">"20"&amp;[1]!J_GregorianDate(A4)</f>
        <v>2024/05/06</v>
      </c>
      <c r="C4" s="1" t="s">
        <v>8</v>
      </c>
      <c r="D4" s="15">
        <v>-316896380000</v>
      </c>
    </row>
    <row r="5" spans="1:7" x14ac:dyDescent="0.2">
      <c r="A5" s="1" t="s">
        <v>7</v>
      </c>
      <c r="B5" s="1" t="str" cm="1">
        <f t="array" ref="B5">"20"&amp;[1]!J_GregorianDate(A5)</f>
        <v>2024/05/06</v>
      </c>
      <c r="C5" s="1" t="s">
        <v>9</v>
      </c>
      <c r="D5" s="15">
        <v>-499789440000</v>
      </c>
    </row>
    <row r="6" spans="1:7" x14ac:dyDescent="0.2">
      <c r="A6" s="1" t="s">
        <v>10</v>
      </c>
      <c r="B6" s="1" t="str" cm="1">
        <f t="array" ref="B6">"20"&amp;[1]!J_GregorianDate(A6)</f>
        <v>2024/05/07</v>
      </c>
      <c r="C6" s="1" t="s">
        <v>11</v>
      </c>
      <c r="D6" s="15">
        <v>-194454000000</v>
      </c>
    </row>
    <row r="7" spans="1:7" x14ac:dyDescent="0.2">
      <c r="A7" s="1" t="s">
        <v>12</v>
      </c>
      <c r="B7" s="1" t="str" cm="1">
        <f t="array" ref="B7">"20"&amp;[1]!J_GregorianDate(A7)</f>
        <v>2024/05/08</v>
      </c>
      <c r="C7" s="1" t="s">
        <v>13</v>
      </c>
      <c r="D7" s="15">
        <v>-305853000000</v>
      </c>
    </row>
    <row r="8" spans="1:7" x14ac:dyDescent="0.2">
      <c r="A8" s="1" t="s">
        <v>14</v>
      </c>
      <c r="B8" s="1" t="str" cm="1">
        <f t="array" ref="B8">"20"&amp;[1]!J_GregorianDate(A8)</f>
        <v>2024/05/14</v>
      </c>
      <c r="C8" s="1" t="s">
        <v>15</v>
      </c>
      <c r="D8" s="15">
        <v>-499689400000</v>
      </c>
    </row>
    <row r="9" spans="1:7" x14ac:dyDescent="0.2">
      <c r="A9" s="1" t="s">
        <v>14</v>
      </c>
      <c r="B9" s="1" t="str" cm="1">
        <f t="array" ref="B9">"20"&amp;[1]!J_GregorianDate(A9)</f>
        <v>2024/05/14</v>
      </c>
      <c r="C9" s="1" t="s">
        <v>16</v>
      </c>
      <c r="D9" s="15">
        <v>-499812650000</v>
      </c>
    </row>
    <row r="10" spans="1:7" x14ac:dyDescent="0.2">
      <c r="A10" s="1" t="s">
        <v>17</v>
      </c>
      <c r="B10" s="1" t="str" cm="1">
        <f t="array" ref="B10">"20"&amp;[1]!J_GregorianDate(A10)</f>
        <v>2024/05/20</v>
      </c>
      <c r="C10" s="1" t="s">
        <v>18</v>
      </c>
      <c r="D10" s="15">
        <v>501906600000</v>
      </c>
    </row>
    <row r="11" spans="1:7" x14ac:dyDescent="0.2">
      <c r="A11" s="1" t="s">
        <v>17</v>
      </c>
      <c r="B11" s="1" t="str" cm="1">
        <f t="array" ref="B11">"20"&amp;[1]!J_GregorianDate(A11)</f>
        <v>2024/05/20</v>
      </c>
      <c r="C11" s="1" t="s">
        <v>19</v>
      </c>
      <c r="D11" s="15">
        <v>502042085000</v>
      </c>
    </row>
    <row r="12" spans="1:7" x14ac:dyDescent="0.2">
      <c r="A12" s="1" t="s">
        <v>17</v>
      </c>
      <c r="B12" s="1" t="str" cm="1">
        <f t="array" ref="B12">"20"&amp;[1]!J_GregorianDate(A12)</f>
        <v>2024/05/20</v>
      </c>
      <c r="C12" s="1" t="s">
        <v>20</v>
      </c>
      <c r="D12" s="15">
        <v>308731300000</v>
      </c>
    </row>
    <row r="13" spans="1:7" x14ac:dyDescent="0.2">
      <c r="A13" s="1" t="s">
        <v>17</v>
      </c>
      <c r="B13" s="1" t="str" cm="1">
        <f t="array" ref="B13">"20"&amp;[1]!J_GregorianDate(A13)</f>
        <v>2024/05/20</v>
      </c>
      <c r="C13" s="1" t="s">
        <v>21</v>
      </c>
      <c r="D13" s="15">
        <v>505003740000</v>
      </c>
    </row>
    <row r="14" spans="1:7" x14ac:dyDescent="0.2">
      <c r="A14" s="1" t="s">
        <v>17</v>
      </c>
      <c r="B14" s="1" t="str" cm="1">
        <f t="array" ref="B14">"20"&amp;[1]!J_GregorianDate(A14)</f>
        <v>2024/05/20</v>
      </c>
      <c r="C14" s="1" t="s">
        <v>22</v>
      </c>
      <c r="D14" s="15">
        <v>701104320000</v>
      </c>
    </row>
    <row r="15" spans="1:7" x14ac:dyDescent="0.2">
      <c r="A15" s="1" t="s">
        <v>23</v>
      </c>
      <c r="B15" s="1" t="str" cm="1">
        <f t="array" ref="B15">"20"&amp;[1]!J_GregorianDate(A15)</f>
        <v>2024/06/02</v>
      </c>
      <c r="C15" s="1" t="s">
        <v>24</v>
      </c>
      <c r="D15" s="15">
        <v>-986272000000</v>
      </c>
    </row>
    <row r="16" spans="1:7" x14ac:dyDescent="0.2">
      <c r="A16" s="1" t="s">
        <v>23</v>
      </c>
      <c r="B16" s="1" t="str" cm="1">
        <f t="array" ref="B16">"20"&amp;[1]!J_GregorianDate(A16)</f>
        <v>2024/06/02</v>
      </c>
      <c r="C16" s="1" t="s">
        <v>25</v>
      </c>
      <c r="D16" s="15">
        <v>-11613000000</v>
      </c>
    </row>
    <row r="17" spans="1:4" x14ac:dyDescent="0.2">
      <c r="A17" s="1" t="s">
        <v>23</v>
      </c>
      <c r="B17" s="1" t="str" cm="1">
        <f t="array" ref="B17">"20"&amp;[1]!J_GregorianDate(A17)</f>
        <v>2024/06/02</v>
      </c>
      <c r="C17" s="1" t="s">
        <v>26</v>
      </c>
      <c r="D17" s="15">
        <v>-999796596000</v>
      </c>
    </row>
    <row r="18" spans="1:4" x14ac:dyDescent="0.2">
      <c r="A18" s="1" t="s">
        <v>23</v>
      </c>
      <c r="B18" s="1" t="str" cm="1">
        <f t="array" ref="B18">"20"&amp;[1]!J_GregorianDate(A18)</f>
        <v>2024/06/02</v>
      </c>
      <c r="C18" s="1" t="s">
        <v>27</v>
      </c>
      <c r="D18" s="15">
        <v>-299848500000</v>
      </c>
    </row>
    <row r="19" spans="1:4" x14ac:dyDescent="0.2">
      <c r="A19" s="1" t="s">
        <v>23</v>
      </c>
      <c r="B19" s="1" t="str" cm="1">
        <f t="array" ref="B19">"20"&amp;[1]!J_GregorianDate(A19)</f>
        <v>2024/06/02</v>
      </c>
      <c r="C19" s="1" t="s">
        <v>28</v>
      </c>
      <c r="D19" s="15">
        <v>-199300500000</v>
      </c>
    </row>
    <row r="20" spans="1:4" x14ac:dyDescent="0.2">
      <c r="A20" s="1" t="s">
        <v>31</v>
      </c>
      <c r="B20" s="1" t="str" cm="1">
        <f t="array" ref="B20">"20"&amp;[1]!J_GregorianDate(A20)</f>
        <v>2024/07/03</v>
      </c>
      <c r="C20" s="1" t="s">
        <v>32</v>
      </c>
      <c r="D20" s="15">
        <v>2031600000</v>
      </c>
    </row>
    <row r="21" spans="1:4" x14ac:dyDescent="0.2">
      <c r="A21" s="1" t="s">
        <v>33</v>
      </c>
      <c r="B21" s="1" t="str" cm="1">
        <f t="array" ref="B21">"20"&amp;[1]!J_GregorianDate(A21)</f>
        <v>2024/07/07</v>
      </c>
      <c r="C21" s="1" t="s">
        <v>34</v>
      </c>
      <c r="D21" s="15">
        <v>2274134881</v>
      </c>
    </row>
    <row r="22" spans="1:4" x14ac:dyDescent="0.2">
      <c r="A22" s="1" t="s">
        <v>35</v>
      </c>
      <c r="B22" s="1" t="str" cm="1">
        <f t="array" ref="B22">"20"&amp;[1]!J_GregorianDate(A22)</f>
        <v>2024/07/08</v>
      </c>
      <c r="C22" s="1" t="s">
        <v>36</v>
      </c>
      <c r="D22" s="15">
        <v>2992144210</v>
      </c>
    </row>
    <row r="23" spans="1:4" x14ac:dyDescent="0.2">
      <c r="A23" s="1" t="s">
        <v>37</v>
      </c>
      <c r="B23" s="1" t="str" cm="1">
        <f t="array" ref="B23">"20"&amp;[1]!J_GregorianDate(A23)</f>
        <v>2024/07/10</v>
      </c>
      <c r="C23" s="1" t="s">
        <v>38</v>
      </c>
      <c r="D23" s="15">
        <v>3009000000</v>
      </c>
    </row>
    <row r="24" spans="1:4" x14ac:dyDescent="0.2">
      <c r="A24" s="1" t="s">
        <v>39</v>
      </c>
      <c r="B24" s="1" t="str" cm="1">
        <f t="array" ref="B24">"20"&amp;[1]!J_GregorianDate(A24)</f>
        <v>2024/07/14</v>
      </c>
      <c r="C24" s="1" t="s">
        <v>40</v>
      </c>
      <c r="D24" s="15">
        <v>-1499761350000</v>
      </c>
    </row>
    <row r="25" spans="1:4" x14ac:dyDescent="0.2">
      <c r="A25" s="1" t="s">
        <v>39</v>
      </c>
      <c r="B25" s="1" t="str" cm="1">
        <f t="array" ref="B25">"20"&amp;[1]!J_GregorianDate(A25)</f>
        <v>2024/07/14</v>
      </c>
      <c r="C25" s="1" t="s">
        <v>41</v>
      </c>
      <c r="D25" s="15">
        <v>-799919990708</v>
      </c>
    </row>
    <row r="26" spans="1:4" x14ac:dyDescent="0.2">
      <c r="A26" s="1" t="s">
        <v>39</v>
      </c>
      <c r="B26" s="1" t="str" cm="1">
        <f t="array" ref="B26">"20"&amp;[1]!J_GregorianDate(A26)</f>
        <v>2024/07/14</v>
      </c>
      <c r="C26" s="1" t="s">
        <v>42</v>
      </c>
      <c r="D26" s="15">
        <v>-699827700000</v>
      </c>
    </row>
    <row r="27" spans="1:4" x14ac:dyDescent="0.2">
      <c r="A27" s="1" t="s">
        <v>39</v>
      </c>
      <c r="B27" s="1" t="str" cm="1">
        <f t="array" ref="B27">"20"&amp;[1]!J_GregorianDate(A27)</f>
        <v>2024/07/14</v>
      </c>
      <c r="C27" s="1" t="s">
        <v>43</v>
      </c>
      <c r="D27" s="15">
        <v>67635000000</v>
      </c>
    </row>
    <row r="28" spans="1:4" x14ac:dyDescent="0.2">
      <c r="A28" s="1" t="s">
        <v>44</v>
      </c>
      <c r="B28" s="1" t="str" cm="1">
        <f t="array" ref="B28">"20"&amp;[1]!J_GregorianDate(A28)</f>
        <v>2024/07/20</v>
      </c>
      <c r="C28" s="1" t="s">
        <v>45</v>
      </c>
      <c r="D28" s="15">
        <v>1205760000</v>
      </c>
    </row>
    <row r="29" spans="1:4" x14ac:dyDescent="0.2">
      <c r="A29" s="1" t="s">
        <v>46</v>
      </c>
      <c r="B29" s="1" t="str" cm="1">
        <f t="array" ref="B29">"20"&amp;[1]!J_GregorianDate(A29)</f>
        <v>2024/07/21</v>
      </c>
      <c r="C29" s="1" t="s">
        <v>47</v>
      </c>
      <c r="D29" s="15">
        <v>1206960000</v>
      </c>
    </row>
    <row r="30" spans="1:4" x14ac:dyDescent="0.2">
      <c r="A30" s="1" t="s">
        <v>48</v>
      </c>
      <c r="B30" s="1" t="str" cm="1">
        <f t="array" ref="B30">"20"&amp;[1]!J_GregorianDate(A30)</f>
        <v>2024/07/23</v>
      </c>
      <c r="C30" s="1" t="s">
        <v>49</v>
      </c>
      <c r="D30" s="15">
        <v>1208160000</v>
      </c>
    </row>
    <row r="31" spans="1:4" x14ac:dyDescent="0.2">
      <c r="A31" s="1" t="s">
        <v>50</v>
      </c>
      <c r="B31" s="1" t="str" cm="1">
        <f t="array" ref="B31">"20"&amp;[1]!J_GregorianDate(A31)</f>
        <v>2024/07/24</v>
      </c>
      <c r="C31" s="1" t="s">
        <v>51</v>
      </c>
      <c r="D31" s="15">
        <v>18347836824</v>
      </c>
    </row>
    <row r="32" spans="1:4" x14ac:dyDescent="0.2">
      <c r="A32" s="1" t="s">
        <v>52</v>
      </c>
      <c r="B32" s="1" t="str" cm="1">
        <f t="array" ref="B32">"20"&amp;[1]!J_GregorianDate(A32)</f>
        <v>2024/08/14</v>
      </c>
      <c r="C32" s="1" t="s">
        <v>53</v>
      </c>
      <c r="D32" s="15">
        <v>-699776250000</v>
      </c>
    </row>
    <row r="33" spans="1:4" x14ac:dyDescent="0.2">
      <c r="A33" s="1" t="s">
        <v>52</v>
      </c>
      <c r="B33" s="1" t="str" cm="1">
        <f t="array" ref="B33">"20"&amp;[1]!J_GregorianDate(A33)</f>
        <v>2024/08/14</v>
      </c>
      <c r="C33" s="1" t="s">
        <v>54</v>
      </c>
      <c r="D33" s="15">
        <v>-499718060000</v>
      </c>
    </row>
    <row r="34" spans="1:4" x14ac:dyDescent="0.2">
      <c r="A34" s="1" t="s">
        <v>52</v>
      </c>
      <c r="B34" s="1" t="str" cm="1">
        <f t="array" ref="B34">"20"&amp;[1]!J_GregorianDate(A34)</f>
        <v>2024/08/14</v>
      </c>
      <c r="C34" s="1" t="s">
        <v>55</v>
      </c>
      <c r="D34" s="15">
        <v>-999881820000</v>
      </c>
    </row>
    <row r="35" spans="1:4" x14ac:dyDescent="0.2">
      <c r="A35" s="1" t="s">
        <v>52</v>
      </c>
      <c r="B35" s="1" t="str" cm="1">
        <f t="array" ref="B35">"20"&amp;[1]!J_GregorianDate(A35)</f>
        <v>2024/08/14</v>
      </c>
      <c r="C35" s="1" t="s">
        <v>56</v>
      </c>
      <c r="D35" s="15">
        <v>-999815040000</v>
      </c>
    </row>
    <row r="36" spans="1:4" x14ac:dyDescent="0.2">
      <c r="A36" s="1" t="s">
        <v>52</v>
      </c>
      <c r="B36" s="1" t="str" cm="1">
        <f t="array" ref="B36">"20"&amp;[1]!J_GregorianDate(A36)</f>
        <v>2024/08/14</v>
      </c>
      <c r="C36" s="1" t="s">
        <v>57</v>
      </c>
      <c r="D36" s="15">
        <v>-499900800000</v>
      </c>
    </row>
    <row r="37" spans="1:4" x14ac:dyDescent="0.2">
      <c r="A37" s="1" t="s">
        <v>52</v>
      </c>
      <c r="B37" s="1" t="str" cm="1">
        <f t="array" ref="B37">"20"&amp;[1]!J_GregorianDate(A37)</f>
        <v>2024/08/14</v>
      </c>
      <c r="C37" s="1" t="s">
        <v>58</v>
      </c>
      <c r="D37" s="15">
        <v>-299801160000</v>
      </c>
    </row>
    <row r="38" spans="1:4" x14ac:dyDescent="0.2">
      <c r="A38" s="1" t="s">
        <v>52</v>
      </c>
      <c r="B38" s="1" t="str" cm="1">
        <f t="array" ref="B38">"20"&amp;[1]!J_GregorianDate(A38)</f>
        <v>2024/08/14</v>
      </c>
      <c r="C38" s="1" t="s">
        <v>59</v>
      </c>
      <c r="D38" s="15">
        <v>-499932500000</v>
      </c>
    </row>
    <row r="39" spans="1:4" x14ac:dyDescent="0.2">
      <c r="A39" s="1" t="s">
        <v>52</v>
      </c>
      <c r="B39" s="1" t="str" cm="1">
        <f t="array" ref="B39">"20"&amp;[1]!J_GregorianDate(A39)</f>
        <v>2024/08/14</v>
      </c>
      <c r="C39" s="1" t="s">
        <v>60</v>
      </c>
      <c r="D39" s="15">
        <v>-610850000</v>
      </c>
    </row>
    <row r="40" spans="1:4" x14ac:dyDescent="0.2">
      <c r="A40" s="1" t="s">
        <v>61</v>
      </c>
      <c r="B40" s="1" t="str" cm="1">
        <f t="array" ref="B40">"20"&amp;[1]!J_GregorianDate(A40)</f>
        <v>2024/08/20</v>
      </c>
      <c r="C40" s="1" t="s">
        <v>62</v>
      </c>
      <c r="D40" s="15">
        <v>359670000000</v>
      </c>
    </row>
    <row r="41" spans="1:4" x14ac:dyDescent="0.2">
      <c r="A41" s="1" t="s">
        <v>61</v>
      </c>
      <c r="B41" s="1" t="str" cm="1">
        <f t="array" ref="B41">"20"&amp;[1]!J_GregorianDate(A41)</f>
        <v>2024/08/20</v>
      </c>
      <c r="C41" s="1" t="s">
        <v>63</v>
      </c>
      <c r="D41" s="15">
        <v>282730000000</v>
      </c>
    </row>
    <row r="42" spans="1:4" x14ac:dyDescent="0.2">
      <c r="A42" s="1" t="s">
        <v>61</v>
      </c>
      <c r="B42" s="1" t="str" cm="1">
        <f t="array" ref="B42">"20"&amp;[1]!J_GregorianDate(A42)</f>
        <v>2024/08/20</v>
      </c>
      <c r="C42" s="1" t="s">
        <v>64</v>
      </c>
      <c r="D42" s="15">
        <v>821203104507</v>
      </c>
    </row>
    <row r="43" spans="1:4" x14ac:dyDescent="0.2">
      <c r="A43" s="1" t="s">
        <v>61</v>
      </c>
      <c r="B43" s="1" t="str" cm="1">
        <f t="array" ref="B43">"20"&amp;[1]!J_GregorianDate(A43)</f>
        <v>2024/08/20</v>
      </c>
      <c r="C43" s="1" t="s">
        <v>65</v>
      </c>
      <c r="D43" s="15">
        <v>713844000000</v>
      </c>
    </row>
    <row r="44" spans="1:4" x14ac:dyDescent="0.2">
      <c r="A44" s="1" t="s">
        <v>61</v>
      </c>
      <c r="B44" s="1" t="str" cm="1">
        <f t="array" ref="B44">"20"&amp;[1]!J_GregorianDate(A44)</f>
        <v>2024/08/20</v>
      </c>
      <c r="C44" s="1" t="s">
        <v>66</v>
      </c>
      <c r="D44" s="15">
        <v>512268120000</v>
      </c>
    </row>
    <row r="45" spans="1:4" x14ac:dyDescent="0.2">
      <c r="A45" s="1" t="s">
        <v>67</v>
      </c>
      <c r="B45" s="1" t="str" cm="1">
        <f t="array" ref="B45">"20"&amp;[1]!J_GregorianDate(A45)</f>
        <v>2024/08/31</v>
      </c>
      <c r="C45" s="1" t="s">
        <v>68</v>
      </c>
      <c r="D45" s="15">
        <v>598140000000</v>
      </c>
    </row>
    <row r="46" spans="1:4" x14ac:dyDescent="0.2">
      <c r="A46" s="1" t="s">
        <v>69</v>
      </c>
      <c r="B46" s="1" t="str" cm="1">
        <f t="array" ref="B46">"20"&amp;[1]!J_GregorianDate(A46)</f>
        <v>2024/09/09</v>
      </c>
      <c r="C46" s="1" t="s">
        <v>70</v>
      </c>
      <c r="D46" s="15">
        <v>-650000000000</v>
      </c>
    </row>
    <row r="47" spans="1:4" x14ac:dyDescent="0.2">
      <c r="A47" s="1" t="s">
        <v>69</v>
      </c>
      <c r="B47" s="1" t="str" cm="1">
        <f t="array" ref="B47">"20"&amp;[1]!J_GregorianDate(A47)</f>
        <v>2024/09/09</v>
      </c>
      <c r="C47" s="1" t="s">
        <v>71</v>
      </c>
      <c r="D47" s="15">
        <v>-201029406210</v>
      </c>
    </row>
    <row r="48" spans="1:4" x14ac:dyDescent="0.2">
      <c r="A48" s="1" t="s">
        <v>69</v>
      </c>
      <c r="B48" s="1" t="str" cm="1">
        <f t="array" ref="B48">"20"&amp;[1]!J_GregorianDate(A48)</f>
        <v>2024/09/09</v>
      </c>
      <c r="C48" s="1" t="s">
        <v>72</v>
      </c>
      <c r="D48" s="15">
        <v>-1648801350000</v>
      </c>
    </row>
    <row r="49" spans="1:4" x14ac:dyDescent="0.2">
      <c r="A49" s="1" t="s">
        <v>73</v>
      </c>
      <c r="B49" s="1" t="str" cm="1">
        <f t="array" ref="B49">"20"&amp;[1]!J_GregorianDate(A49)</f>
        <v>2024/09/11</v>
      </c>
      <c r="C49" s="1" t="s">
        <v>74</v>
      </c>
      <c r="D49" s="15">
        <v>-200100000000</v>
      </c>
    </row>
    <row r="50" spans="1:4" x14ac:dyDescent="0.2">
      <c r="A50" s="1" t="s">
        <v>73</v>
      </c>
      <c r="B50" s="1" t="str" cm="1">
        <f t="array" ref="B50">"20"&amp;[1]!J_GregorianDate(A50)</f>
        <v>2024/09/11</v>
      </c>
      <c r="C50" s="1" t="s">
        <v>75</v>
      </c>
      <c r="D50" s="15">
        <v>-299702945000</v>
      </c>
    </row>
    <row r="51" spans="1:4" x14ac:dyDescent="0.2">
      <c r="A51" s="1" t="s">
        <v>76</v>
      </c>
      <c r="B51" s="1" t="str" cm="1">
        <f t="array" ref="B51">"20"&amp;[1]!J_GregorianDate(A51)</f>
        <v>2024/09/22</v>
      </c>
      <c r="C51" s="1" t="s">
        <v>77</v>
      </c>
      <c r="D51" s="15">
        <v>-1797318900000</v>
      </c>
    </row>
    <row r="52" spans="1:4" x14ac:dyDescent="0.2">
      <c r="A52" s="1" t="s">
        <v>76</v>
      </c>
      <c r="B52" s="1" t="str" cm="1">
        <f t="array" ref="B52">"20"&amp;[1]!J_GregorianDate(A52)</f>
        <v>2024/09/22</v>
      </c>
      <c r="C52" s="1" t="s">
        <v>78</v>
      </c>
      <c r="D52" s="15">
        <v>-502055290000</v>
      </c>
    </row>
    <row r="53" spans="1:4" x14ac:dyDescent="0.2">
      <c r="A53" s="1" t="s">
        <v>76</v>
      </c>
      <c r="B53" s="1" t="str" cm="1">
        <f t="array" ref="B53">"20"&amp;[1]!J_GregorianDate(A53)</f>
        <v>2024/09/22</v>
      </c>
      <c r="C53" s="1" t="s">
        <v>79</v>
      </c>
      <c r="D53" s="15">
        <v>-499509500000</v>
      </c>
    </row>
    <row r="54" spans="1:4" x14ac:dyDescent="0.2">
      <c r="A54" s="1" t="s">
        <v>76</v>
      </c>
      <c r="B54" s="1" t="str" cm="1">
        <f t="array" ref="B54">"20"&amp;[1]!J_GregorianDate(A54)</f>
        <v>2024/09/22</v>
      </c>
      <c r="C54" s="1" t="s">
        <v>80</v>
      </c>
      <c r="D54" s="15">
        <v>-499797400000</v>
      </c>
    </row>
    <row r="55" spans="1:4" x14ac:dyDescent="0.2">
      <c r="A55" s="1" t="s">
        <v>76</v>
      </c>
      <c r="B55" s="1" t="str" cm="1">
        <f t="array" ref="B55">"20"&amp;[1]!J_GregorianDate(A55)</f>
        <v>2024/09/22</v>
      </c>
      <c r="C55" s="1" t="s">
        <v>81</v>
      </c>
      <c r="D55" s="15">
        <v>-200363900000</v>
      </c>
    </row>
    <row r="56" spans="1:4" x14ac:dyDescent="0.2">
      <c r="A56" s="1" t="s">
        <v>82</v>
      </c>
      <c r="B56" s="1" t="str" cm="1">
        <f t="array" ref="B56">"20"&amp;[1]!J_GregorianDate(A56)</f>
        <v>2024/09/23</v>
      </c>
      <c r="C56" s="1" t="s">
        <v>83</v>
      </c>
      <c r="D56" s="15">
        <v>-499989636000</v>
      </c>
    </row>
    <row r="57" spans="1:4" x14ac:dyDescent="0.2">
      <c r="A57" s="1" t="s">
        <v>82</v>
      </c>
      <c r="B57" s="1" t="str" cm="1">
        <f t="array" ref="B57">"20"&amp;[1]!J_GregorianDate(A57)</f>
        <v>2024/09/23</v>
      </c>
      <c r="C57" s="1" t="s">
        <v>84</v>
      </c>
      <c r="D57" s="15">
        <v>-1499992450000</v>
      </c>
    </row>
    <row r="58" spans="1:4" x14ac:dyDescent="0.2">
      <c r="A58" s="1" t="s">
        <v>85</v>
      </c>
      <c r="B58" s="1" t="str" cm="1">
        <f t="array" ref="B58">"20"&amp;[1]!J_GregorianDate(A58)</f>
        <v>2024/10/01</v>
      </c>
      <c r="C58" s="1" t="s">
        <v>86</v>
      </c>
      <c r="D58" s="15">
        <v>-1499746400000</v>
      </c>
    </row>
    <row r="59" spans="1:4" x14ac:dyDescent="0.2">
      <c r="A59" s="1" t="s">
        <v>85</v>
      </c>
      <c r="B59" s="1" t="str" cm="1">
        <f t="array" ref="B59">"20"&amp;[1]!J_GregorianDate(A59)</f>
        <v>2024/10/01</v>
      </c>
      <c r="C59" s="1" t="s">
        <v>87</v>
      </c>
      <c r="D59" s="15">
        <v>-999825080000</v>
      </c>
    </row>
    <row r="60" spans="1:4" x14ac:dyDescent="0.2">
      <c r="A60" s="1" t="s">
        <v>88</v>
      </c>
      <c r="B60" s="1" t="str" cm="1">
        <f t="array" ref="B60">"20"&amp;[1]!J_GregorianDate(A60)</f>
        <v>2024/10/07</v>
      </c>
      <c r="C60" s="1" t="s">
        <v>89</v>
      </c>
      <c r="D60" s="15">
        <v>-999898305000</v>
      </c>
    </row>
    <row r="61" spans="1:4" x14ac:dyDescent="0.2">
      <c r="A61" s="1" t="s">
        <v>88</v>
      </c>
      <c r="B61" s="1" t="str" cm="1">
        <f t="array" ref="B61">"20"&amp;[1]!J_GregorianDate(A61)</f>
        <v>2024/10/07</v>
      </c>
      <c r="C61" s="1" t="s">
        <v>90</v>
      </c>
      <c r="D61" s="15">
        <v>-999715500000</v>
      </c>
    </row>
    <row r="62" spans="1:4" x14ac:dyDescent="0.2">
      <c r="A62" s="1" t="s">
        <v>91</v>
      </c>
      <c r="B62" s="1" t="str" cm="1">
        <f t="array" ref="B62">"20"&amp;[1]!J_GregorianDate(A62)</f>
        <v>2024/10/15</v>
      </c>
      <c r="C62" s="1" t="s">
        <v>92</v>
      </c>
      <c r="D62" s="15">
        <v>358465500000</v>
      </c>
    </row>
    <row r="63" spans="1:4" x14ac:dyDescent="0.2">
      <c r="A63" s="1" t="s">
        <v>91</v>
      </c>
      <c r="B63" s="1" t="str" cm="1">
        <f t="array" ref="B63">"20"&amp;[1]!J_GregorianDate(A63)</f>
        <v>2024/10/15</v>
      </c>
      <c r="C63" s="1" t="s">
        <v>93</v>
      </c>
      <c r="D63" s="15">
        <v>1319830000000</v>
      </c>
    </row>
    <row r="64" spans="1:4" x14ac:dyDescent="0.2">
      <c r="A64" s="1" t="s">
        <v>91</v>
      </c>
      <c r="B64" s="1" t="str" cm="1">
        <f t="array" ref="B64">"20"&amp;[1]!J_GregorianDate(A64)</f>
        <v>2024/10/15</v>
      </c>
      <c r="C64" s="1" t="s">
        <v>94</v>
      </c>
      <c r="D64" s="15">
        <v>514900000000</v>
      </c>
    </row>
    <row r="65" spans="1:4" x14ac:dyDescent="0.2">
      <c r="A65" s="1" t="s">
        <v>91</v>
      </c>
      <c r="B65" s="1" t="str" cm="1">
        <f t="array" ref="B65">"20"&amp;[1]!J_GregorianDate(A65)</f>
        <v>2024/10/15</v>
      </c>
      <c r="C65" s="1" t="s">
        <v>95</v>
      </c>
      <c r="D65" s="15">
        <v>433278960000</v>
      </c>
    </row>
    <row r="66" spans="1:4" x14ac:dyDescent="0.2">
      <c r="A66" s="1" t="s">
        <v>91</v>
      </c>
      <c r="B66" s="1" t="str" cm="1">
        <f t="array" ref="B66">"20"&amp;[1]!J_GregorianDate(A66)</f>
        <v>2024/10/15</v>
      </c>
      <c r="C66" s="1" t="s">
        <v>96</v>
      </c>
      <c r="D66" s="15">
        <v>508780300000</v>
      </c>
    </row>
    <row r="67" spans="1:4" x14ac:dyDescent="0.2">
      <c r="A67" s="1" t="s">
        <v>91</v>
      </c>
      <c r="B67" s="1" t="str" cm="1">
        <f t="array" ref="B67">"20"&amp;[1]!J_GregorianDate(A67)</f>
        <v>2024/10/15</v>
      </c>
      <c r="C67" s="1" t="s">
        <v>97</v>
      </c>
      <c r="D67" s="15">
        <v>1059060000000</v>
      </c>
    </row>
    <row r="68" spans="1:4" x14ac:dyDescent="0.2">
      <c r="A68" s="1" t="s">
        <v>91</v>
      </c>
      <c r="B68" s="1" t="str" cm="1">
        <f t="array" ref="B68">"20"&amp;[1]!J_GregorianDate(A68)</f>
        <v>2024/10/15</v>
      </c>
      <c r="C68" s="1" t="s">
        <v>98</v>
      </c>
      <c r="D68" s="15">
        <v>-4180288000000</v>
      </c>
    </row>
    <row r="69" spans="1:4" x14ac:dyDescent="0.2">
      <c r="A69" s="1" t="s">
        <v>99</v>
      </c>
      <c r="B69" s="1" t="str" cm="1">
        <f t="array" ref="B69">"20"&amp;[1]!J_GregorianDate(A69)</f>
        <v>2024/10/20</v>
      </c>
      <c r="C69" s="1" t="s">
        <v>100</v>
      </c>
      <c r="D69" s="15">
        <v>1831011000000</v>
      </c>
    </row>
    <row r="70" spans="1:4" x14ac:dyDescent="0.2">
      <c r="A70" s="1" t="s">
        <v>99</v>
      </c>
      <c r="B70" s="1" t="str" cm="1">
        <f t="array" ref="B70">"20"&amp;[1]!J_GregorianDate(A70)</f>
        <v>2024/10/20</v>
      </c>
      <c r="C70" s="1" t="s">
        <v>101</v>
      </c>
      <c r="D70" s="15">
        <v>2429900000000</v>
      </c>
    </row>
    <row r="71" spans="1:4" x14ac:dyDescent="0.2">
      <c r="A71" s="1" t="s">
        <v>99</v>
      </c>
      <c r="B71" s="1" t="str" cm="1">
        <f t="array" ref="B71">"20"&amp;[1]!J_GregorianDate(A71)</f>
        <v>2024/10/20</v>
      </c>
      <c r="C71" s="1" t="s">
        <v>102</v>
      </c>
      <c r="D71" s="15">
        <v>885850000000</v>
      </c>
    </row>
    <row r="72" spans="1:4" x14ac:dyDescent="0.2">
      <c r="A72" s="1" t="s">
        <v>99</v>
      </c>
      <c r="B72" s="1" t="str" cm="1">
        <f t="array" ref="B72">"20"&amp;[1]!J_GregorianDate(A72)</f>
        <v>2024/10/20</v>
      </c>
      <c r="C72" s="1" t="s">
        <v>103</v>
      </c>
      <c r="D72" s="15">
        <v>1646406000000</v>
      </c>
    </row>
    <row r="73" spans="1:4" x14ac:dyDescent="0.2">
      <c r="A73" s="1" t="s">
        <v>99</v>
      </c>
      <c r="B73" s="1" t="str" cm="1">
        <f t="array" ref="B73">"20"&amp;[1]!J_GregorianDate(A73)</f>
        <v>2024/10/20</v>
      </c>
      <c r="C73" s="1" t="s">
        <v>104</v>
      </c>
      <c r="D73" s="15">
        <v>1015440000000</v>
      </c>
    </row>
    <row r="74" spans="1:4" x14ac:dyDescent="0.2">
      <c r="A74" s="1" t="s">
        <v>99</v>
      </c>
      <c r="B74" s="1" t="str" cm="1">
        <f t="array" ref="B74">"20"&amp;[1]!J_GregorianDate(A74)</f>
        <v>2024/10/20</v>
      </c>
      <c r="C74" s="1" t="s">
        <v>105</v>
      </c>
      <c r="D74" s="15">
        <v>937758000000</v>
      </c>
    </row>
    <row r="75" spans="1:4" x14ac:dyDescent="0.2">
      <c r="A75" s="1" t="s">
        <v>106</v>
      </c>
      <c r="B75" s="1" t="str" cm="1">
        <f t="array" ref="B75">"20"&amp;[1]!J_GregorianDate(A75)</f>
        <v>2024/11/02</v>
      </c>
      <c r="C75" s="1" t="s">
        <v>107</v>
      </c>
      <c r="D75" s="15">
        <v>166836000000</v>
      </c>
    </row>
    <row r="76" spans="1:4" x14ac:dyDescent="0.2">
      <c r="A76" s="1" t="s">
        <v>106</v>
      </c>
      <c r="B76" s="1" t="str" cm="1">
        <f t="array" ref="B76">"20"&amp;[1]!J_GregorianDate(A76)</f>
        <v>2024/11/02</v>
      </c>
      <c r="C76" s="1" t="s">
        <v>108</v>
      </c>
      <c r="D76" s="15">
        <v>250473600000</v>
      </c>
    </row>
    <row r="77" spans="1:4" x14ac:dyDescent="0.2">
      <c r="A77" s="1" t="s">
        <v>106</v>
      </c>
      <c r="B77" s="1" t="str" cm="1">
        <f t="array" ref="B77">"20"&amp;[1]!J_GregorianDate(A77)</f>
        <v>2024/11/02</v>
      </c>
      <c r="C77" s="1" t="s">
        <v>109</v>
      </c>
      <c r="D77" s="15">
        <v>84130000000</v>
      </c>
    </row>
    <row r="78" spans="1:4" x14ac:dyDescent="0.2">
      <c r="A78" s="1" t="s">
        <v>106</v>
      </c>
      <c r="B78" s="1" t="str" cm="1">
        <f t="array" ref="B78">"20"&amp;[1]!J_GregorianDate(A78)</f>
        <v>2024/11/02</v>
      </c>
      <c r="C78" s="1" t="s">
        <v>110</v>
      </c>
      <c r="D78" s="15">
        <v>416535700000</v>
      </c>
    </row>
    <row r="79" spans="1:4" x14ac:dyDescent="0.2">
      <c r="A79" s="1" t="s">
        <v>106</v>
      </c>
      <c r="B79" s="1" t="str" cm="1">
        <f t="array" ref="B79">"20"&amp;[1]!J_GregorianDate(A79)</f>
        <v>2024/11/02</v>
      </c>
      <c r="C79" s="1" t="s">
        <v>111</v>
      </c>
      <c r="D79" s="15">
        <v>333411000000</v>
      </c>
    </row>
    <row r="80" spans="1:4" x14ac:dyDescent="0.2">
      <c r="A80" s="1" t="s">
        <v>106</v>
      </c>
      <c r="B80" s="1" t="str" cm="1">
        <f t="array" ref="B80">"20"&amp;[1]!J_GregorianDate(A80)</f>
        <v>2024/11/02</v>
      </c>
      <c r="C80" s="1" t="s">
        <v>112</v>
      </c>
      <c r="D80" s="15">
        <v>250417500000</v>
      </c>
    </row>
    <row r="81" spans="1:4" x14ac:dyDescent="0.2">
      <c r="A81" s="1" t="s">
        <v>113</v>
      </c>
      <c r="B81" s="1" t="str" cm="1">
        <f t="array" ref="B81">"20"&amp;[1]!J_GregorianDate(A81)</f>
        <v>2024/11/26</v>
      </c>
      <c r="C81" s="1" t="s">
        <v>114</v>
      </c>
      <c r="D81" s="15">
        <v>-699847864000</v>
      </c>
    </row>
    <row r="82" spans="1:4" x14ac:dyDescent="0.2">
      <c r="A82" s="1" t="s">
        <v>113</v>
      </c>
      <c r="B82" s="1" t="str" cm="1">
        <f t="array" ref="B82">"20"&amp;[1]!J_GregorianDate(A82)</f>
        <v>2024/11/26</v>
      </c>
      <c r="C82" s="1" t="s">
        <v>115</v>
      </c>
      <c r="D82" s="15">
        <v>-799841847000</v>
      </c>
    </row>
    <row r="83" spans="1:4" x14ac:dyDescent="0.2">
      <c r="A83" s="1" t="s">
        <v>113</v>
      </c>
      <c r="B83" s="1" t="str" cm="1">
        <f t="array" ref="B83">"20"&amp;[1]!J_GregorianDate(A83)</f>
        <v>2024/11/26</v>
      </c>
      <c r="C83" s="1" t="s">
        <v>116</v>
      </c>
      <c r="D83" s="15">
        <v>-499904640000</v>
      </c>
    </row>
  </sheetData>
  <autoFilter ref="A1:D83" xr:uid="{6E2DE1B6-C21B-49F7-8C63-9033CD6CC78D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A77B4-BE13-468E-B224-EDBD762CFE74}">
  <dimension ref="A1:I83"/>
  <sheetViews>
    <sheetView rightToLeft="1" topLeftCell="C52" workbookViewId="0">
      <selection activeCell="I52" sqref="I1:I1048576"/>
    </sheetView>
  </sheetViews>
  <sheetFormatPr defaultRowHeight="12.75" x14ac:dyDescent="0.2"/>
  <cols>
    <col min="1" max="1" width="11.42578125" customWidth="1"/>
    <col min="2" max="2" width="118.7109375" customWidth="1"/>
    <col min="3" max="3" width="20.140625" style="16" customWidth="1"/>
    <col min="4" max="4" width="20.5703125" customWidth="1"/>
    <col min="5" max="5" width="19" style="18" customWidth="1"/>
    <col min="6" max="6" width="19" style="19" customWidth="1"/>
    <col min="9" max="9" width="22.140625" customWidth="1"/>
  </cols>
  <sheetData>
    <row r="1" spans="1:9" x14ac:dyDescent="0.2">
      <c r="A1" s="3" t="s">
        <v>0</v>
      </c>
      <c r="B1" s="3" t="s">
        <v>1</v>
      </c>
      <c r="C1" s="14" t="s">
        <v>2</v>
      </c>
      <c r="D1" s="3" t="s">
        <v>3</v>
      </c>
      <c r="I1" s="17" t="s">
        <v>186</v>
      </c>
    </row>
    <row r="2" spans="1:9" x14ac:dyDescent="0.2">
      <c r="A2" s="1" t="s">
        <v>5</v>
      </c>
      <c r="B2" s="1" t="s">
        <v>6</v>
      </c>
      <c r="C2" s="15">
        <f>-182610000000</f>
        <v>-182610000000</v>
      </c>
      <c r="D2" s="2">
        <v>0</v>
      </c>
      <c r="E2"/>
    </row>
    <row r="3" spans="1:9" x14ac:dyDescent="0.2">
      <c r="A3" s="1" t="s">
        <v>7</v>
      </c>
      <c r="B3" s="1" t="s">
        <v>8</v>
      </c>
      <c r="C3" s="15">
        <f>-316896380000</f>
        <v>-316896380000</v>
      </c>
      <c r="D3" s="2">
        <v>0</v>
      </c>
      <c r="E3"/>
    </row>
    <row r="4" spans="1:9" x14ac:dyDescent="0.2">
      <c r="A4" s="1" t="s">
        <v>7</v>
      </c>
      <c r="B4" s="1" t="s">
        <v>9</v>
      </c>
      <c r="C4" s="15">
        <f>-499789440000</f>
        <v>-499789440000</v>
      </c>
      <c r="D4" s="2">
        <v>0</v>
      </c>
      <c r="E4"/>
    </row>
    <row r="5" spans="1:9" x14ac:dyDescent="0.2">
      <c r="A5" s="1" t="s">
        <v>10</v>
      </c>
      <c r="B5" s="1" t="s">
        <v>11</v>
      </c>
      <c r="C5" s="15">
        <f>-194454000000</f>
        <v>-194454000000</v>
      </c>
      <c r="D5" s="2">
        <v>0</v>
      </c>
      <c r="E5"/>
    </row>
    <row r="6" spans="1:9" x14ac:dyDescent="0.2">
      <c r="A6" s="1" t="s">
        <v>12</v>
      </c>
      <c r="B6" s="1" t="s">
        <v>13</v>
      </c>
      <c r="C6" s="15">
        <f>-305853000000</f>
        <v>-305853000000</v>
      </c>
      <c r="D6" s="2">
        <v>0</v>
      </c>
      <c r="E6"/>
    </row>
    <row r="7" spans="1:9" x14ac:dyDescent="0.2">
      <c r="A7" s="1" t="s">
        <v>14</v>
      </c>
      <c r="B7" s="1" t="s">
        <v>15</v>
      </c>
      <c r="C7" s="15">
        <f>-499689400000</f>
        <v>-499689400000</v>
      </c>
      <c r="D7" s="2">
        <v>0</v>
      </c>
    </row>
    <row r="8" spans="1:9" x14ac:dyDescent="0.2">
      <c r="A8" s="1" t="s">
        <v>14</v>
      </c>
      <c r="B8" s="1" t="s">
        <v>16</v>
      </c>
      <c r="C8" s="15">
        <f>-499812650000</f>
        <v>-499812650000</v>
      </c>
      <c r="D8" s="2">
        <v>0</v>
      </c>
      <c r="E8"/>
    </row>
    <row r="9" spans="1:9" x14ac:dyDescent="0.2">
      <c r="A9" s="1" t="s">
        <v>17</v>
      </c>
      <c r="B9" s="1" t="s">
        <v>18</v>
      </c>
      <c r="C9" s="15">
        <v>499689400000</v>
      </c>
      <c r="D9" s="2">
        <v>499689400000</v>
      </c>
      <c r="E9" s="18" t="str">
        <f>MID(B9,16,11)</f>
        <v xml:space="preserve"> 24.100.000</v>
      </c>
      <c r="F9" s="19">
        <v>24100000</v>
      </c>
      <c r="G9">
        <f>9+FIND("نرخ متوسط",B9)</f>
        <v>103</v>
      </c>
      <c r="H9">
        <v>20826</v>
      </c>
      <c r="I9" s="16">
        <v>501906600000</v>
      </c>
    </row>
    <row r="10" spans="1:9" x14ac:dyDescent="0.2">
      <c r="A10" s="1" t="s">
        <v>17</v>
      </c>
      <c r="B10" s="1" t="s">
        <v>19</v>
      </c>
      <c r="C10" s="15">
        <v>499812650000</v>
      </c>
      <c r="D10" s="2">
        <v>499812650000</v>
      </c>
      <c r="E10" s="18" t="str">
        <f>MID(B10,16,11)</f>
        <v xml:space="preserve"> 19.055.000</v>
      </c>
      <c r="F10" s="19">
        <v>19055000</v>
      </c>
      <c r="G10">
        <f>9+FIND("نرخ متوسط",B10)</f>
        <v>102</v>
      </c>
      <c r="H10">
        <v>26347</v>
      </c>
      <c r="I10" s="16">
        <v>502042085000</v>
      </c>
    </row>
    <row r="11" spans="1:9" x14ac:dyDescent="0.2">
      <c r="A11" s="1" t="s">
        <v>17</v>
      </c>
      <c r="B11" s="1" t="s">
        <v>20</v>
      </c>
      <c r="C11" s="15">
        <v>305853000000</v>
      </c>
      <c r="D11" s="2">
        <v>305853000000</v>
      </c>
      <c r="E11" s="18" t="str">
        <f t="shared" ref="E11:E13" si="0">MID(B11,16,11)</f>
        <v xml:space="preserve"> 13.450.000</v>
      </c>
      <c r="F11" s="19">
        <v>13450000</v>
      </c>
      <c r="G11">
        <f>9+FIND("نرخ متوسط",B11)</f>
        <v>103</v>
      </c>
      <c r="H11">
        <v>22954</v>
      </c>
      <c r="I11" s="16">
        <v>308731300000</v>
      </c>
    </row>
    <row r="12" spans="1:9" x14ac:dyDescent="0.2">
      <c r="A12" s="1" t="s">
        <v>17</v>
      </c>
      <c r="B12" s="1" t="s">
        <v>21</v>
      </c>
      <c r="C12" s="15">
        <v>499506380000</v>
      </c>
      <c r="D12" s="2">
        <v>499506380000</v>
      </c>
      <c r="E12" s="18" t="str">
        <f t="shared" si="0"/>
        <v xml:space="preserve"> 27.330.000</v>
      </c>
      <c r="F12" s="19">
        <v>27330000</v>
      </c>
      <c r="G12">
        <f>9+FIND("نرخ متوسط",B12)</f>
        <v>97</v>
      </c>
      <c r="H12">
        <v>18478</v>
      </c>
      <c r="I12" s="16">
        <v>505003740000</v>
      </c>
    </row>
    <row r="13" spans="1:9" x14ac:dyDescent="0.2">
      <c r="A13" s="1" t="s">
        <v>17</v>
      </c>
      <c r="B13" s="1" t="s">
        <v>22</v>
      </c>
      <c r="C13" s="15">
        <v>694243440000</v>
      </c>
      <c r="D13" s="2">
        <v>694243440000</v>
      </c>
      <c r="E13" s="18" t="str">
        <f t="shared" si="0"/>
        <v xml:space="preserve"> 46.480.000</v>
      </c>
      <c r="F13" s="19">
        <v>46480000</v>
      </c>
      <c r="G13">
        <f>9+FIND("نرخ متوسط",B13)</f>
        <v>99</v>
      </c>
      <c r="H13">
        <v>15084</v>
      </c>
      <c r="I13" s="16">
        <v>701104320000</v>
      </c>
    </row>
    <row r="14" spans="1:9" x14ac:dyDescent="0.2">
      <c r="A14" s="1" t="s">
        <v>23</v>
      </c>
      <c r="B14" s="1" t="s">
        <v>24</v>
      </c>
      <c r="C14" s="15">
        <f>-986272000000</f>
        <v>-986272000000</v>
      </c>
      <c r="D14" s="2">
        <v>0</v>
      </c>
      <c r="E14"/>
      <c r="G14" t="e">
        <f>MID(#REF!,31,7)</f>
        <v>#REF!</v>
      </c>
      <c r="I14" s="16">
        <v>0</v>
      </c>
    </row>
    <row r="15" spans="1:9" x14ac:dyDescent="0.2">
      <c r="A15" s="1" t="s">
        <v>23</v>
      </c>
      <c r="B15" s="1" t="s">
        <v>25</v>
      </c>
      <c r="C15" s="15">
        <f>-11613000000</f>
        <v>-11613000000</v>
      </c>
      <c r="D15" s="2">
        <v>0</v>
      </c>
      <c r="E15"/>
      <c r="G15" t="e">
        <f>MID(#REF!,31,6)</f>
        <v>#REF!</v>
      </c>
      <c r="I15" s="16">
        <v>0</v>
      </c>
    </row>
    <row r="16" spans="1:9" x14ac:dyDescent="0.2">
      <c r="A16" s="1" t="s">
        <v>23</v>
      </c>
      <c r="B16" s="1" t="s">
        <v>26</v>
      </c>
      <c r="C16" s="15">
        <f>-999796596000</f>
        <v>-999796596000</v>
      </c>
      <c r="D16" s="2">
        <v>0</v>
      </c>
      <c r="E16"/>
      <c r="G16" t="e">
        <f>MID(#REF!,31,6)</f>
        <v>#REF!</v>
      </c>
      <c r="I16" s="16">
        <v>0</v>
      </c>
    </row>
    <row r="17" spans="1:9" x14ac:dyDescent="0.2">
      <c r="A17" s="1" t="s">
        <v>23</v>
      </c>
      <c r="B17" s="1" t="s">
        <v>27</v>
      </c>
      <c r="C17" s="15">
        <f>-299848500000</f>
        <v>-299848500000</v>
      </c>
      <c r="D17" s="2">
        <v>0</v>
      </c>
      <c r="E17"/>
      <c r="G17" t="e">
        <f>MID(#REF!,31,6)</f>
        <v>#REF!</v>
      </c>
      <c r="I17" s="16">
        <v>0</v>
      </c>
    </row>
    <row r="18" spans="1:9" x14ac:dyDescent="0.2">
      <c r="A18" s="1" t="s">
        <v>23</v>
      </c>
      <c r="B18" s="1" t="s">
        <v>28</v>
      </c>
      <c r="C18" s="15">
        <f>-199300500000</f>
        <v>-199300500000</v>
      </c>
      <c r="D18" s="2">
        <v>0</v>
      </c>
      <c r="E18"/>
      <c r="G18" t="e">
        <f>MID(#REF!,33,6)</f>
        <v>#REF!</v>
      </c>
      <c r="I18" s="16">
        <v>0</v>
      </c>
    </row>
    <row r="19" spans="1:9" x14ac:dyDescent="0.2">
      <c r="A19" s="1" t="s">
        <v>29</v>
      </c>
      <c r="B19" s="1" t="s">
        <v>30</v>
      </c>
      <c r="C19" s="15">
        <v>-99706035780</v>
      </c>
      <c r="D19" s="2">
        <v>0</v>
      </c>
      <c r="E19"/>
      <c r="G19" t="e">
        <f>MID(#REF!,31,6)</f>
        <v>#REF!</v>
      </c>
      <c r="I19" s="16">
        <v>0</v>
      </c>
    </row>
    <row r="20" spans="1:9" x14ac:dyDescent="0.2">
      <c r="A20" s="1" t="s">
        <v>31</v>
      </c>
      <c r="B20" s="1" t="s">
        <v>32</v>
      </c>
      <c r="C20" s="15">
        <v>2001528372</v>
      </c>
      <c r="D20" s="2">
        <v>2001528372</v>
      </c>
      <c r="E20" s="18" t="str">
        <f t="shared" ref="E20:E23" si="1">MID(B20,17,8)</f>
        <v xml:space="preserve">200.000 </v>
      </c>
      <c r="F20" s="19">
        <v>200000</v>
      </c>
      <c r="G20">
        <f>9+FIND("نرخ متوسط",B20)</f>
        <v>97</v>
      </c>
      <c r="H20">
        <v>10158</v>
      </c>
      <c r="I20" s="16">
        <v>2031600000</v>
      </c>
    </row>
    <row r="21" spans="1:9" x14ac:dyDescent="0.2">
      <c r="A21" s="1" t="s">
        <v>33</v>
      </c>
      <c r="B21" s="1" t="s">
        <v>34</v>
      </c>
      <c r="C21" s="15">
        <v>2273826299</v>
      </c>
      <c r="D21" s="2">
        <v>2273826299</v>
      </c>
      <c r="E21" s="18" t="str">
        <f t="shared" si="1"/>
        <v xml:space="preserve">227.209 </v>
      </c>
      <c r="F21" s="19">
        <v>227209</v>
      </c>
      <c r="G21">
        <f>9+FIND("نرخ متوسط",B21)</f>
        <v>97</v>
      </c>
      <c r="H21">
        <v>10009</v>
      </c>
      <c r="I21" s="16">
        <v>2274134881</v>
      </c>
    </row>
    <row r="22" spans="1:9" x14ac:dyDescent="0.2">
      <c r="A22" s="1" t="s">
        <v>35</v>
      </c>
      <c r="B22" s="1" t="s">
        <v>36</v>
      </c>
      <c r="C22" s="15">
        <v>2992635184</v>
      </c>
      <c r="D22" s="2">
        <v>2992635184</v>
      </c>
      <c r="E22" s="18" t="str">
        <f>MID(B22,17,7)</f>
        <v>299.035</v>
      </c>
      <c r="F22" s="19">
        <v>299035</v>
      </c>
      <c r="G22">
        <f>9+FIND("نرخ متوسط",B22)</f>
        <v>96</v>
      </c>
      <c r="H22">
        <v>10006</v>
      </c>
      <c r="I22" s="16">
        <v>2992144210</v>
      </c>
    </row>
    <row r="23" spans="1:9" x14ac:dyDescent="0.2">
      <c r="A23" s="1" t="s">
        <v>37</v>
      </c>
      <c r="B23" s="1" t="s">
        <v>38</v>
      </c>
      <c r="C23" s="15">
        <v>3002292558</v>
      </c>
      <c r="D23" s="2">
        <v>3002292558</v>
      </c>
      <c r="E23" s="18" t="str">
        <f t="shared" si="1"/>
        <v xml:space="preserve">300.000 </v>
      </c>
      <c r="F23" s="19">
        <v>300000</v>
      </c>
      <c r="G23">
        <f>9+FIND("نرخ متوسط",B23)</f>
        <v>97</v>
      </c>
      <c r="H23">
        <v>10030</v>
      </c>
      <c r="I23" s="16">
        <v>3009000000</v>
      </c>
    </row>
    <row r="24" spans="1:9" x14ac:dyDescent="0.2">
      <c r="A24" s="1" t="s">
        <v>39</v>
      </c>
      <c r="B24" s="1" t="s">
        <v>40</v>
      </c>
      <c r="C24" s="15">
        <f>-1499761350000</f>
        <v>-1499761350000</v>
      </c>
      <c r="D24" s="2">
        <v>0</v>
      </c>
      <c r="E24"/>
      <c r="G24" t="e">
        <f>MID(#REF!,104,6)</f>
        <v>#REF!</v>
      </c>
      <c r="I24" s="16">
        <v>0</v>
      </c>
    </row>
    <row r="25" spans="1:9" x14ac:dyDescent="0.2">
      <c r="A25" s="1" t="s">
        <v>39</v>
      </c>
      <c r="B25" s="1" t="s">
        <v>41</v>
      </c>
      <c r="C25" s="15">
        <f>-799919990708</f>
        <v>-799919990708</v>
      </c>
      <c r="D25" s="2">
        <v>0</v>
      </c>
      <c r="E25"/>
      <c r="G25" t="e">
        <f>MID(#REF!,97,6)</f>
        <v>#REF!</v>
      </c>
      <c r="I25" s="16">
        <v>0</v>
      </c>
    </row>
    <row r="26" spans="1:9" x14ac:dyDescent="0.2">
      <c r="A26" s="1" t="s">
        <v>39</v>
      </c>
      <c r="B26" s="1" t="s">
        <v>42</v>
      </c>
      <c r="C26" s="15">
        <f>-699827700000</f>
        <v>-699827700000</v>
      </c>
      <c r="D26" s="2">
        <v>0</v>
      </c>
      <c r="E26"/>
      <c r="G26" t="e">
        <f>MID(#REF!,98,6)</f>
        <v>#REF!</v>
      </c>
      <c r="I26" s="16">
        <v>0</v>
      </c>
    </row>
    <row r="27" spans="1:9" x14ac:dyDescent="0.2">
      <c r="A27" s="1" t="s">
        <v>39</v>
      </c>
      <c r="B27" s="1" t="s">
        <v>43</v>
      </c>
      <c r="C27" s="15">
        <v>67551582558</v>
      </c>
      <c r="D27" s="2">
        <v>67551582558</v>
      </c>
      <c r="E27" s="18" t="str">
        <f t="shared" ref="E27:E31" si="2">MID(B27,16,11)</f>
        <v xml:space="preserve"> 6.750.000 </v>
      </c>
      <c r="F27" s="19">
        <v>6750000</v>
      </c>
      <c r="G27">
        <f>9+FIND("نرخ متوسط",B27)</f>
        <v>99</v>
      </c>
      <c r="H27">
        <v>10020</v>
      </c>
      <c r="I27" s="16">
        <v>67635000000</v>
      </c>
    </row>
    <row r="28" spans="1:9" x14ac:dyDescent="0.2">
      <c r="A28" s="1" t="s">
        <v>44</v>
      </c>
      <c r="B28" s="1" t="s">
        <v>45</v>
      </c>
      <c r="C28" s="15">
        <v>1200917023</v>
      </c>
      <c r="D28" s="2">
        <v>1200917023</v>
      </c>
      <c r="E28" s="18" t="str">
        <f>MID(B28,16,8)</f>
        <v xml:space="preserve"> 120.000</v>
      </c>
      <c r="F28" s="19">
        <v>120000</v>
      </c>
      <c r="G28">
        <f>9+FIND("نرخ متوسط",B28)</f>
        <v>97</v>
      </c>
      <c r="H28">
        <v>10048</v>
      </c>
      <c r="I28" s="16">
        <v>1205760000</v>
      </c>
    </row>
    <row r="29" spans="1:9" x14ac:dyDescent="0.2">
      <c r="A29" s="1" t="s">
        <v>46</v>
      </c>
      <c r="B29" s="1" t="s">
        <v>47</v>
      </c>
      <c r="C29" s="15">
        <v>1200917023</v>
      </c>
      <c r="D29" s="2">
        <v>1200917023</v>
      </c>
      <c r="E29" s="18" t="str">
        <f t="shared" ref="E29:E30" si="3">MID(B29,16,8)</f>
        <v xml:space="preserve"> 120.000</v>
      </c>
      <c r="F29" s="19">
        <v>120000</v>
      </c>
      <c r="G29">
        <f>9+FIND("نرخ متوسط",B29)</f>
        <v>97</v>
      </c>
      <c r="H29">
        <v>10058</v>
      </c>
      <c r="I29" s="16">
        <v>1206960000</v>
      </c>
    </row>
    <row r="30" spans="1:9" x14ac:dyDescent="0.2">
      <c r="A30" s="1" t="s">
        <v>48</v>
      </c>
      <c r="B30" s="1" t="s">
        <v>49</v>
      </c>
      <c r="C30" s="15">
        <v>1200917023</v>
      </c>
      <c r="D30" s="2">
        <v>1200917023</v>
      </c>
      <c r="E30" s="18" t="str">
        <f t="shared" si="3"/>
        <v xml:space="preserve"> 120.000</v>
      </c>
      <c r="F30" s="19">
        <v>120000</v>
      </c>
      <c r="G30">
        <f>9+FIND("نرخ متوسط",B30)</f>
        <v>97</v>
      </c>
      <c r="H30">
        <v>10068</v>
      </c>
      <c r="I30" s="16">
        <v>1208160000</v>
      </c>
    </row>
    <row r="31" spans="1:9" x14ac:dyDescent="0.2">
      <c r="A31" s="1" t="s">
        <v>50</v>
      </c>
      <c r="B31" s="1" t="s">
        <v>51</v>
      </c>
      <c r="C31" s="15">
        <v>18281419740</v>
      </c>
      <c r="D31" s="2">
        <v>18281419740</v>
      </c>
      <c r="E31" s="18" t="str">
        <f t="shared" si="2"/>
        <v xml:space="preserve"> 1.826.746 </v>
      </c>
      <c r="F31" s="19">
        <v>1826746</v>
      </c>
      <c r="G31">
        <f>9+FIND("نرخ متوسط",B31)</f>
        <v>99</v>
      </c>
      <c r="H31">
        <v>10044</v>
      </c>
      <c r="I31" s="16">
        <v>18347836824</v>
      </c>
    </row>
    <row r="32" spans="1:9" x14ac:dyDescent="0.2">
      <c r="A32" s="1" t="s">
        <v>52</v>
      </c>
      <c r="B32" s="1" t="s">
        <v>53</v>
      </c>
      <c r="C32" s="15">
        <f>-699776250000</f>
        <v>-699776250000</v>
      </c>
      <c r="D32" s="2">
        <v>0</v>
      </c>
      <c r="E32"/>
      <c r="G32" t="e">
        <f>MID(#REF!,98,6)</f>
        <v>#REF!</v>
      </c>
      <c r="I32" s="16">
        <v>0</v>
      </c>
    </row>
    <row r="33" spans="1:9" x14ac:dyDescent="0.2">
      <c r="A33" s="1" t="s">
        <v>52</v>
      </c>
      <c r="B33" s="1" t="s">
        <v>54</v>
      </c>
      <c r="C33" s="15">
        <f>-499718060000</f>
        <v>-499718060000</v>
      </c>
      <c r="D33" s="2">
        <v>0</v>
      </c>
      <c r="E33"/>
      <c r="G33" t="e">
        <f>MID(#REF!,100,6)</f>
        <v>#REF!</v>
      </c>
      <c r="I33" s="16">
        <v>0</v>
      </c>
    </row>
    <row r="34" spans="1:9" x14ac:dyDescent="0.2">
      <c r="A34" s="1" t="s">
        <v>52</v>
      </c>
      <c r="B34" s="1" t="s">
        <v>55</v>
      </c>
      <c r="C34" s="15">
        <f>-999881820000</f>
        <v>-999881820000</v>
      </c>
      <c r="D34" s="2">
        <v>0</v>
      </c>
      <c r="E34"/>
      <c r="G34" t="e">
        <f>MID(#REF!,111,6)</f>
        <v>#REF!</v>
      </c>
      <c r="I34" s="16">
        <v>0</v>
      </c>
    </row>
    <row r="35" spans="1:9" x14ac:dyDescent="0.2">
      <c r="A35" s="1" t="s">
        <v>52</v>
      </c>
      <c r="B35" s="1" t="s">
        <v>56</v>
      </c>
      <c r="C35" s="15">
        <f>-999815040000</f>
        <v>-999815040000</v>
      </c>
      <c r="D35" s="2">
        <v>0</v>
      </c>
      <c r="E35"/>
      <c r="G35" t="e">
        <f>MID(#REF!,92,6)</f>
        <v>#REF!</v>
      </c>
      <c r="I35" s="16">
        <v>0</v>
      </c>
    </row>
    <row r="36" spans="1:9" x14ac:dyDescent="0.2">
      <c r="A36" s="1" t="s">
        <v>52</v>
      </c>
      <c r="B36" s="1" t="s">
        <v>57</v>
      </c>
      <c r="C36" s="15">
        <f>-499900800000</f>
        <v>-499900800000</v>
      </c>
      <c r="D36" s="2">
        <v>0</v>
      </c>
      <c r="E36"/>
      <c r="G36" t="e">
        <f>MID(#REF!,101,6)</f>
        <v>#REF!</v>
      </c>
      <c r="I36" s="16">
        <v>0</v>
      </c>
    </row>
    <row r="37" spans="1:9" x14ac:dyDescent="0.2">
      <c r="A37" s="1" t="s">
        <v>52</v>
      </c>
      <c r="B37" s="1" t="s">
        <v>58</v>
      </c>
      <c r="C37" s="15">
        <f>-299801160000</f>
        <v>-299801160000</v>
      </c>
      <c r="D37" s="2">
        <v>0</v>
      </c>
      <c r="E37"/>
      <c r="G37" t="e">
        <f>MID(#REF!,96,6)</f>
        <v>#REF!</v>
      </c>
      <c r="I37" s="16">
        <v>0</v>
      </c>
    </row>
    <row r="38" spans="1:9" x14ac:dyDescent="0.2">
      <c r="A38" s="1" t="s">
        <v>52</v>
      </c>
      <c r="B38" s="1" t="s">
        <v>59</v>
      </c>
      <c r="C38" s="15">
        <f>-499932500000</f>
        <v>-499932500000</v>
      </c>
      <c r="D38" s="2">
        <v>0</v>
      </c>
      <c r="E38"/>
      <c r="G38" t="e">
        <f>MID(#REF!,97,6)</f>
        <v>#REF!</v>
      </c>
      <c r="I38" s="16">
        <v>0</v>
      </c>
    </row>
    <row r="39" spans="1:9" x14ac:dyDescent="0.2">
      <c r="A39" s="1" t="s">
        <v>52</v>
      </c>
      <c r="B39" s="1" t="s">
        <v>60</v>
      </c>
      <c r="C39" s="15">
        <f>-610850000</f>
        <v>-610850000</v>
      </c>
      <c r="D39" s="2">
        <v>0</v>
      </c>
      <c r="E39"/>
      <c r="G39" t="e">
        <f>MID(#REF!,115,6)</f>
        <v>#REF!</v>
      </c>
      <c r="I39" s="16">
        <v>0</v>
      </c>
    </row>
    <row r="40" spans="1:9" x14ac:dyDescent="0.2">
      <c r="A40" s="1" t="s">
        <v>61</v>
      </c>
      <c r="B40" s="1" t="s">
        <v>62</v>
      </c>
      <c r="C40" s="15">
        <v>358125000000</v>
      </c>
      <c r="D40" s="2">
        <v>358125000000</v>
      </c>
      <c r="E40" s="18" t="str">
        <f t="shared" ref="E40:E45" si="4">MID(B40,16,11)</f>
        <v xml:space="preserve"> 7.500.000 </v>
      </c>
      <c r="F40" s="19">
        <v>7500000</v>
      </c>
      <c r="G40">
        <f>9+FIND("نرخ متوسط",B40)</f>
        <v>104</v>
      </c>
      <c r="H40" s="20">
        <v>47956</v>
      </c>
      <c r="I40" s="16">
        <v>359670000000</v>
      </c>
    </row>
    <row r="41" spans="1:9" x14ac:dyDescent="0.2">
      <c r="A41" s="1" t="s">
        <v>61</v>
      </c>
      <c r="B41" s="1" t="s">
        <v>63</v>
      </c>
      <c r="C41" s="15">
        <v>271463291925</v>
      </c>
      <c r="D41" s="2">
        <v>271463291925</v>
      </c>
      <c r="E41" s="18" t="str">
        <f t="shared" si="4"/>
        <v xml:space="preserve"> 10.000.000</v>
      </c>
      <c r="F41" s="19">
        <v>10000000</v>
      </c>
      <c r="G41">
        <f>9+FIND("نرخ متوسط",B41)</f>
        <v>103</v>
      </c>
      <c r="H41" s="20">
        <v>28273</v>
      </c>
      <c r="I41" s="16">
        <v>282730000000</v>
      </c>
    </row>
    <row r="42" spans="1:9" x14ac:dyDescent="0.2">
      <c r="A42" s="1" t="s">
        <v>61</v>
      </c>
      <c r="B42" s="1" t="s">
        <v>64</v>
      </c>
      <c r="C42" s="15">
        <v>799919990708</v>
      </c>
      <c r="D42" s="2">
        <v>799919990708</v>
      </c>
      <c r="E42" s="18" t="str">
        <f t="shared" si="4"/>
        <v xml:space="preserve"> 50.795.021</v>
      </c>
      <c r="F42" s="19">
        <v>50795021</v>
      </c>
      <c r="G42">
        <f>9+FIND("نرخ متوسط",B42)</f>
        <v>96</v>
      </c>
      <c r="H42" s="20">
        <v>16167</v>
      </c>
      <c r="I42" s="16">
        <v>821203104507</v>
      </c>
    </row>
    <row r="43" spans="1:9" x14ac:dyDescent="0.2">
      <c r="A43" s="1" t="s">
        <v>61</v>
      </c>
      <c r="B43" s="1" t="s">
        <v>65</v>
      </c>
      <c r="C43" s="15">
        <v>703462159577</v>
      </c>
      <c r="D43" s="2">
        <v>703462159577</v>
      </c>
      <c r="E43" s="18" t="str">
        <f t="shared" si="4"/>
        <v xml:space="preserve"> 36.000.000</v>
      </c>
      <c r="F43" s="19">
        <v>36000000</v>
      </c>
      <c r="G43">
        <f>9+FIND("نرخ متوسط",B43)</f>
        <v>97</v>
      </c>
      <c r="H43" s="20">
        <v>19829</v>
      </c>
      <c r="I43" s="16">
        <v>713844000000</v>
      </c>
    </row>
    <row r="44" spans="1:9" x14ac:dyDescent="0.2">
      <c r="A44" s="1" t="s">
        <v>61</v>
      </c>
      <c r="B44" s="1" t="s">
        <v>66</v>
      </c>
      <c r="C44" s="15">
        <v>499101660000</v>
      </c>
      <c r="D44" s="2">
        <v>499101660000</v>
      </c>
      <c r="E44" s="18" t="str">
        <f t="shared" si="4"/>
        <v xml:space="preserve"> 32.760.000</v>
      </c>
      <c r="F44" s="19">
        <v>32760000</v>
      </c>
      <c r="G44">
        <f>9+FIND("نرخ متوسط",B44)</f>
        <v>102</v>
      </c>
      <c r="H44" s="20">
        <v>15637</v>
      </c>
      <c r="I44" s="16">
        <v>512268120000</v>
      </c>
    </row>
    <row r="45" spans="1:9" x14ac:dyDescent="0.2">
      <c r="A45" s="1" t="s">
        <v>67</v>
      </c>
      <c r="B45" s="1" t="s">
        <v>68</v>
      </c>
      <c r="C45" s="15">
        <v>586218466314</v>
      </c>
      <c r="D45" s="2">
        <v>586218466314</v>
      </c>
      <c r="E45" s="18" t="str">
        <f t="shared" si="4"/>
        <v xml:space="preserve"> 30.000.000</v>
      </c>
      <c r="F45" s="19">
        <v>30000000</v>
      </c>
      <c r="G45">
        <f>9+FIND("نرخ متوسط",B45)</f>
        <v>95</v>
      </c>
      <c r="H45" s="20">
        <v>19938</v>
      </c>
      <c r="I45" s="16">
        <v>598140000000</v>
      </c>
    </row>
    <row r="46" spans="1:9" x14ac:dyDescent="0.2">
      <c r="A46" s="1" t="s">
        <v>69</v>
      </c>
      <c r="B46" s="1" t="s">
        <v>70</v>
      </c>
      <c r="C46" s="15">
        <f>-650000000000</f>
        <v>-650000000000</v>
      </c>
      <c r="D46" s="2">
        <v>0</v>
      </c>
      <c r="E46"/>
      <c r="G46" t="e">
        <f>MID(#REF!,90,6)</f>
        <v>#REF!</v>
      </c>
      <c r="I46" s="16">
        <v>0</v>
      </c>
    </row>
    <row r="47" spans="1:9" x14ac:dyDescent="0.2">
      <c r="A47" s="1" t="s">
        <v>69</v>
      </c>
      <c r="B47" s="1" t="s">
        <v>71</v>
      </c>
      <c r="C47" s="15">
        <f>-201029406210</f>
        <v>-201029406210</v>
      </c>
      <c r="D47" s="2">
        <v>0</v>
      </c>
      <c r="E47"/>
      <c r="I47" s="16">
        <v>0</v>
      </c>
    </row>
    <row r="48" spans="1:9" x14ac:dyDescent="0.2">
      <c r="A48" s="1" t="s">
        <v>69</v>
      </c>
      <c r="B48" s="1" t="s">
        <v>72</v>
      </c>
      <c r="C48" s="15">
        <f>-1648801350000</f>
        <v>-1648801350000</v>
      </c>
      <c r="D48" s="2">
        <v>0</v>
      </c>
      <c r="E48"/>
      <c r="I48" s="16">
        <v>0</v>
      </c>
    </row>
    <row r="49" spans="1:9" x14ac:dyDescent="0.2">
      <c r="A49" s="1" t="s">
        <v>73</v>
      </c>
      <c r="B49" s="1" t="s">
        <v>74</v>
      </c>
      <c r="C49" s="15">
        <f>-200100000000</f>
        <v>-200100000000</v>
      </c>
      <c r="D49" s="2">
        <v>0</v>
      </c>
      <c r="E49"/>
      <c r="I49" s="16">
        <v>0</v>
      </c>
    </row>
    <row r="50" spans="1:9" x14ac:dyDescent="0.2">
      <c r="A50" s="1" t="s">
        <v>73</v>
      </c>
      <c r="B50" s="1" t="s">
        <v>75</v>
      </c>
      <c r="C50" s="15">
        <f>-299702945000</f>
        <v>-299702945000</v>
      </c>
      <c r="D50" s="2">
        <v>0</v>
      </c>
      <c r="E50"/>
      <c r="I50" s="16">
        <v>0</v>
      </c>
    </row>
    <row r="51" spans="1:9" x14ac:dyDescent="0.2">
      <c r="A51" s="1" t="s">
        <v>76</v>
      </c>
      <c r="B51" s="1" t="s">
        <v>77</v>
      </c>
      <c r="C51" s="15">
        <f>-1797318900000</f>
        <v>-1797318900000</v>
      </c>
      <c r="D51" s="2">
        <v>0</v>
      </c>
      <c r="E51"/>
      <c r="I51" s="16">
        <v>0</v>
      </c>
    </row>
    <row r="52" spans="1:9" x14ac:dyDescent="0.2">
      <c r="A52" s="1" t="s">
        <v>76</v>
      </c>
      <c r="B52" s="1" t="s">
        <v>78</v>
      </c>
      <c r="C52" s="15">
        <f>-502055290000</f>
        <v>-502055290000</v>
      </c>
      <c r="D52" s="2">
        <v>0</v>
      </c>
      <c r="E52"/>
      <c r="I52" s="16">
        <v>0</v>
      </c>
    </row>
    <row r="53" spans="1:9" x14ac:dyDescent="0.2">
      <c r="A53" s="1" t="s">
        <v>76</v>
      </c>
      <c r="B53" s="1" t="s">
        <v>79</v>
      </c>
      <c r="C53" s="15">
        <f>-499509500000</f>
        <v>-499509500000</v>
      </c>
      <c r="D53" s="2">
        <v>0</v>
      </c>
      <c r="E53"/>
      <c r="I53" s="16">
        <v>0</v>
      </c>
    </row>
    <row r="54" spans="1:9" x14ac:dyDescent="0.2">
      <c r="A54" s="1" t="s">
        <v>76</v>
      </c>
      <c r="B54" s="1" t="s">
        <v>80</v>
      </c>
      <c r="C54" s="15">
        <f>-499797400000</f>
        <v>-499797400000</v>
      </c>
      <c r="D54" s="2">
        <v>0</v>
      </c>
      <c r="E54"/>
      <c r="I54" s="16">
        <v>0</v>
      </c>
    </row>
    <row r="55" spans="1:9" x14ac:dyDescent="0.2">
      <c r="A55" s="1" t="s">
        <v>76</v>
      </c>
      <c r="B55" s="1" t="s">
        <v>81</v>
      </c>
      <c r="C55" s="15">
        <f>-200363900000</f>
        <v>-200363900000</v>
      </c>
      <c r="D55" s="2">
        <v>0</v>
      </c>
      <c r="E55"/>
      <c r="I55" s="16">
        <v>0</v>
      </c>
    </row>
    <row r="56" spans="1:9" x14ac:dyDescent="0.2">
      <c r="A56" s="1" t="s">
        <v>82</v>
      </c>
      <c r="B56" s="1" t="s">
        <v>83</v>
      </c>
      <c r="C56" s="15">
        <f>-499989636000</f>
        <v>-499989636000</v>
      </c>
      <c r="D56" s="2">
        <v>0</v>
      </c>
      <c r="E56"/>
      <c r="I56" s="16">
        <v>0</v>
      </c>
    </row>
    <row r="57" spans="1:9" x14ac:dyDescent="0.2">
      <c r="A57" s="1" t="s">
        <v>82</v>
      </c>
      <c r="B57" s="1" t="s">
        <v>84</v>
      </c>
      <c r="C57" s="15">
        <f>-1499992450000</f>
        <v>-1499992450000</v>
      </c>
      <c r="D57" s="2">
        <v>0</v>
      </c>
      <c r="E57"/>
      <c r="I57" s="16">
        <v>0</v>
      </c>
    </row>
    <row r="58" spans="1:9" x14ac:dyDescent="0.2">
      <c r="A58" s="1" t="s">
        <v>85</v>
      </c>
      <c r="B58" s="1" t="s">
        <v>86</v>
      </c>
      <c r="C58" s="15">
        <f>-1499746400000</f>
        <v>-1499746400000</v>
      </c>
      <c r="D58" s="2">
        <v>0</v>
      </c>
      <c r="E58"/>
      <c r="I58" s="16">
        <v>0</v>
      </c>
    </row>
    <row r="59" spans="1:9" x14ac:dyDescent="0.2">
      <c r="A59" s="1" t="s">
        <v>85</v>
      </c>
      <c r="B59" s="1" t="s">
        <v>87</v>
      </c>
      <c r="C59" s="15">
        <f>-999825080000</f>
        <v>-999825080000</v>
      </c>
      <c r="D59" s="2">
        <v>0</v>
      </c>
      <c r="E59"/>
      <c r="I59" s="16">
        <v>0</v>
      </c>
    </row>
    <row r="60" spans="1:9" x14ac:dyDescent="0.2">
      <c r="A60" s="1" t="s">
        <v>88</v>
      </c>
      <c r="B60" s="1" t="s">
        <v>89</v>
      </c>
      <c r="C60" s="15">
        <f>-999898305000</f>
        <v>-999898305000</v>
      </c>
      <c r="D60" s="2">
        <v>0</v>
      </c>
      <c r="E60"/>
      <c r="I60" s="16">
        <v>0</v>
      </c>
    </row>
    <row r="61" spans="1:9" x14ac:dyDescent="0.2">
      <c r="A61" s="1" t="s">
        <v>88</v>
      </c>
      <c r="B61" s="1" t="s">
        <v>90</v>
      </c>
      <c r="C61" s="15">
        <f>-999715500000</f>
        <v>-999715500000</v>
      </c>
      <c r="D61" s="2">
        <v>0</v>
      </c>
      <c r="E61"/>
      <c r="I61" s="16">
        <v>0</v>
      </c>
    </row>
    <row r="62" spans="1:9" x14ac:dyDescent="0.2">
      <c r="A62" s="1" t="s">
        <v>91</v>
      </c>
      <c r="B62" s="1" t="s">
        <v>92</v>
      </c>
      <c r="C62" s="15">
        <v>341651250000</v>
      </c>
      <c r="D62" s="2">
        <v>341651250000</v>
      </c>
      <c r="E62" s="18" t="str">
        <f t="shared" ref="E62:E67" si="5">MID(B62,16,11)</f>
        <v xml:space="preserve"> 7.155.000 </v>
      </c>
      <c r="F62" s="19">
        <v>7155000</v>
      </c>
      <c r="G62">
        <f>9+FIND("نرخ متوسط",B62)</f>
        <v>104</v>
      </c>
      <c r="H62">
        <v>50100</v>
      </c>
      <c r="I62" s="16">
        <v>358465500000</v>
      </c>
    </row>
    <row r="63" spans="1:9" x14ac:dyDescent="0.2">
      <c r="A63" s="1" t="s">
        <v>91</v>
      </c>
      <c r="B63" s="1" t="s">
        <v>93</v>
      </c>
      <c r="C63" s="15">
        <v>1214526768075</v>
      </c>
      <c r="D63" s="2">
        <v>1214526768075</v>
      </c>
      <c r="E63" s="18" t="str">
        <f t="shared" si="5"/>
        <v xml:space="preserve"> 44.740.000</v>
      </c>
      <c r="F63" s="19">
        <v>44740000</v>
      </c>
      <c r="G63">
        <f>9+FIND("نرخ متوسط",B63)</f>
        <v>103</v>
      </c>
      <c r="H63">
        <v>29500</v>
      </c>
      <c r="I63" s="16">
        <v>1319830000000</v>
      </c>
    </row>
    <row r="64" spans="1:9" x14ac:dyDescent="0.2">
      <c r="A64" s="1" t="s">
        <v>91</v>
      </c>
      <c r="B64" s="1" t="s">
        <v>94</v>
      </c>
      <c r="C64" s="15">
        <v>483945790195</v>
      </c>
      <c r="D64" s="2">
        <v>483945790195</v>
      </c>
      <c r="E64" s="18" t="str">
        <f t="shared" si="5"/>
        <v xml:space="preserve"> 20.000.000</v>
      </c>
      <c r="F64" s="19">
        <v>20000000</v>
      </c>
      <c r="G64">
        <f>9+FIND("نرخ متوسط",B64)</f>
        <v>103</v>
      </c>
      <c r="H64">
        <v>25745</v>
      </c>
      <c r="I64" s="16">
        <v>514900000000</v>
      </c>
    </row>
    <row r="65" spans="1:9" x14ac:dyDescent="0.2">
      <c r="A65" s="1" t="s">
        <v>91</v>
      </c>
      <c r="B65" s="1" t="s">
        <v>95</v>
      </c>
      <c r="C65" s="15">
        <v>409962114109</v>
      </c>
      <c r="D65" s="2">
        <v>409962114109</v>
      </c>
      <c r="E65" s="18" t="str">
        <f t="shared" si="5"/>
        <v xml:space="preserve"> 20.980.000</v>
      </c>
      <c r="F65" s="19">
        <v>20980000</v>
      </c>
      <c r="G65">
        <f>9+FIND("نرخ متوسط",B65)</f>
        <v>97</v>
      </c>
      <c r="H65">
        <v>20652</v>
      </c>
      <c r="I65" s="16">
        <v>433278960000</v>
      </c>
    </row>
    <row r="66" spans="1:9" x14ac:dyDescent="0.2">
      <c r="A66" s="1" t="s">
        <v>91</v>
      </c>
      <c r="B66" s="1" t="s">
        <v>96</v>
      </c>
      <c r="C66" s="15">
        <v>499509500000</v>
      </c>
      <c r="D66" s="2">
        <v>499509500000</v>
      </c>
      <c r="E66" s="18" t="str">
        <f t="shared" si="5"/>
        <v xml:space="preserve"> 30.100.000</v>
      </c>
      <c r="F66" s="19">
        <v>30100000</v>
      </c>
      <c r="G66">
        <f>9+FIND("نرخ متوسط",B66)</f>
        <v>99</v>
      </c>
      <c r="H66">
        <v>16903</v>
      </c>
      <c r="I66" s="16">
        <v>508780300000</v>
      </c>
    </row>
    <row r="67" spans="1:9" x14ac:dyDescent="0.2">
      <c r="A67" s="1" t="s">
        <v>91</v>
      </c>
      <c r="B67" s="1" t="s">
        <v>97</v>
      </c>
      <c r="C67" s="15">
        <v>1031752930703</v>
      </c>
      <c r="D67" s="2">
        <v>1031752930703</v>
      </c>
      <c r="E67" s="18" t="str">
        <f t="shared" si="5"/>
        <v xml:space="preserve"> 60.000.000</v>
      </c>
      <c r="F67" s="19">
        <v>60000000</v>
      </c>
      <c r="G67">
        <f>9+FIND("نرخ متوسط",B67)</f>
        <v>110</v>
      </c>
      <c r="H67">
        <v>17651</v>
      </c>
      <c r="I67" s="16">
        <v>1059060000000</v>
      </c>
    </row>
    <row r="68" spans="1:9" x14ac:dyDescent="0.2">
      <c r="A68" s="1" t="s">
        <v>91</v>
      </c>
      <c r="B68" s="1" t="s">
        <v>98</v>
      </c>
      <c r="C68" s="15">
        <f>-4180288000000</f>
        <v>-4180288000000</v>
      </c>
      <c r="D68" s="2">
        <v>0</v>
      </c>
      <c r="E68"/>
      <c r="I68" s="16">
        <v>0</v>
      </c>
    </row>
    <row r="69" spans="1:9" x14ac:dyDescent="0.2">
      <c r="A69" s="1" t="s">
        <v>99</v>
      </c>
      <c r="B69" s="1" t="s">
        <v>100</v>
      </c>
      <c r="C69" s="15">
        <v>1794466969405</v>
      </c>
      <c r="D69" s="2">
        <v>1794466969405</v>
      </c>
      <c r="E69" s="18" t="str">
        <f t="shared" ref="E69:E80" si="6">MID(B69,16,11)</f>
        <v xml:space="preserve"> 133.000.00</v>
      </c>
      <c r="F69" s="19">
        <v>13300000</v>
      </c>
      <c r="G69">
        <f>9+FIND("نرخ متوسط",B69)</f>
        <v>91</v>
      </c>
      <c r="H69">
        <v>13767</v>
      </c>
      <c r="I69" s="16">
        <v>183101100000</v>
      </c>
    </row>
    <row r="70" spans="1:9" x14ac:dyDescent="0.2">
      <c r="A70" s="1" t="s">
        <v>99</v>
      </c>
      <c r="B70" s="1" t="s">
        <v>101</v>
      </c>
      <c r="C70" s="15">
        <v>2274545213915</v>
      </c>
      <c r="D70" s="2">
        <v>2274545213915</v>
      </c>
      <c r="E70" s="18" t="str">
        <f t="shared" si="6"/>
        <v xml:space="preserve"> 94.000.000</v>
      </c>
      <c r="F70" s="19">
        <v>94000000</v>
      </c>
      <c r="G70">
        <f>9+FIND("نرخ متوسط",B70)</f>
        <v>100</v>
      </c>
      <c r="H70">
        <v>25850</v>
      </c>
      <c r="I70" s="16">
        <v>2429900000000</v>
      </c>
    </row>
    <row r="71" spans="1:9" x14ac:dyDescent="0.2">
      <c r="A71" s="1" t="s">
        <v>99</v>
      </c>
      <c r="B71" s="1" t="s">
        <v>102</v>
      </c>
      <c r="C71" s="15">
        <v>859794108919</v>
      </c>
      <c r="D71" s="2">
        <v>859794108919</v>
      </c>
      <c r="E71" s="18" t="str">
        <f t="shared" si="6"/>
        <v xml:space="preserve"> 50.000.000</v>
      </c>
      <c r="F71" s="19">
        <v>50000000</v>
      </c>
      <c r="G71">
        <f>9+FIND("نرخ متوسط",B71)</f>
        <v>95</v>
      </c>
      <c r="H71">
        <v>17717</v>
      </c>
      <c r="I71" s="16">
        <v>885850000000</v>
      </c>
    </row>
    <row r="72" spans="1:9" x14ac:dyDescent="0.2">
      <c r="A72" s="1" t="s">
        <v>99</v>
      </c>
      <c r="B72" s="1" t="s">
        <v>103</v>
      </c>
      <c r="C72" s="15">
        <v>1619163086365</v>
      </c>
      <c r="D72" s="2">
        <v>1619163086365</v>
      </c>
      <c r="E72" s="18" t="str">
        <f t="shared" si="6"/>
        <v xml:space="preserve"> 81.000.000</v>
      </c>
      <c r="F72" s="19">
        <v>81000000</v>
      </c>
      <c r="G72">
        <f>9+FIND("نرخ متوسط",B72)</f>
        <v>96</v>
      </c>
      <c r="H72">
        <v>20326</v>
      </c>
      <c r="I72" s="16">
        <v>1646406000000</v>
      </c>
    </row>
    <row r="73" spans="1:9" x14ac:dyDescent="0.2">
      <c r="A73" s="1" t="s">
        <v>99</v>
      </c>
      <c r="B73" s="1" t="s">
        <v>104</v>
      </c>
      <c r="C73" s="15">
        <v>1004351732594</v>
      </c>
      <c r="D73" s="2">
        <v>1004351732594</v>
      </c>
      <c r="E73" s="18" t="str">
        <f>MID(B73,23,12)</f>
        <v xml:space="preserve"> 60.000.000 </v>
      </c>
      <c r="F73" s="19">
        <v>60000000</v>
      </c>
      <c r="G73">
        <f>9+FIND("نرخ متوسط",B73)</f>
        <v>114</v>
      </c>
      <c r="H73">
        <v>16924</v>
      </c>
      <c r="I73" s="16">
        <v>1015440000000</v>
      </c>
    </row>
    <row r="74" spans="1:9" x14ac:dyDescent="0.2">
      <c r="A74" s="1" t="s">
        <v>99</v>
      </c>
      <c r="B74" s="1" t="s">
        <v>105</v>
      </c>
      <c r="C74" s="15">
        <v>906003000000</v>
      </c>
      <c r="D74" s="2">
        <v>906003000000</v>
      </c>
      <c r="E74" s="18" t="str">
        <f t="shared" si="6"/>
        <v xml:space="preserve"> 73.000.000</v>
      </c>
      <c r="F74" s="19">
        <v>73000000</v>
      </c>
      <c r="G74">
        <f>9+FIND("نرخ متوسط",B74)</f>
        <v>89</v>
      </c>
      <c r="H74">
        <v>12846</v>
      </c>
      <c r="I74" s="16">
        <v>937758000000</v>
      </c>
    </row>
    <row r="75" spans="1:9" x14ac:dyDescent="0.2">
      <c r="A75" s="1" t="s">
        <v>106</v>
      </c>
      <c r="B75" s="1" t="s">
        <v>107</v>
      </c>
      <c r="C75" s="15">
        <v>161906794232</v>
      </c>
      <c r="D75" s="2">
        <v>161906794232</v>
      </c>
      <c r="E75" s="18" t="str">
        <f t="shared" si="6"/>
        <v xml:space="preserve"> 12.000.000</v>
      </c>
      <c r="F75" s="19">
        <v>12000000</v>
      </c>
      <c r="G75">
        <f>9+FIND("نرخ متوسط",B75)</f>
        <v>90</v>
      </c>
      <c r="H75">
        <v>13903</v>
      </c>
      <c r="I75" s="16">
        <v>166836000000</v>
      </c>
    </row>
    <row r="76" spans="1:9" x14ac:dyDescent="0.2">
      <c r="A76" s="1" t="s">
        <v>106</v>
      </c>
      <c r="B76" s="1" t="s">
        <v>108</v>
      </c>
      <c r="C76" s="15">
        <v>232293979293</v>
      </c>
      <c r="D76" s="2">
        <v>232293979293</v>
      </c>
      <c r="E76" s="18" t="str">
        <f t="shared" si="6"/>
        <v xml:space="preserve"> 9.600.000 </v>
      </c>
      <c r="F76" s="19">
        <v>9600000</v>
      </c>
      <c r="G76">
        <f>9+FIND("نرخ متوسط",B76)</f>
        <v>99</v>
      </c>
      <c r="H76">
        <v>26091</v>
      </c>
      <c r="I76" s="16">
        <v>250473600000</v>
      </c>
    </row>
    <row r="77" spans="1:9" x14ac:dyDescent="0.2">
      <c r="A77" s="1" t="s">
        <v>106</v>
      </c>
      <c r="B77" s="1" t="s">
        <v>109</v>
      </c>
      <c r="C77" s="15">
        <v>80820646238</v>
      </c>
      <c r="D77" s="2">
        <v>80820646238</v>
      </c>
      <c r="E77" s="18" t="str">
        <f t="shared" si="6"/>
        <v xml:space="preserve"> 4.700.000 </v>
      </c>
      <c r="F77" s="19">
        <v>4700000</v>
      </c>
      <c r="G77">
        <f>9+FIND("نرخ متوسط",B77)</f>
        <v>94</v>
      </c>
      <c r="H77">
        <v>17900</v>
      </c>
      <c r="I77" s="16">
        <v>84130000000</v>
      </c>
    </row>
    <row r="78" spans="1:9" x14ac:dyDescent="0.2">
      <c r="A78" s="1" t="s">
        <v>106</v>
      </c>
      <c r="B78" s="1" t="s">
        <v>110</v>
      </c>
      <c r="C78" s="15">
        <v>405790254978</v>
      </c>
      <c r="D78" s="2">
        <v>405790254978</v>
      </c>
      <c r="E78" s="18" t="str">
        <f t="shared" si="6"/>
        <v xml:space="preserve"> 20.300.000</v>
      </c>
      <c r="F78" s="19">
        <v>20300000</v>
      </c>
      <c r="G78">
        <f>9+FIND("نرخ متوسط",B78)</f>
        <v>96</v>
      </c>
      <c r="H78">
        <v>20519</v>
      </c>
      <c r="I78" s="16">
        <v>416535700000</v>
      </c>
    </row>
    <row r="79" spans="1:9" x14ac:dyDescent="0.2">
      <c r="A79" s="1" t="s">
        <v>106</v>
      </c>
      <c r="B79" s="1" t="s">
        <v>111</v>
      </c>
      <c r="C79" s="15">
        <v>326414313093</v>
      </c>
      <c r="D79" s="2">
        <v>326414313093</v>
      </c>
      <c r="E79" s="18" t="str">
        <f t="shared" si="6"/>
        <v xml:space="preserve"> 19.500.000</v>
      </c>
      <c r="F79" s="19">
        <v>19500000</v>
      </c>
      <c r="G79">
        <f>9+FIND("نرخ متوسط",B79)</f>
        <v>107</v>
      </c>
      <c r="H79">
        <v>17098</v>
      </c>
      <c r="I79" s="16">
        <v>333411000000</v>
      </c>
    </row>
    <row r="80" spans="1:9" x14ac:dyDescent="0.2">
      <c r="A80" s="1" t="s">
        <v>106</v>
      </c>
      <c r="B80" s="1" t="s">
        <v>112</v>
      </c>
      <c r="C80" s="15">
        <v>239532300000</v>
      </c>
      <c r="D80" s="2">
        <v>239532300000</v>
      </c>
      <c r="E80" s="18" t="str">
        <f t="shared" si="6"/>
        <v xml:space="preserve"> 19.300.000</v>
      </c>
      <c r="F80" s="19">
        <v>19300000</v>
      </c>
      <c r="G80">
        <f>9+FIND("نرخ متوسط",B80)</f>
        <v>89</v>
      </c>
      <c r="H80">
        <v>12975</v>
      </c>
      <c r="I80" s="16">
        <v>250417500000</v>
      </c>
    </row>
    <row r="81" spans="1:9" x14ac:dyDescent="0.2">
      <c r="A81" s="1" t="s">
        <v>113</v>
      </c>
      <c r="B81" s="1" t="s">
        <v>114</v>
      </c>
      <c r="C81" s="15">
        <f>-699847864000</f>
        <v>-699847864000</v>
      </c>
      <c r="D81" s="2">
        <v>0</v>
      </c>
      <c r="E81"/>
      <c r="I81" s="16">
        <v>0</v>
      </c>
    </row>
    <row r="82" spans="1:9" x14ac:dyDescent="0.2">
      <c r="A82" s="1" t="s">
        <v>113</v>
      </c>
      <c r="B82" s="1" t="s">
        <v>115</v>
      </c>
      <c r="C82" s="15">
        <f>-799841847000</f>
        <v>-799841847000</v>
      </c>
      <c r="D82" s="2">
        <v>0</v>
      </c>
      <c r="E82"/>
      <c r="I82" s="16">
        <v>0</v>
      </c>
    </row>
    <row r="83" spans="1:9" x14ac:dyDescent="0.2">
      <c r="A83" s="1" t="s">
        <v>113</v>
      </c>
      <c r="B83" s="1" t="s">
        <v>116</v>
      </c>
      <c r="C83" s="15">
        <f>-499904640000</f>
        <v>-499904640000</v>
      </c>
      <c r="D83" s="2">
        <v>0</v>
      </c>
      <c r="E83"/>
      <c r="I83" s="16">
        <v>0</v>
      </c>
    </row>
  </sheetData>
  <autoFilter ref="A1:D83" xr:uid="{00000000-0001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8489C-6F7D-49D1-861A-DDAEF9A23BB5}">
  <dimension ref="A1:J83"/>
  <sheetViews>
    <sheetView rightToLeft="1" topLeftCell="C1" workbookViewId="0">
      <selection activeCell="E28" sqref="E28"/>
    </sheetView>
  </sheetViews>
  <sheetFormatPr defaultRowHeight="12.75" x14ac:dyDescent="0.2"/>
  <cols>
    <col min="1" max="1" width="11.42578125" customWidth="1"/>
    <col min="2" max="2" width="118.7109375" customWidth="1"/>
    <col min="3" max="3" width="20.140625" style="16" customWidth="1"/>
    <col min="4" max="4" width="20.5703125" customWidth="1"/>
    <col min="5" max="5" width="19" style="18" customWidth="1"/>
    <col min="6" max="6" width="19" style="19" customWidth="1"/>
    <col min="10" max="10" width="22.140625" customWidth="1"/>
  </cols>
  <sheetData>
    <row r="1" spans="1:10" x14ac:dyDescent="0.2">
      <c r="A1" s="3" t="s">
        <v>0</v>
      </c>
      <c r="B1" s="3" t="s">
        <v>1</v>
      </c>
      <c r="C1" s="14" t="s">
        <v>2</v>
      </c>
      <c r="D1" s="3" t="s">
        <v>3</v>
      </c>
      <c r="J1" s="17" t="s">
        <v>186</v>
      </c>
    </row>
    <row r="2" spans="1:10" x14ac:dyDescent="0.2">
      <c r="A2" s="1" t="s">
        <v>5</v>
      </c>
      <c r="B2" s="1" t="s">
        <v>6</v>
      </c>
      <c r="C2" s="15">
        <f>-182610000000</f>
        <v>-182610000000</v>
      </c>
      <c r="D2" s="2">
        <v>0</v>
      </c>
      <c r="E2"/>
    </row>
    <row r="3" spans="1:10" x14ac:dyDescent="0.2">
      <c r="A3" s="1" t="s">
        <v>7</v>
      </c>
      <c r="B3" s="1" t="s">
        <v>8</v>
      </c>
      <c r="C3" s="15">
        <f>-316896380000</f>
        <v>-316896380000</v>
      </c>
      <c r="D3" s="2">
        <v>0</v>
      </c>
      <c r="E3"/>
    </row>
    <row r="4" spans="1:10" x14ac:dyDescent="0.2">
      <c r="A4" s="1" t="s">
        <v>7</v>
      </c>
      <c r="B4" s="1" t="s">
        <v>9</v>
      </c>
      <c r="C4" s="15">
        <f>-499789440000</f>
        <v>-499789440000</v>
      </c>
      <c r="D4" s="2">
        <v>0</v>
      </c>
      <c r="E4"/>
    </row>
    <row r="5" spans="1:10" x14ac:dyDescent="0.2">
      <c r="A5" s="1" t="s">
        <v>10</v>
      </c>
      <c r="B5" s="1" t="s">
        <v>11</v>
      </c>
      <c r="C5" s="15">
        <f>-194454000000</f>
        <v>-194454000000</v>
      </c>
      <c r="D5" s="2">
        <v>0</v>
      </c>
      <c r="E5"/>
    </row>
    <row r="6" spans="1:10" x14ac:dyDescent="0.2">
      <c r="A6" s="1" t="s">
        <v>12</v>
      </c>
      <c r="B6" s="1" t="s">
        <v>13</v>
      </c>
      <c r="C6" s="15">
        <f>-305853000000</f>
        <v>-305853000000</v>
      </c>
      <c r="D6" s="2">
        <v>0</v>
      </c>
      <c r="E6"/>
    </row>
    <row r="7" spans="1:10" x14ac:dyDescent="0.2">
      <c r="A7" s="1" t="s">
        <v>14</v>
      </c>
      <c r="B7" s="1" t="s">
        <v>15</v>
      </c>
      <c r="C7" s="15">
        <f>-499689400000</f>
        <v>-499689400000</v>
      </c>
      <c r="D7" s="2">
        <v>0</v>
      </c>
    </row>
    <row r="8" spans="1:10" x14ac:dyDescent="0.2">
      <c r="A8" s="1" t="s">
        <v>14</v>
      </c>
      <c r="B8" s="1" t="s">
        <v>16</v>
      </c>
      <c r="C8" s="15">
        <f>-499812650000</f>
        <v>-499812650000</v>
      </c>
      <c r="D8" s="2">
        <v>0</v>
      </c>
      <c r="E8"/>
    </row>
    <row r="9" spans="1:10" x14ac:dyDescent="0.2">
      <c r="A9" s="1" t="s">
        <v>17</v>
      </c>
      <c r="B9" s="1" t="s">
        <v>18</v>
      </c>
      <c r="C9" s="15">
        <v>499689400000</v>
      </c>
      <c r="D9" s="2">
        <v>499689400000</v>
      </c>
      <c r="E9" s="18" t="str">
        <f>MID(B9,16,11)</f>
        <v xml:space="preserve"> 24.100.000</v>
      </c>
      <c r="F9" s="19">
        <v>24100000</v>
      </c>
      <c r="G9">
        <f>9+FIND("نرخ متوسط",B9)</f>
        <v>103</v>
      </c>
      <c r="H9" t="s">
        <v>187</v>
      </c>
      <c r="I9" t="str">
        <f>MID(B9,G9,7)</f>
        <v xml:space="preserve"> 20.826</v>
      </c>
    </row>
    <row r="10" spans="1:10" x14ac:dyDescent="0.2">
      <c r="A10" s="1" t="s">
        <v>17</v>
      </c>
      <c r="B10" s="1" t="s">
        <v>19</v>
      </c>
      <c r="C10" s="15">
        <v>499812650000</v>
      </c>
      <c r="D10" s="2">
        <v>499812650000</v>
      </c>
      <c r="E10" s="18" t="str">
        <f>MID(B10,16,11)</f>
        <v xml:space="preserve"> 19.055.000</v>
      </c>
      <c r="F10" s="19">
        <v>19055000</v>
      </c>
      <c r="G10">
        <f>9+FIND("نرخ متوسط",B10)</f>
        <v>102</v>
      </c>
      <c r="H10" t="s">
        <v>188</v>
      </c>
      <c r="I10" t="str">
        <f>MID(B10,G10,7)</f>
        <v xml:space="preserve"> 26.347</v>
      </c>
    </row>
    <row r="11" spans="1:10" x14ac:dyDescent="0.2">
      <c r="A11" s="1" t="s">
        <v>17</v>
      </c>
      <c r="B11" s="1" t="s">
        <v>20</v>
      </c>
      <c r="C11" s="15">
        <v>305853000000</v>
      </c>
      <c r="D11" s="2">
        <v>305853000000</v>
      </c>
      <c r="E11" s="18" t="str">
        <f t="shared" ref="E11:E13" si="0">MID(B11,16,11)</f>
        <v xml:space="preserve"> 13.450.000</v>
      </c>
      <c r="F11" s="19">
        <v>13450000</v>
      </c>
      <c r="G11">
        <f>9+FIND("نرخ متوسط",B11)</f>
        <v>103</v>
      </c>
      <c r="H11" t="s">
        <v>189</v>
      </c>
      <c r="I11" t="str">
        <f>MID(B11,G11,7)</f>
        <v xml:space="preserve"> 22.954</v>
      </c>
    </row>
    <row r="12" spans="1:10" x14ac:dyDescent="0.2">
      <c r="A12" s="1" t="s">
        <v>17</v>
      </c>
      <c r="B12" s="1" t="s">
        <v>21</v>
      </c>
      <c r="C12" s="15">
        <v>499506380000</v>
      </c>
      <c r="D12" s="2">
        <v>499506380000</v>
      </c>
      <c r="E12" s="18" t="str">
        <f t="shared" si="0"/>
        <v xml:space="preserve"> 27.330.000</v>
      </c>
      <c r="F12" s="19">
        <v>27330000</v>
      </c>
      <c r="G12">
        <f>9+FIND("نرخ متوسط",B12)</f>
        <v>97</v>
      </c>
      <c r="H12" t="s">
        <v>190</v>
      </c>
      <c r="I12" t="str">
        <f>MID(B12,G12,7)</f>
        <v xml:space="preserve"> 18.478</v>
      </c>
    </row>
    <row r="13" spans="1:10" x14ac:dyDescent="0.2">
      <c r="A13" s="1" t="s">
        <v>17</v>
      </c>
      <c r="B13" s="1" t="s">
        <v>22</v>
      </c>
      <c r="C13" s="15">
        <v>694243440000</v>
      </c>
      <c r="D13" s="2">
        <v>694243440000</v>
      </c>
      <c r="E13" s="18" t="str">
        <f t="shared" si="0"/>
        <v xml:space="preserve"> 46.480.000</v>
      </c>
      <c r="F13" s="19">
        <v>46480000</v>
      </c>
      <c r="G13">
        <f>9+FIND("نرخ متوسط",B13)</f>
        <v>99</v>
      </c>
      <c r="H13" t="s">
        <v>191</v>
      </c>
      <c r="I13" t="str">
        <f>MID(B13,G13,7)</f>
        <v xml:space="preserve"> 15.084</v>
      </c>
    </row>
    <row r="14" spans="1:10" x14ac:dyDescent="0.2">
      <c r="A14" s="1" t="s">
        <v>23</v>
      </c>
      <c r="B14" s="1" t="s">
        <v>24</v>
      </c>
      <c r="C14" s="15">
        <f>-986272000000</f>
        <v>-986272000000</v>
      </c>
      <c r="D14" s="2">
        <v>0</v>
      </c>
      <c r="E14"/>
      <c r="G14" t="e">
        <f>MID(#REF!,31,7)</f>
        <v>#REF!</v>
      </c>
    </row>
    <row r="15" spans="1:10" x14ac:dyDescent="0.2">
      <c r="A15" s="1" t="s">
        <v>23</v>
      </c>
      <c r="B15" s="1" t="s">
        <v>25</v>
      </c>
      <c r="C15" s="15">
        <f>-11613000000</f>
        <v>-11613000000</v>
      </c>
      <c r="D15" s="2">
        <v>0</v>
      </c>
      <c r="E15"/>
      <c r="G15" t="e">
        <f>MID(#REF!,31,6)</f>
        <v>#REF!</v>
      </c>
    </row>
    <row r="16" spans="1:10" x14ac:dyDescent="0.2">
      <c r="A16" s="1" t="s">
        <v>23</v>
      </c>
      <c r="B16" s="1" t="s">
        <v>26</v>
      </c>
      <c r="C16" s="15">
        <f>-999796596000</f>
        <v>-999796596000</v>
      </c>
      <c r="D16" s="2">
        <v>0</v>
      </c>
      <c r="E16"/>
      <c r="G16" t="e">
        <f>MID(#REF!,31,6)</f>
        <v>#REF!</v>
      </c>
    </row>
    <row r="17" spans="1:9" x14ac:dyDescent="0.2">
      <c r="A17" s="1" t="s">
        <v>23</v>
      </c>
      <c r="B17" s="1" t="s">
        <v>27</v>
      </c>
      <c r="C17" s="15">
        <f>-299848500000</f>
        <v>-299848500000</v>
      </c>
      <c r="D17" s="2">
        <v>0</v>
      </c>
      <c r="E17"/>
      <c r="G17" t="e">
        <f>MID(#REF!,31,6)</f>
        <v>#REF!</v>
      </c>
    </row>
    <row r="18" spans="1:9" x14ac:dyDescent="0.2">
      <c r="A18" s="1" t="s">
        <v>23</v>
      </c>
      <c r="B18" s="1" t="s">
        <v>28</v>
      </c>
      <c r="C18" s="15">
        <f>-199300500000</f>
        <v>-199300500000</v>
      </c>
      <c r="D18" s="2">
        <v>0</v>
      </c>
      <c r="E18"/>
      <c r="G18" t="e">
        <f>MID(#REF!,33,6)</f>
        <v>#REF!</v>
      </c>
    </row>
    <row r="19" spans="1:9" x14ac:dyDescent="0.2">
      <c r="A19" s="1" t="s">
        <v>29</v>
      </c>
      <c r="B19" s="1" t="s">
        <v>30</v>
      </c>
      <c r="C19" s="15">
        <v>-99706035780</v>
      </c>
      <c r="D19" s="2">
        <v>0</v>
      </c>
      <c r="E19"/>
      <c r="G19" t="e">
        <f>MID(#REF!,31,6)</f>
        <v>#REF!</v>
      </c>
    </row>
    <row r="20" spans="1:9" x14ac:dyDescent="0.2">
      <c r="A20" s="1" t="s">
        <v>31</v>
      </c>
      <c r="B20" s="1" t="s">
        <v>32</v>
      </c>
      <c r="C20" s="15">
        <v>2001528372</v>
      </c>
      <c r="D20" s="2">
        <v>2001528372</v>
      </c>
      <c r="E20" s="18" t="str">
        <f t="shared" ref="E20:E23" si="1">MID(B20,17,8)</f>
        <v xml:space="preserve">200.000 </v>
      </c>
      <c r="F20" s="19">
        <v>200000</v>
      </c>
      <c r="G20">
        <f>9+FIND("نرخ متوسط",B20)</f>
        <v>97</v>
      </c>
      <c r="H20" t="s">
        <v>192</v>
      </c>
      <c r="I20" t="str">
        <f>MID(B20,G20,7)</f>
        <v xml:space="preserve"> 10.158</v>
      </c>
    </row>
    <row r="21" spans="1:9" x14ac:dyDescent="0.2">
      <c r="A21" s="1" t="s">
        <v>33</v>
      </c>
      <c r="B21" s="1" t="s">
        <v>34</v>
      </c>
      <c r="C21" s="15">
        <v>2273826299</v>
      </c>
      <c r="D21" s="2">
        <v>2273826299</v>
      </c>
      <c r="E21" s="18" t="str">
        <f t="shared" si="1"/>
        <v xml:space="preserve">227.209 </v>
      </c>
      <c r="F21" s="19">
        <v>227209</v>
      </c>
      <c r="G21">
        <f>9+FIND("نرخ متوسط",B21)</f>
        <v>97</v>
      </c>
      <c r="H21" t="s">
        <v>193</v>
      </c>
      <c r="I21" t="str">
        <f>MID(B21,G21,7)</f>
        <v xml:space="preserve"> 10.009</v>
      </c>
    </row>
    <row r="22" spans="1:9" x14ac:dyDescent="0.2">
      <c r="A22" s="1" t="s">
        <v>35</v>
      </c>
      <c r="B22" s="1" t="s">
        <v>36</v>
      </c>
      <c r="C22" s="15">
        <v>2992635184</v>
      </c>
      <c r="D22" s="2">
        <v>2992635184</v>
      </c>
      <c r="E22" s="18" t="str">
        <f>MID(B22,17,7)</f>
        <v>299.035</v>
      </c>
      <c r="F22" s="19">
        <v>299035</v>
      </c>
      <c r="G22">
        <f>9+FIND("نرخ متوسط",B22)</f>
        <v>96</v>
      </c>
      <c r="H22" t="s">
        <v>194</v>
      </c>
      <c r="I22" t="str">
        <f>MID(B22,G22,7)</f>
        <v xml:space="preserve"> 10.006</v>
      </c>
    </row>
    <row r="23" spans="1:9" x14ac:dyDescent="0.2">
      <c r="A23" s="1" t="s">
        <v>37</v>
      </c>
      <c r="B23" s="1" t="s">
        <v>38</v>
      </c>
      <c r="C23" s="15">
        <v>3002292558</v>
      </c>
      <c r="D23" s="2">
        <v>3002292558</v>
      </c>
      <c r="E23" s="18" t="str">
        <f t="shared" si="1"/>
        <v xml:space="preserve">300.000 </v>
      </c>
      <c r="F23" s="19">
        <v>300000</v>
      </c>
      <c r="G23">
        <f>9+FIND("نرخ متوسط",B23)</f>
        <v>97</v>
      </c>
      <c r="H23" t="s">
        <v>195</v>
      </c>
      <c r="I23" t="str">
        <f>MID(B23,G23,7)</f>
        <v xml:space="preserve"> 10.030</v>
      </c>
    </row>
    <row r="24" spans="1:9" x14ac:dyDescent="0.2">
      <c r="A24" s="1" t="s">
        <v>39</v>
      </c>
      <c r="B24" s="1" t="s">
        <v>40</v>
      </c>
      <c r="C24" s="15">
        <f>-1499761350000</f>
        <v>-1499761350000</v>
      </c>
      <c r="D24" s="2">
        <v>0</v>
      </c>
      <c r="E24"/>
      <c r="G24" t="e">
        <f>MID(#REF!,104,6)</f>
        <v>#REF!</v>
      </c>
    </row>
    <row r="25" spans="1:9" x14ac:dyDescent="0.2">
      <c r="A25" s="1" t="s">
        <v>39</v>
      </c>
      <c r="B25" s="1" t="s">
        <v>41</v>
      </c>
      <c r="C25" s="15">
        <f>-799919990708</f>
        <v>-799919990708</v>
      </c>
      <c r="D25" s="2">
        <v>0</v>
      </c>
      <c r="E25"/>
      <c r="G25" t="e">
        <f>MID(#REF!,97,6)</f>
        <v>#REF!</v>
      </c>
    </row>
    <row r="26" spans="1:9" x14ac:dyDescent="0.2">
      <c r="A26" s="1" t="s">
        <v>39</v>
      </c>
      <c r="B26" s="1" t="s">
        <v>42</v>
      </c>
      <c r="C26" s="15">
        <f>-699827700000</f>
        <v>-699827700000</v>
      </c>
      <c r="D26" s="2">
        <v>0</v>
      </c>
      <c r="E26"/>
      <c r="G26" t="e">
        <f>MID(#REF!,98,6)</f>
        <v>#REF!</v>
      </c>
    </row>
    <row r="27" spans="1:9" x14ac:dyDescent="0.2">
      <c r="A27" s="1" t="s">
        <v>39</v>
      </c>
      <c r="B27" s="1" t="s">
        <v>43</v>
      </c>
      <c r="C27" s="15">
        <v>67551582558</v>
      </c>
      <c r="D27" s="2">
        <v>67551582558</v>
      </c>
      <c r="E27" s="18" t="str">
        <f t="shared" ref="E27:E31" si="2">MID(B27,16,11)</f>
        <v xml:space="preserve"> 6.750.000 </v>
      </c>
      <c r="F27" s="19">
        <v>6750000</v>
      </c>
      <c r="G27">
        <f>9+FIND("نرخ متوسط",B27)</f>
        <v>99</v>
      </c>
      <c r="H27" t="s">
        <v>196</v>
      </c>
      <c r="I27" t="str">
        <f>MID(B27,G27,7)</f>
        <v xml:space="preserve"> 10.020</v>
      </c>
    </row>
    <row r="28" spans="1:9" x14ac:dyDescent="0.2">
      <c r="A28" s="1" t="s">
        <v>44</v>
      </c>
      <c r="B28" s="1" t="s">
        <v>45</v>
      </c>
      <c r="C28" s="15">
        <v>1200917023</v>
      </c>
      <c r="D28" s="2">
        <v>1200917023</v>
      </c>
      <c r="E28" s="18" t="str">
        <f>MID(B28,16,8)</f>
        <v xml:space="preserve"> 120.000</v>
      </c>
      <c r="F28" s="19">
        <v>120000</v>
      </c>
      <c r="G28">
        <f>9+FIND("نرخ متوسط",B28)</f>
        <v>97</v>
      </c>
      <c r="H28" t="s">
        <v>197</v>
      </c>
      <c r="I28" t="str">
        <f>MID(B28,G28,7)</f>
        <v xml:space="preserve"> 10.048</v>
      </c>
    </row>
    <row r="29" spans="1:9" x14ac:dyDescent="0.2">
      <c r="A29" s="1" t="s">
        <v>46</v>
      </c>
      <c r="B29" s="1" t="s">
        <v>47</v>
      </c>
      <c r="C29" s="15">
        <v>1200917023</v>
      </c>
      <c r="D29" s="2">
        <v>1200917023</v>
      </c>
      <c r="E29" s="18" t="str">
        <f t="shared" ref="E29:E30" si="3">MID(B29,16,8)</f>
        <v xml:space="preserve"> 120.000</v>
      </c>
      <c r="F29" s="19">
        <v>120000</v>
      </c>
      <c r="G29">
        <f>9+FIND("نرخ متوسط",B29)</f>
        <v>97</v>
      </c>
      <c r="H29" t="s">
        <v>198</v>
      </c>
      <c r="I29" t="str">
        <f>MID(B29,G29,7)</f>
        <v xml:space="preserve"> 10.058</v>
      </c>
    </row>
    <row r="30" spans="1:9" x14ac:dyDescent="0.2">
      <c r="A30" s="1" t="s">
        <v>48</v>
      </c>
      <c r="B30" s="1" t="s">
        <v>49</v>
      </c>
      <c r="C30" s="15">
        <v>1200917023</v>
      </c>
      <c r="D30" s="2">
        <v>1200917023</v>
      </c>
      <c r="E30" s="18" t="str">
        <f t="shared" si="3"/>
        <v xml:space="preserve"> 120.000</v>
      </c>
      <c r="F30" s="19">
        <v>120000</v>
      </c>
      <c r="G30">
        <f>9+FIND("نرخ متوسط",B30)</f>
        <v>97</v>
      </c>
      <c r="H30" t="s">
        <v>199</v>
      </c>
      <c r="I30" t="str">
        <f>MID(B30,G30,7)</f>
        <v xml:space="preserve"> 10.068</v>
      </c>
    </row>
    <row r="31" spans="1:9" x14ac:dyDescent="0.2">
      <c r="A31" s="1" t="s">
        <v>50</v>
      </c>
      <c r="B31" s="1" t="s">
        <v>51</v>
      </c>
      <c r="C31" s="15">
        <v>18281419740</v>
      </c>
      <c r="D31" s="2">
        <v>18281419740</v>
      </c>
      <c r="E31" s="18" t="str">
        <f t="shared" si="2"/>
        <v xml:space="preserve"> 1.826.746 </v>
      </c>
      <c r="F31" s="19">
        <v>1826746</v>
      </c>
      <c r="G31">
        <f>9+FIND("نرخ متوسط",B31)</f>
        <v>99</v>
      </c>
      <c r="H31" t="s">
        <v>200</v>
      </c>
      <c r="I31" t="str">
        <f>MID(B31,G31,7)</f>
        <v xml:space="preserve"> 10.044</v>
      </c>
    </row>
    <row r="32" spans="1:9" x14ac:dyDescent="0.2">
      <c r="A32" s="1" t="s">
        <v>52</v>
      </c>
      <c r="B32" s="1" t="s">
        <v>53</v>
      </c>
      <c r="C32" s="15">
        <f>-699776250000</f>
        <v>-699776250000</v>
      </c>
      <c r="D32" s="2">
        <v>0</v>
      </c>
      <c r="E32"/>
      <c r="G32" t="e">
        <f>MID(#REF!,98,6)</f>
        <v>#REF!</v>
      </c>
    </row>
    <row r="33" spans="1:9" x14ac:dyDescent="0.2">
      <c r="A33" s="1" t="s">
        <v>52</v>
      </c>
      <c r="B33" s="1" t="s">
        <v>54</v>
      </c>
      <c r="C33" s="15">
        <f>-499718060000</f>
        <v>-499718060000</v>
      </c>
      <c r="D33" s="2">
        <v>0</v>
      </c>
      <c r="E33"/>
      <c r="G33" t="e">
        <f>MID(#REF!,100,6)</f>
        <v>#REF!</v>
      </c>
    </row>
    <row r="34" spans="1:9" x14ac:dyDescent="0.2">
      <c r="A34" s="1" t="s">
        <v>52</v>
      </c>
      <c r="B34" s="1" t="s">
        <v>55</v>
      </c>
      <c r="C34" s="15">
        <f>-999881820000</f>
        <v>-999881820000</v>
      </c>
      <c r="D34" s="2">
        <v>0</v>
      </c>
      <c r="E34"/>
      <c r="G34" t="e">
        <f>MID(#REF!,111,6)</f>
        <v>#REF!</v>
      </c>
    </row>
    <row r="35" spans="1:9" x14ac:dyDescent="0.2">
      <c r="A35" s="1" t="s">
        <v>52</v>
      </c>
      <c r="B35" s="1" t="s">
        <v>56</v>
      </c>
      <c r="C35" s="15">
        <f>-999815040000</f>
        <v>-999815040000</v>
      </c>
      <c r="D35" s="2">
        <v>0</v>
      </c>
      <c r="E35"/>
      <c r="G35" t="e">
        <f>MID(#REF!,92,6)</f>
        <v>#REF!</v>
      </c>
    </row>
    <row r="36" spans="1:9" x14ac:dyDescent="0.2">
      <c r="A36" s="1" t="s">
        <v>52</v>
      </c>
      <c r="B36" s="1" t="s">
        <v>57</v>
      </c>
      <c r="C36" s="15">
        <f>-499900800000</f>
        <v>-499900800000</v>
      </c>
      <c r="D36" s="2">
        <v>0</v>
      </c>
      <c r="E36"/>
      <c r="G36" t="e">
        <f>MID(#REF!,101,6)</f>
        <v>#REF!</v>
      </c>
    </row>
    <row r="37" spans="1:9" x14ac:dyDescent="0.2">
      <c r="A37" s="1" t="s">
        <v>52</v>
      </c>
      <c r="B37" s="1" t="s">
        <v>58</v>
      </c>
      <c r="C37" s="15">
        <f>-299801160000</f>
        <v>-299801160000</v>
      </c>
      <c r="D37" s="2">
        <v>0</v>
      </c>
      <c r="E37"/>
      <c r="G37" t="e">
        <f>MID(#REF!,96,6)</f>
        <v>#REF!</v>
      </c>
    </row>
    <row r="38" spans="1:9" x14ac:dyDescent="0.2">
      <c r="A38" s="1" t="s">
        <v>52</v>
      </c>
      <c r="B38" s="1" t="s">
        <v>59</v>
      </c>
      <c r="C38" s="15">
        <f>-499932500000</f>
        <v>-499932500000</v>
      </c>
      <c r="D38" s="2">
        <v>0</v>
      </c>
      <c r="E38"/>
      <c r="G38" t="e">
        <f>MID(#REF!,97,6)</f>
        <v>#REF!</v>
      </c>
    </row>
    <row r="39" spans="1:9" x14ac:dyDescent="0.2">
      <c r="A39" s="1" t="s">
        <v>52</v>
      </c>
      <c r="B39" s="1" t="s">
        <v>60</v>
      </c>
      <c r="C39" s="15">
        <f>-610850000</f>
        <v>-610850000</v>
      </c>
      <c r="D39" s="2">
        <v>0</v>
      </c>
      <c r="E39"/>
      <c r="G39" t="e">
        <f>MID(#REF!,115,6)</f>
        <v>#REF!</v>
      </c>
    </row>
    <row r="40" spans="1:9" x14ac:dyDescent="0.2">
      <c r="A40" s="1" t="s">
        <v>61</v>
      </c>
      <c r="B40" s="1" t="s">
        <v>62</v>
      </c>
      <c r="C40" s="15">
        <v>358125000000</v>
      </c>
      <c r="D40" s="2">
        <v>358125000000</v>
      </c>
      <c r="E40" s="18" t="str">
        <f t="shared" ref="E40:E45" si="4">MID(B40,16,11)</f>
        <v xml:space="preserve"> 7.500.000 </v>
      </c>
      <c r="F40" s="19">
        <v>7500000</v>
      </c>
      <c r="G40">
        <f>9+FIND("نرخ متوسط",B40)</f>
        <v>104</v>
      </c>
      <c r="H40" t="s">
        <v>201</v>
      </c>
      <c r="I40" t="str">
        <f>MID(B40,G40,7)</f>
        <v xml:space="preserve"> 47.956</v>
      </c>
    </row>
    <row r="41" spans="1:9" x14ac:dyDescent="0.2">
      <c r="A41" s="1" t="s">
        <v>61</v>
      </c>
      <c r="B41" s="1" t="s">
        <v>63</v>
      </c>
      <c r="C41" s="15">
        <v>271463291925</v>
      </c>
      <c r="D41" s="2">
        <v>271463291925</v>
      </c>
      <c r="E41" s="18" t="str">
        <f t="shared" si="4"/>
        <v xml:space="preserve"> 10.000.000</v>
      </c>
      <c r="F41" s="19">
        <v>10000000</v>
      </c>
      <c r="G41">
        <f>9+FIND("نرخ متوسط",B41)</f>
        <v>103</v>
      </c>
      <c r="H41" t="s">
        <v>202</v>
      </c>
      <c r="I41" t="str">
        <f>MID(B41,G41,7)</f>
        <v xml:space="preserve"> 28.273</v>
      </c>
    </row>
    <row r="42" spans="1:9" x14ac:dyDescent="0.2">
      <c r="A42" s="1" t="s">
        <v>61</v>
      </c>
      <c r="B42" s="1" t="s">
        <v>64</v>
      </c>
      <c r="C42" s="15">
        <v>799919990708</v>
      </c>
      <c r="D42" s="2">
        <v>799919990708</v>
      </c>
      <c r="E42" s="18" t="str">
        <f t="shared" si="4"/>
        <v xml:space="preserve"> 50.795.021</v>
      </c>
      <c r="F42" s="19">
        <v>50795021</v>
      </c>
      <c r="G42">
        <f>9+FIND("نرخ متوسط",B42)</f>
        <v>96</v>
      </c>
      <c r="H42" t="s">
        <v>203</v>
      </c>
      <c r="I42" t="str">
        <f>MID(B42,G42,7)</f>
        <v xml:space="preserve"> 16.167</v>
      </c>
    </row>
    <row r="43" spans="1:9" x14ac:dyDescent="0.2">
      <c r="A43" s="1" t="s">
        <v>61</v>
      </c>
      <c r="B43" s="1" t="s">
        <v>65</v>
      </c>
      <c r="C43" s="15">
        <v>703462159577</v>
      </c>
      <c r="D43" s="2">
        <v>703462159577</v>
      </c>
      <c r="E43" s="18" t="str">
        <f t="shared" si="4"/>
        <v xml:space="preserve"> 36.000.000</v>
      </c>
      <c r="F43" s="19">
        <v>36000000</v>
      </c>
      <c r="G43">
        <f>9+FIND("نرخ متوسط",B43)</f>
        <v>97</v>
      </c>
      <c r="H43" t="s">
        <v>204</v>
      </c>
      <c r="I43" t="str">
        <f>MID(B43,G43,7)</f>
        <v xml:space="preserve"> 19.829</v>
      </c>
    </row>
    <row r="44" spans="1:9" x14ac:dyDescent="0.2">
      <c r="A44" s="1" t="s">
        <v>61</v>
      </c>
      <c r="B44" s="1" t="s">
        <v>66</v>
      </c>
      <c r="C44" s="15">
        <v>499101660000</v>
      </c>
      <c r="D44" s="2">
        <v>499101660000</v>
      </c>
      <c r="E44" s="18" t="str">
        <f t="shared" si="4"/>
        <v xml:space="preserve"> 32.760.000</v>
      </c>
      <c r="F44" s="19">
        <v>32760000</v>
      </c>
      <c r="G44">
        <f>9+FIND("نرخ متوسط",B44)</f>
        <v>102</v>
      </c>
      <c r="H44" t="s">
        <v>205</v>
      </c>
      <c r="I44" t="str">
        <f>MID(B44,G44,7)</f>
        <v xml:space="preserve"> 15.637</v>
      </c>
    </row>
    <row r="45" spans="1:9" x14ac:dyDescent="0.2">
      <c r="A45" s="1" t="s">
        <v>67</v>
      </c>
      <c r="B45" s="1" t="s">
        <v>68</v>
      </c>
      <c r="C45" s="15">
        <v>586218466314</v>
      </c>
      <c r="D45" s="2">
        <v>586218466314</v>
      </c>
      <c r="E45" s="18" t="str">
        <f t="shared" si="4"/>
        <v xml:space="preserve"> 30.000.000</v>
      </c>
      <c r="F45" s="19">
        <v>30000000</v>
      </c>
      <c r="G45">
        <f>9+FIND("نرخ متوسط",B45)</f>
        <v>95</v>
      </c>
      <c r="H45" t="s">
        <v>206</v>
      </c>
      <c r="I45" t="str">
        <f>MID(B45,G45,7)</f>
        <v xml:space="preserve"> 19.938</v>
      </c>
    </row>
    <row r="46" spans="1:9" x14ac:dyDescent="0.2">
      <c r="A46" s="1" t="s">
        <v>69</v>
      </c>
      <c r="B46" s="1" t="s">
        <v>70</v>
      </c>
      <c r="C46" s="15">
        <f>-650000000000</f>
        <v>-650000000000</v>
      </c>
      <c r="D46" s="2">
        <v>0</v>
      </c>
      <c r="E46"/>
      <c r="G46" t="e">
        <f>MID(#REF!,90,6)</f>
        <v>#REF!</v>
      </c>
    </row>
    <row r="47" spans="1:9" x14ac:dyDescent="0.2">
      <c r="A47" s="1" t="s">
        <v>69</v>
      </c>
      <c r="B47" s="1" t="s">
        <v>71</v>
      </c>
      <c r="C47" s="15">
        <f>-201029406210</f>
        <v>-201029406210</v>
      </c>
      <c r="D47" s="2">
        <v>0</v>
      </c>
      <c r="E47"/>
    </row>
    <row r="48" spans="1:9" x14ac:dyDescent="0.2">
      <c r="A48" s="1" t="s">
        <v>69</v>
      </c>
      <c r="B48" s="1" t="s">
        <v>72</v>
      </c>
      <c r="C48" s="15">
        <f>-1648801350000</f>
        <v>-1648801350000</v>
      </c>
      <c r="D48" s="2">
        <v>0</v>
      </c>
      <c r="E48"/>
    </row>
    <row r="49" spans="1:9" x14ac:dyDescent="0.2">
      <c r="A49" s="1" t="s">
        <v>73</v>
      </c>
      <c r="B49" s="1" t="s">
        <v>74</v>
      </c>
      <c r="C49" s="15">
        <f>-200100000000</f>
        <v>-200100000000</v>
      </c>
      <c r="D49" s="2">
        <v>0</v>
      </c>
      <c r="E49"/>
    </row>
    <row r="50" spans="1:9" x14ac:dyDescent="0.2">
      <c r="A50" s="1" t="s">
        <v>73</v>
      </c>
      <c r="B50" s="1" t="s">
        <v>75</v>
      </c>
      <c r="C50" s="15">
        <f>-299702945000</f>
        <v>-299702945000</v>
      </c>
      <c r="D50" s="2">
        <v>0</v>
      </c>
      <c r="E50"/>
    </row>
    <row r="51" spans="1:9" x14ac:dyDescent="0.2">
      <c r="A51" s="1" t="s">
        <v>76</v>
      </c>
      <c r="B51" s="1" t="s">
        <v>77</v>
      </c>
      <c r="C51" s="15">
        <f>-1797318900000</f>
        <v>-1797318900000</v>
      </c>
      <c r="D51" s="2">
        <v>0</v>
      </c>
      <c r="E51"/>
    </row>
    <row r="52" spans="1:9" x14ac:dyDescent="0.2">
      <c r="A52" s="1" t="s">
        <v>76</v>
      </c>
      <c r="B52" s="1" t="s">
        <v>78</v>
      </c>
      <c r="C52" s="15">
        <f>-502055290000</f>
        <v>-502055290000</v>
      </c>
      <c r="D52" s="2">
        <v>0</v>
      </c>
      <c r="E52"/>
    </row>
    <row r="53" spans="1:9" x14ac:dyDescent="0.2">
      <c r="A53" s="1" t="s">
        <v>76</v>
      </c>
      <c r="B53" s="1" t="s">
        <v>79</v>
      </c>
      <c r="C53" s="15">
        <f>-499509500000</f>
        <v>-499509500000</v>
      </c>
      <c r="D53" s="2">
        <v>0</v>
      </c>
      <c r="E53"/>
    </row>
    <row r="54" spans="1:9" x14ac:dyDescent="0.2">
      <c r="A54" s="1" t="s">
        <v>76</v>
      </c>
      <c r="B54" s="1" t="s">
        <v>80</v>
      </c>
      <c r="C54" s="15">
        <f>-499797400000</f>
        <v>-499797400000</v>
      </c>
      <c r="D54" s="2">
        <v>0</v>
      </c>
      <c r="E54"/>
    </row>
    <row r="55" spans="1:9" x14ac:dyDescent="0.2">
      <c r="A55" s="1" t="s">
        <v>76</v>
      </c>
      <c r="B55" s="1" t="s">
        <v>81</v>
      </c>
      <c r="C55" s="15">
        <f>-200363900000</f>
        <v>-200363900000</v>
      </c>
      <c r="D55" s="2">
        <v>0</v>
      </c>
      <c r="E55"/>
    </row>
    <row r="56" spans="1:9" x14ac:dyDescent="0.2">
      <c r="A56" s="1" t="s">
        <v>82</v>
      </c>
      <c r="B56" s="1" t="s">
        <v>83</v>
      </c>
      <c r="C56" s="15">
        <f>-499989636000</f>
        <v>-499989636000</v>
      </c>
      <c r="D56" s="2">
        <v>0</v>
      </c>
      <c r="E56"/>
    </row>
    <row r="57" spans="1:9" x14ac:dyDescent="0.2">
      <c r="A57" s="1" t="s">
        <v>82</v>
      </c>
      <c r="B57" s="1" t="s">
        <v>84</v>
      </c>
      <c r="C57" s="15">
        <f>-1499992450000</f>
        <v>-1499992450000</v>
      </c>
      <c r="D57" s="2">
        <v>0</v>
      </c>
      <c r="E57"/>
    </row>
    <row r="58" spans="1:9" x14ac:dyDescent="0.2">
      <c r="A58" s="1" t="s">
        <v>85</v>
      </c>
      <c r="B58" s="1" t="s">
        <v>86</v>
      </c>
      <c r="C58" s="15">
        <f>-1499746400000</f>
        <v>-1499746400000</v>
      </c>
      <c r="D58" s="2">
        <v>0</v>
      </c>
      <c r="E58"/>
    </row>
    <row r="59" spans="1:9" x14ac:dyDescent="0.2">
      <c r="A59" s="1" t="s">
        <v>85</v>
      </c>
      <c r="B59" s="1" t="s">
        <v>87</v>
      </c>
      <c r="C59" s="15">
        <f>-999825080000</f>
        <v>-999825080000</v>
      </c>
      <c r="D59" s="2">
        <v>0</v>
      </c>
      <c r="E59"/>
    </row>
    <row r="60" spans="1:9" x14ac:dyDescent="0.2">
      <c r="A60" s="1" t="s">
        <v>88</v>
      </c>
      <c r="B60" s="1" t="s">
        <v>89</v>
      </c>
      <c r="C60" s="15">
        <f>-999898305000</f>
        <v>-999898305000</v>
      </c>
      <c r="D60" s="2">
        <v>0</v>
      </c>
      <c r="E60"/>
    </row>
    <row r="61" spans="1:9" x14ac:dyDescent="0.2">
      <c r="A61" s="1" t="s">
        <v>88</v>
      </c>
      <c r="B61" s="1" t="s">
        <v>90</v>
      </c>
      <c r="C61" s="15">
        <f>-999715500000</f>
        <v>-999715500000</v>
      </c>
      <c r="D61" s="2">
        <v>0</v>
      </c>
      <c r="E61"/>
    </row>
    <row r="62" spans="1:9" x14ac:dyDescent="0.2">
      <c r="A62" s="1" t="s">
        <v>91</v>
      </c>
      <c r="B62" s="1" t="s">
        <v>92</v>
      </c>
      <c r="C62" s="15">
        <v>341651250000</v>
      </c>
      <c r="D62" s="2">
        <v>341651250000</v>
      </c>
      <c r="E62" s="18" t="str">
        <f t="shared" ref="E62:E67" si="5">MID(B62,16,11)</f>
        <v xml:space="preserve"> 7.155.000 </v>
      </c>
      <c r="F62" s="19">
        <v>7155000</v>
      </c>
      <c r="G62">
        <f>9+FIND("نرخ متوسط",B62)</f>
        <v>104</v>
      </c>
      <c r="H62" t="s">
        <v>207</v>
      </c>
      <c r="I62" t="str">
        <f>MID(B62,G62,7)</f>
        <v xml:space="preserve"> 50.100</v>
      </c>
    </row>
    <row r="63" spans="1:9" x14ac:dyDescent="0.2">
      <c r="A63" s="1" t="s">
        <v>91</v>
      </c>
      <c r="B63" s="1" t="s">
        <v>93</v>
      </c>
      <c r="C63" s="15">
        <v>1214526768075</v>
      </c>
      <c r="D63" s="2">
        <v>1214526768075</v>
      </c>
      <c r="E63" s="18" t="str">
        <f t="shared" si="5"/>
        <v xml:space="preserve"> 44.740.000</v>
      </c>
      <c r="F63" s="19">
        <v>44740000</v>
      </c>
      <c r="G63">
        <f>9+FIND("نرخ متوسط",B63)</f>
        <v>103</v>
      </c>
      <c r="H63" t="s">
        <v>208</v>
      </c>
      <c r="I63" t="str">
        <f>MID(B63,G63,7)</f>
        <v xml:space="preserve"> 29.500</v>
      </c>
    </row>
    <row r="64" spans="1:9" x14ac:dyDescent="0.2">
      <c r="A64" s="1" t="s">
        <v>91</v>
      </c>
      <c r="B64" s="1" t="s">
        <v>94</v>
      </c>
      <c r="C64" s="15">
        <v>483945790195</v>
      </c>
      <c r="D64" s="2">
        <v>483945790195</v>
      </c>
      <c r="E64" s="18" t="str">
        <f t="shared" si="5"/>
        <v xml:space="preserve"> 20.000.000</v>
      </c>
      <c r="F64" s="19">
        <v>20000000</v>
      </c>
      <c r="G64">
        <f>9+FIND("نرخ متوسط",B64)</f>
        <v>103</v>
      </c>
      <c r="H64" t="s">
        <v>209</v>
      </c>
      <c r="I64" t="str">
        <f>MID(B64,G64,7)</f>
        <v xml:space="preserve"> 25.745</v>
      </c>
    </row>
    <row r="65" spans="1:9" x14ac:dyDescent="0.2">
      <c r="A65" s="1" t="s">
        <v>91</v>
      </c>
      <c r="B65" s="1" t="s">
        <v>95</v>
      </c>
      <c r="C65" s="15">
        <v>409962114109</v>
      </c>
      <c r="D65" s="2">
        <v>409962114109</v>
      </c>
      <c r="E65" s="18" t="str">
        <f t="shared" si="5"/>
        <v xml:space="preserve"> 20.980.000</v>
      </c>
      <c r="F65" s="19">
        <v>20980000</v>
      </c>
      <c r="G65">
        <f>9+FIND("نرخ متوسط",B65)</f>
        <v>97</v>
      </c>
      <c r="H65" t="s">
        <v>210</v>
      </c>
      <c r="I65" t="str">
        <f>MID(B65,G65,7)</f>
        <v xml:space="preserve"> 20.652</v>
      </c>
    </row>
    <row r="66" spans="1:9" x14ac:dyDescent="0.2">
      <c r="A66" s="1" t="s">
        <v>91</v>
      </c>
      <c r="B66" s="1" t="s">
        <v>96</v>
      </c>
      <c r="C66" s="15">
        <v>499509500000</v>
      </c>
      <c r="D66" s="2">
        <v>499509500000</v>
      </c>
      <c r="E66" s="18" t="str">
        <f t="shared" si="5"/>
        <v xml:space="preserve"> 30.100.000</v>
      </c>
      <c r="F66" s="19">
        <v>30100000</v>
      </c>
      <c r="G66">
        <f>9+FIND("نرخ متوسط",B66)</f>
        <v>99</v>
      </c>
      <c r="H66" t="s">
        <v>211</v>
      </c>
      <c r="I66" t="str">
        <f>MID(B66,G66,7)</f>
        <v xml:space="preserve"> 16.903</v>
      </c>
    </row>
    <row r="67" spans="1:9" x14ac:dyDescent="0.2">
      <c r="A67" s="1" t="s">
        <v>91</v>
      </c>
      <c r="B67" s="1" t="s">
        <v>97</v>
      </c>
      <c r="C67" s="15">
        <v>1031752930703</v>
      </c>
      <c r="D67" s="2">
        <v>1031752930703</v>
      </c>
      <c r="E67" s="18" t="str">
        <f t="shared" si="5"/>
        <v xml:space="preserve"> 60.000.000</v>
      </c>
      <c r="F67" s="19">
        <v>60000000</v>
      </c>
      <c r="G67">
        <f>9+FIND("نرخ متوسط",B67)</f>
        <v>110</v>
      </c>
      <c r="H67" t="s">
        <v>212</v>
      </c>
      <c r="I67" t="str">
        <f>MID(B67,G67,7)</f>
        <v xml:space="preserve"> 17.651</v>
      </c>
    </row>
    <row r="68" spans="1:9" x14ac:dyDescent="0.2">
      <c r="A68" s="1" t="s">
        <v>91</v>
      </c>
      <c r="B68" s="1" t="s">
        <v>98</v>
      </c>
      <c r="C68" s="15">
        <f>-4180288000000</f>
        <v>-4180288000000</v>
      </c>
      <c r="D68" s="2">
        <v>0</v>
      </c>
      <c r="E68"/>
    </row>
    <row r="69" spans="1:9" x14ac:dyDescent="0.2">
      <c r="A69" s="1" t="s">
        <v>99</v>
      </c>
      <c r="B69" s="1" t="s">
        <v>100</v>
      </c>
      <c r="C69" s="15">
        <v>1794466969405</v>
      </c>
      <c r="D69" s="2">
        <v>1794466969405</v>
      </c>
      <c r="E69" s="18" t="str">
        <f t="shared" ref="E69:E80" si="6">MID(B69,16,11)</f>
        <v xml:space="preserve"> 133.000.00</v>
      </c>
      <c r="F69" s="19">
        <v>13300000</v>
      </c>
      <c r="G69">
        <f>9+FIND("نرخ متوسط",B69)</f>
        <v>91</v>
      </c>
      <c r="H69" t="s">
        <v>213</v>
      </c>
      <c r="I69" t="str">
        <f>MID(B69,G69,7)</f>
        <v xml:space="preserve"> 13.767</v>
      </c>
    </row>
    <row r="70" spans="1:9" x14ac:dyDescent="0.2">
      <c r="A70" s="1" t="s">
        <v>99</v>
      </c>
      <c r="B70" s="1" t="s">
        <v>101</v>
      </c>
      <c r="C70" s="15">
        <v>2274545213915</v>
      </c>
      <c r="D70" s="2">
        <v>2274545213915</v>
      </c>
      <c r="E70" s="18" t="str">
        <f t="shared" si="6"/>
        <v xml:space="preserve"> 94.000.000</v>
      </c>
      <c r="F70" s="19">
        <v>94000000</v>
      </c>
      <c r="G70">
        <f>9+FIND("نرخ متوسط",B70)</f>
        <v>100</v>
      </c>
      <c r="H70" t="s">
        <v>214</v>
      </c>
      <c r="I70" t="str">
        <f>MID(B70,G70,7)</f>
        <v xml:space="preserve"> 25.850</v>
      </c>
    </row>
    <row r="71" spans="1:9" x14ac:dyDescent="0.2">
      <c r="A71" s="1" t="s">
        <v>99</v>
      </c>
      <c r="B71" s="1" t="s">
        <v>102</v>
      </c>
      <c r="C71" s="15">
        <v>859794108919</v>
      </c>
      <c r="D71" s="2">
        <v>859794108919</v>
      </c>
      <c r="E71" s="18" t="str">
        <f t="shared" si="6"/>
        <v xml:space="preserve"> 50.000.000</v>
      </c>
      <c r="F71" s="19">
        <v>50000000</v>
      </c>
      <c r="G71">
        <f>9+FIND("نرخ متوسط",B71)</f>
        <v>95</v>
      </c>
      <c r="H71" t="s">
        <v>215</v>
      </c>
      <c r="I71" t="str">
        <f>MID(B71,G71,7)</f>
        <v xml:space="preserve"> 17.717</v>
      </c>
    </row>
    <row r="72" spans="1:9" x14ac:dyDescent="0.2">
      <c r="A72" s="1" t="s">
        <v>99</v>
      </c>
      <c r="B72" s="1" t="s">
        <v>103</v>
      </c>
      <c r="C72" s="15">
        <v>1619163086365</v>
      </c>
      <c r="D72" s="2">
        <v>1619163086365</v>
      </c>
      <c r="E72" s="18" t="str">
        <f t="shared" si="6"/>
        <v xml:space="preserve"> 81.000.000</v>
      </c>
      <c r="F72" s="19">
        <v>81000000</v>
      </c>
      <c r="G72">
        <f>9+FIND("نرخ متوسط",B72)</f>
        <v>96</v>
      </c>
      <c r="H72" t="s">
        <v>216</v>
      </c>
      <c r="I72" t="str">
        <f>MID(B72,G72,7)</f>
        <v xml:space="preserve"> 20.326</v>
      </c>
    </row>
    <row r="73" spans="1:9" x14ac:dyDescent="0.2">
      <c r="A73" s="1" t="s">
        <v>99</v>
      </c>
      <c r="B73" s="1" t="s">
        <v>104</v>
      </c>
      <c r="C73" s="15">
        <v>1004351732594</v>
      </c>
      <c r="D73" s="2">
        <v>1004351732594</v>
      </c>
      <c r="E73" s="18" t="str">
        <f>MID(B73,23,12)</f>
        <v xml:space="preserve"> 60.000.000 </v>
      </c>
      <c r="F73" s="19">
        <v>60000000</v>
      </c>
      <c r="G73">
        <f>9+FIND("نرخ متوسط",B73)</f>
        <v>114</v>
      </c>
      <c r="H73" t="s">
        <v>217</v>
      </c>
      <c r="I73" t="str">
        <f>MID(B73,G73,7)</f>
        <v xml:space="preserve"> 16.924</v>
      </c>
    </row>
    <row r="74" spans="1:9" x14ac:dyDescent="0.2">
      <c r="A74" s="1" t="s">
        <v>99</v>
      </c>
      <c r="B74" s="1" t="s">
        <v>105</v>
      </c>
      <c r="C74" s="15">
        <v>906003000000</v>
      </c>
      <c r="D74" s="2">
        <v>906003000000</v>
      </c>
      <c r="E74" s="18" t="str">
        <f t="shared" si="6"/>
        <v xml:space="preserve"> 73.000.000</v>
      </c>
      <c r="F74" s="19">
        <v>73000000</v>
      </c>
      <c r="G74">
        <f>9+FIND("نرخ متوسط",B74)</f>
        <v>89</v>
      </c>
      <c r="H74" t="s">
        <v>218</v>
      </c>
      <c r="I74" t="str">
        <f>MID(B74,G74,7)</f>
        <v xml:space="preserve"> 12.846</v>
      </c>
    </row>
    <row r="75" spans="1:9" x14ac:dyDescent="0.2">
      <c r="A75" s="1" t="s">
        <v>106</v>
      </c>
      <c r="B75" s="1" t="s">
        <v>107</v>
      </c>
      <c r="C75" s="15">
        <v>161906794232</v>
      </c>
      <c r="D75" s="2">
        <v>161906794232</v>
      </c>
      <c r="E75" s="18" t="str">
        <f t="shared" si="6"/>
        <v xml:space="preserve"> 12.000.000</v>
      </c>
      <c r="F75" s="19">
        <v>12000000</v>
      </c>
      <c r="G75">
        <f>9+FIND("نرخ متوسط",B75)</f>
        <v>90</v>
      </c>
      <c r="H75" t="s">
        <v>219</v>
      </c>
      <c r="I75" t="str">
        <f>MID(B75,G75,7)</f>
        <v xml:space="preserve"> 13.903</v>
      </c>
    </row>
    <row r="76" spans="1:9" x14ac:dyDescent="0.2">
      <c r="A76" s="1" t="s">
        <v>106</v>
      </c>
      <c r="B76" s="1" t="s">
        <v>108</v>
      </c>
      <c r="C76" s="15">
        <v>232293979293</v>
      </c>
      <c r="D76" s="2">
        <v>232293979293</v>
      </c>
      <c r="E76" s="18" t="str">
        <f t="shared" si="6"/>
        <v xml:space="preserve"> 9.600.000 </v>
      </c>
      <c r="F76" s="19">
        <v>9600000</v>
      </c>
      <c r="G76">
        <f>9+FIND("نرخ متوسط",B76)</f>
        <v>99</v>
      </c>
      <c r="H76" t="s">
        <v>220</v>
      </c>
      <c r="I76" t="str">
        <f>MID(B76,G76,7)</f>
        <v xml:space="preserve"> 26.091</v>
      </c>
    </row>
    <row r="77" spans="1:9" x14ac:dyDescent="0.2">
      <c r="A77" s="1" t="s">
        <v>106</v>
      </c>
      <c r="B77" s="1" t="s">
        <v>109</v>
      </c>
      <c r="C77" s="15">
        <v>80820646238</v>
      </c>
      <c r="D77" s="2">
        <v>80820646238</v>
      </c>
      <c r="E77" s="18" t="str">
        <f t="shared" si="6"/>
        <v xml:space="preserve"> 4.700.000 </v>
      </c>
      <c r="F77" s="19">
        <v>4700000</v>
      </c>
      <c r="G77">
        <f>9+FIND("نرخ متوسط",B77)</f>
        <v>94</v>
      </c>
      <c r="H77" t="s">
        <v>221</v>
      </c>
      <c r="I77" t="str">
        <f>MID(B77,G77,7)</f>
        <v xml:space="preserve"> 17.900</v>
      </c>
    </row>
    <row r="78" spans="1:9" x14ac:dyDescent="0.2">
      <c r="A78" s="1" t="s">
        <v>106</v>
      </c>
      <c r="B78" s="1" t="s">
        <v>110</v>
      </c>
      <c r="C78" s="15">
        <v>405790254978</v>
      </c>
      <c r="D78" s="2">
        <v>405790254978</v>
      </c>
      <c r="E78" s="18" t="str">
        <f t="shared" si="6"/>
        <v xml:space="preserve"> 20.300.000</v>
      </c>
      <c r="F78" s="19">
        <v>20300000</v>
      </c>
      <c r="G78">
        <f>9+FIND("نرخ متوسط",B78)</f>
        <v>96</v>
      </c>
      <c r="H78" t="s">
        <v>222</v>
      </c>
      <c r="I78" t="str">
        <f>MID(B78,G78,7)</f>
        <v xml:space="preserve"> 20.519</v>
      </c>
    </row>
    <row r="79" spans="1:9" x14ac:dyDescent="0.2">
      <c r="A79" s="1" t="s">
        <v>106</v>
      </c>
      <c r="B79" s="1" t="s">
        <v>111</v>
      </c>
      <c r="C79" s="15">
        <v>326414313093</v>
      </c>
      <c r="D79" s="2">
        <v>326414313093</v>
      </c>
      <c r="E79" s="18" t="str">
        <f t="shared" si="6"/>
        <v xml:space="preserve"> 19.500.000</v>
      </c>
      <c r="F79" s="19">
        <v>19500000</v>
      </c>
      <c r="G79">
        <f>9+FIND("نرخ متوسط",B79)</f>
        <v>107</v>
      </c>
      <c r="H79" t="s">
        <v>223</v>
      </c>
      <c r="I79" t="str">
        <f>MID(B79,G79,7)</f>
        <v xml:space="preserve"> 17.098</v>
      </c>
    </row>
    <row r="80" spans="1:9" x14ac:dyDescent="0.2">
      <c r="A80" s="1" t="s">
        <v>106</v>
      </c>
      <c r="B80" s="1" t="s">
        <v>112</v>
      </c>
      <c r="C80" s="15">
        <v>239532300000</v>
      </c>
      <c r="D80" s="2">
        <v>239532300000</v>
      </c>
      <c r="E80" s="18" t="str">
        <f t="shared" si="6"/>
        <v xml:space="preserve"> 19.300.000</v>
      </c>
      <c r="F80" s="19">
        <v>19300000</v>
      </c>
      <c r="G80">
        <f>9+FIND("نرخ متوسط",B80)</f>
        <v>89</v>
      </c>
      <c r="H80" t="s">
        <v>224</v>
      </c>
      <c r="I80" t="str">
        <f>MID(B80,G80,7)</f>
        <v xml:space="preserve"> 12.975</v>
      </c>
    </row>
    <row r="81" spans="1:5" x14ac:dyDescent="0.2">
      <c r="A81" s="1" t="s">
        <v>113</v>
      </c>
      <c r="B81" s="1" t="s">
        <v>114</v>
      </c>
      <c r="C81" s="15">
        <f>-699847864000</f>
        <v>-699847864000</v>
      </c>
      <c r="D81" s="2">
        <v>0</v>
      </c>
      <c r="E81"/>
    </row>
    <row r="82" spans="1:5" x14ac:dyDescent="0.2">
      <c r="A82" s="1" t="s">
        <v>113</v>
      </c>
      <c r="B82" s="1" t="s">
        <v>115</v>
      </c>
      <c r="C82" s="15">
        <f>-799841847000</f>
        <v>-799841847000</v>
      </c>
      <c r="D82" s="2">
        <v>0</v>
      </c>
      <c r="E82"/>
    </row>
    <row r="83" spans="1:5" x14ac:dyDescent="0.2">
      <c r="A83" s="1" t="s">
        <v>113</v>
      </c>
      <c r="B83" s="1" t="s">
        <v>116</v>
      </c>
      <c r="C83" s="15">
        <f>-499904640000</f>
        <v>-499904640000</v>
      </c>
      <c r="D83" s="2">
        <v>0</v>
      </c>
      <c r="E83"/>
    </row>
  </sheetData>
  <autoFilter ref="A1:D83" xr:uid="{00000000-0001-0000-0000-000000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75AFA-9517-4CF5-B188-0896AFE91F8B}">
  <sheetPr filterMode="1"/>
  <dimension ref="A1:M83"/>
  <sheetViews>
    <sheetView rightToLeft="1" topLeftCell="B1" workbookViewId="0">
      <selection activeCell="G29" sqref="G29"/>
    </sheetView>
  </sheetViews>
  <sheetFormatPr defaultRowHeight="12.75" x14ac:dyDescent="0.2"/>
  <cols>
    <col min="1" max="1" width="11.42578125" customWidth="1"/>
    <col min="2" max="2" width="115.28515625" customWidth="1"/>
  </cols>
  <sheetData>
    <row r="1" spans="1:13" x14ac:dyDescent="0.2">
      <c r="A1" s="3" t="s">
        <v>0</v>
      </c>
      <c r="B1" s="3" t="s">
        <v>1</v>
      </c>
    </row>
    <row r="2" spans="1:13" hidden="1" x14ac:dyDescent="0.2">
      <c r="A2" s="1" t="s">
        <v>5</v>
      </c>
      <c r="B2" s="1" t="s">
        <v>6</v>
      </c>
    </row>
    <row r="3" spans="1:13" hidden="1" x14ac:dyDescent="0.2">
      <c r="A3" s="1" t="s">
        <v>7</v>
      </c>
      <c r="B3" s="1" t="s">
        <v>8</v>
      </c>
    </row>
    <row r="4" spans="1:13" hidden="1" x14ac:dyDescent="0.2">
      <c r="A4" s="1" t="s">
        <v>7</v>
      </c>
      <c r="B4" s="1" t="s">
        <v>9</v>
      </c>
    </row>
    <row r="5" spans="1:13" hidden="1" x14ac:dyDescent="0.2">
      <c r="A5" s="1" t="s">
        <v>10</v>
      </c>
      <c r="B5" s="1" t="s">
        <v>11</v>
      </c>
    </row>
    <row r="6" spans="1:13" hidden="1" x14ac:dyDescent="0.2">
      <c r="A6" s="1" t="s">
        <v>12</v>
      </c>
      <c r="B6" s="1" t="s">
        <v>13</v>
      </c>
    </row>
    <row r="7" spans="1:13" hidden="1" x14ac:dyDescent="0.2">
      <c r="A7" s="1" t="s">
        <v>14</v>
      </c>
      <c r="B7" s="1" t="s">
        <v>15</v>
      </c>
    </row>
    <row r="8" spans="1:13" hidden="1" x14ac:dyDescent="0.2">
      <c r="A8" s="1" t="s">
        <v>14</v>
      </c>
      <c r="B8" s="1" t="s">
        <v>16</v>
      </c>
    </row>
    <row r="9" spans="1:13" x14ac:dyDescent="0.2">
      <c r="A9" s="1" t="s">
        <v>17</v>
      </c>
      <c r="B9" s="5" t="s">
        <v>175</v>
      </c>
      <c r="C9" t="s">
        <v>176</v>
      </c>
      <c r="D9" t="s">
        <v>4</v>
      </c>
      <c r="E9" t="s">
        <v>177</v>
      </c>
      <c r="F9" t="s">
        <v>178</v>
      </c>
      <c r="G9">
        <v>20.826000000000001</v>
      </c>
      <c r="H9">
        <v>20.826000000000001</v>
      </c>
      <c r="I9" t="s">
        <v>180</v>
      </c>
      <c r="J9" t="s">
        <v>181</v>
      </c>
      <c r="K9" t="s">
        <v>182</v>
      </c>
      <c r="L9" t="s">
        <v>183</v>
      </c>
    </row>
    <row r="10" spans="1:13" x14ac:dyDescent="0.2">
      <c r="A10" s="1" t="s">
        <v>17</v>
      </c>
      <c r="B10" s="5" t="s">
        <v>175</v>
      </c>
      <c r="C10" t="s">
        <v>176</v>
      </c>
      <c r="D10" t="s">
        <v>4</v>
      </c>
      <c r="E10" t="s">
        <v>184</v>
      </c>
      <c r="F10" t="s">
        <v>178</v>
      </c>
      <c r="G10">
        <v>26.347000000000001</v>
      </c>
      <c r="H10">
        <v>26.347000000000001</v>
      </c>
      <c r="I10" t="s">
        <v>179</v>
      </c>
      <c r="J10" t="s">
        <v>180</v>
      </c>
      <c r="K10" t="s">
        <v>181</v>
      </c>
      <c r="L10" t="s">
        <v>182</v>
      </c>
      <c r="M10" t="s">
        <v>183</v>
      </c>
    </row>
    <row r="11" spans="1:13" x14ac:dyDescent="0.2">
      <c r="A11" s="1" t="s">
        <v>17</v>
      </c>
      <c r="B11" s="5" t="s">
        <v>175</v>
      </c>
      <c r="C11" t="s">
        <v>176</v>
      </c>
      <c r="D11" t="s">
        <v>4</v>
      </c>
      <c r="E11" t="s">
        <v>185</v>
      </c>
      <c r="F11" t="s">
        <v>178</v>
      </c>
      <c r="G11">
        <v>22.954000000000001</v>
      </c>
      <c r="H11">
        <v>22.954000000000001</v>
      </c>
      <c r="I11" t="s">
        <v>180</v>
      </c>
      <c r="J11" t="s">
        <v>181</v>
      </c>
      <c r="K11" t="s">
        <v>182</v>
      </c>
      <c r="L11" t="s">
        <v>183</v>
      </c>
    </row>
    <row r="12" spans="1:13" x14ac:dyDescent="0.2">
      <c r="A12" s="1" t="s">
        <v>17</v>
      </c>
      <c r="B12" s="5" t="s">
        <v>165</v>
      </c>
      <c r="G12">
        <f>FIND(18.478,B12)</f>
        <v>34</v>
      </c>
      <c r="H12" t="str">
        <f>MID(B12,34,6)</f>
        <v>18.478</v>
      </c>
    </row>
    <row r="13" spans="1:13" x14ac:dyDescent="0.2">
      <c r="A13" s="1" t="s">
        <v>17</v>
      </c>
      <c r="B13" s="5" t="s">
        <v>166</v>
      </c>
      <c r="G13">
        <f>FIND(15.084,B13)</f>
        <v>35</v>
      </c>
      <c r="H13" t="str">
        <f>MID(B13,35,6)</f>
        <v>15.084</v>
      </c>
    </row>
    <row r="14" spans="1:13" hidden="1" x14ac:dyDescent="0.2">
      <c r="A14" s="1" t="s">
        <v>23</v>
      </c>
      <c r="B14" s="1" t="s">
        <v>24</v>
      </c>
    </row>
    <row r="15" spans="1:13" hidden="1" x14ac:dyDescent="0.2">
      <c r="A15" s="1" t="s">
        <v>23</v>
      </c>
      <c r="B15" s="1" t="s">
        <v>25</v>
      </c>
    </row>
    <row r="16" spans="1:13" hidden="1" x14ac:dyDescent="0.2">
      <c r="A16" s="1" t="s">
        <v>23</v>
      </c>
      <c r="B16" s="1" t="s">
        <v>26</v>
      </c>
    </row>
    <row r="17" spans="1:8" hidden="1" x14ac:dyDescent="0.2">
      <c r="A17" s="1" t="s">
        <v>23</v>
      </c>
      <c r="B17" s="1" t="s">
        <v>27</v>
      </c>
    </row>
    <row r="18" spans="1:8" hidden="1" x14ac:dyDescent="0.2">
      <c r="A18" s="1" t="s">
        <v>23</v>
      </c>
      <c r="B18" s="1" t="s">
        <v>28</v>
      </c>
    </row>
    <row r="19" spans="1:8" hidden="1" x14ac:dyDescent="0.2">
      <c r="A19" s="1" t="s">
        <v>29</v>
      </c>
      <c r="B19" s="1" t="s">
        <v>30</v>
      </c>
    </row>
    <row r="20" spans="1:8" x14ac:dyDescent="0.2">
      <c r="A20" s="1" t="s">
        <v>31</v>
      </c>
      <c r="B20" s="5" t="s">
        <v>167</v>
      </c>
      <c r="G20">
        <f>FIND(10.158,B20)</f>
        <v>31</v>
      </c>
      <c r="H20" t="str">
        <f>MID(B20,31,7)</f>
        <v xml:space="preserve">10.158 </v>
      </c>
    </row>
    <row r="21" spans="1:8" x14ac:dyDescent="0.2">
      <c r="A21" s="1" t="s">
        <v>33</v>
      </c>
      <c r="B21" s="5" t="s">
        <v>168</v>
      </c>
      <c r="G21">
        <f>FIND(10.009,B21)</f>
        <v>31</v>
      </c>
      <c r="H21" t="str">
        <f>MID(B21,31,6)</f>
        <v>10.009</v>
      </c>
    </row>
    <row r="22" spans="1:8" x14ac:dyDescent="0.2">
      <c r="A22" s="1" t="s">
        <v>35</v>
      </c>
      <c r="B22" s="5" t="s">
        <v>169</v>
      </c>
      <c r="G22">
        <f>FIND(10.006,B22)</f>
        <v>31</v>
      </c>
      <c r="H22" t="str">
        <f>MID(B22,31,6)</f>
        <v>10.006</v>
      </c>
    </row>
    <row r="23" spans="1:8" x14ac:dyDescent="0.2">
      <c r="A23" s="1" t="s">
        <v>37</v>
      </c>
      <c r="B23" s="5" t="s">
        <v>170</v>
      </c>
      <c r="G23">
        <f>FIND(10.03,B23)</f>
        <v>31</v>
      </c>
      <c r="H23" t="str">
        <f>MID(B23,31,6)</f>
        <v>10.030</v>
      </c>
    </row>
    <row r="24" spans="1:8" hidden="1" x14ac:dyDescent="0.2">
      <c r="A24" s="1" t="s">
        <v>39</v>
      </c>
      <c r="B24" s="1" t="s">
        <v>40</v>
      </c>
    </row>
    <row r="25" spans="1:8" hidden="1" x14ac:dyDescent="0.2">
      <c r="A25" s="1" t="s">
        <v>39</v>
      </c>
      <c r="B25" s="1" t="s">
        <v>41</v>
      </c>
    </row>
    <row r="26" spans="1:8" hidden="1" x14ac:dyDescent="0.2">
      <c r="A26" s="1" t="s">
        <v>39</v>
      </c>
      <c r="B26" s="1" t="s">
        <v>42</v>
      </c>
    </row>
    <row r="27" spans="1:8" x14ac:dyDescent="0.2">
      <c r="A27" s="1" t="s">
        <v>39</v>
      </c>
      <c r="B27" s="5" t="s">
        <v>171</v>
      </c>
      <c r="G27">
        <f>FIND(10.02,B27)</f>
        <v>33</v>
      </c>
      <c r="H27" t="str">
        <f>MID(B$27,33,6)</f>
        <v>10.020</v>
      </c>
    </row>
    <row r="28" spans="1:8" x14ac:dyDescent="0.2">
      <c r="A28" s="1" t="s">
        <v>44</v>
      </c>
      <c r="B28" s="5" t="s">
        <v>172</v>
      </c>
      <c r="G28">
        <f>FIND(10.048,B28)</f>
        <v>31</v>
      </c>
      <c r="H28" t="str">
        <f>MID(B28,31,6)</f>
        <v>10.048</v>
      </c>
    </row>
    <row r="29" spans="1:8" x14ac:dyDescent="0.2">
      <c r="A29" s="1" t="s">
        <v>46</v>
      </c>
      <c r="B29" s="5" t="s">
        <v>173</v>
      </c>
      <c r="G29">
        <f>FIND(10.058,B29)</f>
        <v>31</v>
      </c>
      <c r="H29" t="str">
        <f>MID(B29,31,6)</f>
        <v>10.058</v>
      </c>
    </row>
    <row r="30" spans="1:8" x14ac:dyDescent="0.2">
      <c r="A30" s="1" t="s">
        <v>48</v>
      </c>
      <c r="B30" s="5" t="s">
        <v>174</v>
      </c>
      <c r="G30">
        <f>FIND(10.068,B30)</f>
        <v>31</v>
      </c>
      <c r="H30" t="str">
        <f>MID(B30,31,6)</f>
        <v>10.068</v>
      </c>
    </row>
    <row r="31" spans="1:8" x14ac:dyDescent="0.2">
      <c r="A31" s="1" t="s">
        <v>50</v>
      </c>
      <c r="B31" s="1" t="s">
        <v>51</v>
      </c>
      <c r="G31">
        <f>FIND(10.044,B31)</f>
        <v>100</v>
      </c>
      <c r="H31" t="str">
        <f>MID(B31,100,6)</f>
        <v>10.044</v>
      </c>
    </row>
    <row r="32" spans="1:8" hidden="1" x14ac:dyDescent="0.2">
      <c r="A32" s="1" t="s">
        <v>52</v>
      </c>
      <c r="B32" s="1" t="s">
        <v>53</v>
      </c>
    </row>
    <row r="33" spans="1:8" hidden="1" x14ac:dyDescent="0.2">
      <c r="A33" s="1" t="s">
        <v>52</v>
      </c>
      <c r="B33" s="1" t="s">
        <v>54</v>
      </c>
    </row>
    <row r="34" spans="1:8" hidden="1" x14ac:dyDescent="0.2">
      <c r="A34" s="1" t="s">
        <v>52</v>
      </c>
      <c r="B34" s="1" t="s">
        <v>55</v>
      </c>
    </row>
    <row r="35" spans="1:8" hidden="1" x14ac:dyDescent="0.2">
      <c r="A35" s="1" t="s">
        <v>52</v>
      </c>
      <c r="B35" s="1" t="s">
        <v>56</v>
      </c>
    </row>
    <row r="36" spans="1:8" hidden="1" x14ac:dyDescent="0.2">
      <c r="A36" s="1" t="s">
        <v>52</v>
      </c>
      <c r="B36" s="1" t="s">
        <v>57</v>
      </c>
    </row>
    <row r="37" spans="1:8" hidden="1" x14ac:dyDescent="0.2">
      <c r="A37" s="1" t="s">
        <v>52</v>
      </c>
      <c r="B37" s="1" t="s">
        <v>58</v>
      </c>
    </row>
    <row r="38" spans="1:8" hidden="1" x14ac:dyDescent="0.2">
      <c r="A38" s="1" t="s">
        <v>52</v>
      </c>
      <c r="B38" s="1" t="s">
        <v>59</v>
      </c>
    </row>
    <row r="39" spans="1:8" hidden="1" x14ac:dyDescent="0.2">
      <c r="A39" s="1" t="s">
        <v>52</v>
      </c>
      <c r="B39" s="1" t="s">
        <v>60</v>
      </c>
    </row>
    <row r="40" spans="1:8" x14ac:dyDescent="0.2">
      <c r="A40" s="1" t="s">
        <v>61</v>
      </c>
      <c r="B40" s="1" t="s">
        <v>62</v>
      </c>
      <c r="G40">
        <f>FIND(47.956,B40)</f>
        <v>105</v>
      </c>
      <c r="H40" t="str">
        <f>MID(B40,105,6)</f>
        <v>47.956</v>
      </c>
    </row>
    <row r="41" spans="1:8" x14ac:dyDescent="0.2">
      <c r="A41" s="1" t="s">
        <v>61</v>
      </c>
      <c r="B41" s="1" t="s">
        <v>63</v>
      </c>
      <c r="G41">
        <f>FIND(28.273,B41)</f>
        <v>104</v>
      </c>
      <c r="H41" t="str">
        <f>MID(B41,104,6)</f>
        <v>28.273</v>
      </c>
    </row>
    <row r="42" spans="1:8" x14ac:dyDescent="0.2">
      <c r="A42" s="1" t="s">
        <v>61</v>
      </c>
      <c r="B42" s="1" t="s">
        <v>64</v>
      </c>
      <c r="G42">
        <f>FIND(16.167,B42)</f>
        <v>97</v>
      </c>
      <c r="H42" t="str">
        <f>MID(B42,97,6)</f>
        <v>16.167</v>
      </c>
    </row>
    <row r="43" spans="1:8" x14ac:dyDescent="0.2">
      <c r="A43" s="1" t="s">
        <v>61</v>
      </c>
      <c r="B43" s="1" t="s">
        <v>65</v>
      </c>
      <c r="G43">
        <f>FIND(19.829,B43)</f>
        <v>98</v>
      </c>
      <c r="H43" t="str">
        <f>MID(B43,98,6)</f>
        <v>19.829</v>
      </c>
    </row>
    <row r="44" spans="1:8" x14ac:dyDescent="0.2">
      <c r="A44" s="1" t="s">
        <v>61</v>
      </c>
      <c r="B44" s="1" t="s">
        <v>66</v>
      </c>
      <c r="G44">
        <f>FIND(15.637,B44)</f>
        <v>103</v>
      </c>
      <c r="H44" t="str">
        <f>MID(B44,103,6)</f>
        <v>15.637</v>
      </c>
    </row>
    <row r="45" spans="1:8" x14ac:dyDescent="0.2">
      <c r="A45" s="1" t="s">
        <v>67</v>
      </c>
      <c r="B45" s="1" t="s">
        <v>68</v>
      </c>
      <c r="G45">
        <f>FIND(19.938,B45)</f>
        <v>96</v>
      </c>
      <c r="H45" t="str">
        <f>MID(B45,96,6)</f>
        <v>19.938</v>
      </c>
    </row>
    <row r="46" spans="1:8" hidden="1" x14ac:dyDescent="0.2">
      <c r="A46" s="1" t="s">
        <v>69</v>
      </c>
      <c r="B46" s="1" t="s">
        <v>70</v>
      </c>
    </row>
    <row r="47" spans="1:8" hidden="1" x14ac:dyDescent="0.2">
      <c r="A47" s="1" t="s">
        <v>69</v>
      </c>
      <c r="B47" s="1" t="s">
        <v>71</v>
      </c>
    </row>
    <row r="48" spans="1:8" hidden="1" x14ac:dyDescent="0.2">
      <c r="A48" s="1" t="s">
        <v>69</v>
      </c>
      <c r="B48" s="1" t="s">
        <v>72</v>
      </c>
    </row>
    <row r="49" spans="1:8" hidden="1" x14ac:dyDescent="0.2">
      <c r="A49" s="1" t="s">
        <v>73</v>
      </c>
      <c r="B49" s="1" t="s">
        <v>74</v>
      </c>
    </row>
    <row r="50" spans="1:8" hidden="1" x14ac:dyDescent="0.2">
      <c r="A50" s="1" t="s">
        <v>73</v>
      </c>
      <c r="B50" s="1" t="s">
        <v>75</v>
      </c>
    </row>
    <row r="51" spans="1:8" hidden="1" x14ac:dyDescent="0.2">
      <c r="A51" s="1" t="s">
        <v>76</v>
      </c>
      <c r="B51" s="1" t="s">
        <v>77</v>
      </c>
    </row>
    <row r="52" spans="1:8" hidden="1" x14ac:dyDescent="0.2">
      <c r="A52" s="1" t="s">
        <v>76</v>
      </c>
      <c r="B52" s="1" t="s">
        <v>78</v>
      </c>
    </row>
    <row r="53" spans="1:8" hidden="1" x14ac:dyDescent="0.2">
      <c r="A53" s="1" t="s">
        <v>76</v>
      </c>
      <c r="B53" s="1" t="s">
        <v>79</v>
      </c>
    </row>
    <row r="54" spans="1:8" hidden="1" x14ac:dyDescent="0.2">
      <c r="A54" s="1" t="s">
        <v>76</v>
      </c>
      <c r="B54" s="1" t="s">
        <v>80</v>
      </c>
    </row>
    <row r="55" spans="1:8" hidden="1" x14ac:dyDescent="0.2">
      <c r="A55" s="1" t="s">
        <v>76</v>
      </c>
      <c r="B55" s="1" t="s">
        <v>81</v>
      </c>
    </row>
    <row r="56" spans="1:8" hidden="1" x14ac:dyDescent="0.2">
      <c r="A56" s="1" t="s">
        <v>82</v>
      </c>
      <c r="B56" s="1" t="s">
        <v>83</v>
      </c>
    </row>
    <row r="57" spans="1:8" hidden="1" x14ac:dyDescent="0.2">
      <c r="A57" s="1" t="s">
        <v>82</v>
      </c>
      <c r="B57" s="1" t="s">
        <v>84</v>
      </c>
    </row>
    <row r="58" spans="1:8" hidden="1" x14ac:dyDescent="0.2">
      <c r="A58" s="1" t="s">
        <v>85</v>
      </c>
      <c r="B58" s="1" t="s">
        <v>86</v>
      </c>
    </row>
    <row r="59" spans="1:8" hidden="1" x14ac:dyDescent="0.2">
      <c r="A59" s="1" t="s">
        <v>85</v>
      </c>
      <c r="B59" s="1" t="s">
        <v>87</v>
      </c>
    </row>
    <row r="60" spans="1:8" hidden="1" x14ac:dyDescent="0.2">
      <c r="A60" s="1" t="s">
        <v>88</v>
      </c>
      <c r="B60" s="1" t="s">
        <v>89</v>
      </c>
    </row>
    <row r="61" spans="1:8" hidden="1" x14ac:dyDescent="0.2">
      <c r="A61" s="1" t="s">
        <v>88</v>
      </c>
      <c r="B61" s="1" t="s">
        <v>90</v>
      </c>
    </row>
    <row r="62" spans="1:8" x14ac:dyDescent="0.2">
      <c r="A62" s="1" t="s">
        <v>91</v>
      </c>
      <c r="B62" s="1" t="s">
        <v>92</v>
      </c>
      <c r="G62">
        <f>FIND(50.1,B62)</f>
        <v>105</v>
      </c>
      <c r="H62" t="str">
        <f t="shared" ref="H62:H67" si="0">MID(B62,105,6)</f>
        <v>50.100</v>
      </c>
    </row>
    <row r="63" spans="1:8" x14ac:dyDescent="0.2">
      <c r="A63" s="1" t="s">
        <v>91</v>
      </c>
      <c r="B63" s="1" t="s">
        <v>93</v>
      </c>
      <c r="G63">
        <f>FIND(29.5,B63)</f>
        <v>104</v>
      </c>
      <c r="H63" t="str">
        <f>MID(B63,104,6)</f>
        <v>29.500</v>
      </c>
    </row>
    <row r="64" spans="1:8" x14ac:dyDescent="0.2">
      <c r="A64" s="1" t="s">
        <v>91</v>
      </c>
      <c r="B64" s="1" t="s">
        <v>94</v>
      </c>
      <c r="G64">
        <f>FIND(25.745,B64)</f>
        <v>104</v>
      </c>
      <c r="H64" t="str">
        <f>MID(B64,104,6)</f>
        <v>25.745</v>
      </c>
    </row>
    <row r="65" spans="1:8" x14ac:dyDescent="0.2">
      <c r="A65" s="1" t="s">
        <v>91</v>
      </c>
      <c r="B65" s="1" t="s">
        <v>95</v>
      </c>
      <c r="G65">
        <f>FIND(20.652,B65)</f>
        <v>98</v>
      </c>
      <c r="H65" t="str">
        <f>MID(B65,98,6)</f>
        <v>20.652</v>
      </c>
    </row>
    <row r="66" spans="1:8" x14ac:dyDescent="0.2">
      <c r="A66" s="1" t="s">
        <v>91</v>
      </c>
      <c r="B66" s="1" t="s">
        <v>96</v>
      </c>
      <c r="G66">
        <f>FIND(16.903,B66)</f>
        <v>100</v>
      </c>
      <c r="H66" t="str">
        <f>MID(B66,100,6)</f>
        <v>16.903</v>
      </c>
    </row>
    <row r="67" spans="1:8" x14ac:dyDescent="0.2">
      <c r="A67" s="1" t="s">
        <v>91</v>
      </c>
      <c r="B67" s="1" t="s">
        <v>97</v>
      </c>
      <c r="G67">
        <f>FIND(17.651,B67)</f>
        <v>111</v>
      </c>
      <c r="H67" t="str">
        <f>MID(B67,111,6)</f>
        <v>17.651</v>
      </c>
    </row>
    <row r="68" spans="1:8" hidden="1" x14ac:dyDescent="0.2">
      <c r="A68" s="1" t="s">
        <v>91</v>
      </c>
      <c r="B68" s="1" t="s">
        <v>98</v>
      </c>
    </row>
    <row r="69" spans="1:8" x14ac:dyDescent="0.2">
      <c r="A69" s="1" t="s">
        <v>99</v>
      </c>
      <c r="B69" s="1" t="s">
        <v>100</v>
      </c>
      <c r="G69">
        <f>FIND(13.767,B69)</f>
        <v>92</v>
      </c>
      <c r="H69" t="str">
        <f>MID(B69,92,6)</f>
        <v>13.767</v>
      </c>
    </row>
    <row r="70" spans="1:8" x14ac:dyDescent="0.2">
      <c r="A70" s="1" t="s">
        <v>99</v>
      </c>
      <c r="B70" s="1" t="s">
        <v>101</v>
      </c>
      <c r="G70">
        <f>FIND(25.85,B70)</f>
        <v>101</v>
      </c>
      <c r="H70" t="str">
        <f>MID(B70,101,6)</f>
        <v>25.850</v>
      </c>
    </row>
    <row r="71" spans="1:8" x14ac:dyDescent="0.2">
      <c r="A71" s="1" t="s">
        <v>99</v>
      </c>
      <c r="B71" s="1" t="s">
        <v>102</v>
      </c>
      <c r="G71">
        <f>FIND(17.717,B71)</f>
        <v>96</v>
      </c>
      <c r="H71" t="str">
        <f>MID(B71,96,6)</f>
        <v>17.717</v>
      </c>
    </row>
    <row r="72" spans="1:8" x14ac:dyDescent="0.2">
      <c r="A72" s="1" t="s">
        <v>99</v>
      </c>
      <c r="B72" s="1" t="s">
        <v>103</v>
      </c>
      <c r="G72">
        <f>FIND(20.326,B72)</f>
        <v>97</v>
      </c>
      <c r="H72" t="str">
        <f>MID(B72,97,6)</f>
        <v>20.326</v>
      </c>
    </row>
    <row r="73" spans="1:8" x14ac:dyDescent="0.2">
      <c r="A73" s="1" t="s">
        <v>99</v>
      </c>
      <c r="B73" s="1" t="s">
        <v>104</v>
      </c>
      <c r="G73">
        <f>FIND(16.924,B73)</f>
        <v>115</v>
      </c>
      <c r="H73" t="str">
        <f>MID(B73,115,6)</f>
        <v>16.924</v>
      </c>
    </row>
    <row r="74" spans="1:8" x14ac:dyDescent="0.2">
      <c r="A74" s="1" t="s">
        <v>99</v>
      </c>
      <c r="B74" s="1" t="s">
        <v>105</v>
      </c>
      <c r="G74">
        <f>FIND(12.846,B74)</f>
        <v>90</v>
      </c>
      <c r="H74" t="str">
        <f>MID(B74,90,6)</f>
        <v>12.846</v>
      </c>
    </row>
    <row r="75" spans="1:8" x14ac:dyDescent="0.2">
      <c r="A75" s="1" t="s">
        <v>106</v>
      </c>
      <c r="B75" s="1" t="s">
        <v>107</v>
      </c>
      <c r="G75">
        <f>FIND(13.903,B75)</f>
        <v>91</v>
      </c>
      <c r="H75" t="str">
        <f>MID(B75,91,6)</f>
        <v>13.903</v>
      </c>
    </row>
    <row r="76" spans="1:8" x14ac:dyDescent="0.2">
      <c r="A76" s="1" t="s">
        <v>106</v>
      </c>
      <c r="B76" s="1" t="s">
        <v>108</v>
      </c>
      <c r="G76">
        <f>FIND(26.091,B76)</f>
        <v>100</v>
      </c>
      <c r="H76" t="str">
        <f>MID(B76,100,6)</f>
        <v>26.091</v>
      </c>
    </row>
    <row r="77" spans="1:8" x14ac:dyDescent="0.2">
      <c r="A77" s="1" t="s">
        <v>106</v>
      </c>
      <c r="B77" s="1" t="s">
        <v>109</v>
      </c>
      <c r="G77">
        <f>FIND(17.9,B77)</f>
        <v>95</v>
      </c>
      <c r="H77" t="str">
        <f>MID(B77,95,6)</f>
        <v>17.900</v>
      </c>
    </row>
    <row r="78" spans="1:8" x14ac:dyDescent="0.2">
      <c r="A78" s="1" t="s">
        <v>106</v>
      </c>
      <c r="B78" s="1" t="s">
        <v>110</v>
      </c>
      <c r="G78">
        <f>FIND(20.519,B78)</f>
        <v>97</v>
      </c>
      <c r="H78" t="str">
        <f>MID(B78,97,6)</f>
        <v>20.519</v>
      </c>
    </row>
    <row r="79" spans="1:8" x14ac:dyDescent="0.2">
      <c r="A79" s="1" t="s">
        <v>106</v>
      </c>
      <c r="B79" s="1" t="s">
        <v>111</v>
      </c>
      <c r="G79">
        <f>FIND(17.098,B79)</f>
        <v>108</v>
      </c>
      <c r="H79" t="str">
        <f>MID(B79,108,6)</f>
        <v>17.098</v>
      </c>
    </row>
    <row r="80" spans="1:8" x14ac:dyDescent="0.2">
      <c r="A80" s="1" t="s">
        <v>106</v>
      </c>
      <c r="B80" s="1" t="s">
        <v>112</v>
      </c>
      <c r="G80">
        <f>FIND(12.975,B80)</f>
        <v>90</v>
      </c>
      <c r="H80" t="str">
        <f>MID(B80,90,6)</f>
        <v>12.975</v>
      </c>
    </row>
    <row r="81" spans="1:2" hidden="1" x14ac:dyDescent="0.2">
      <c r="A81" s="1" t="s">
        <v>113</v>
      </c>
      <c r="B81" s="1" t="s">
        <v>114</v>
      </c>
    </row>
    <row r="82" spans="1:2" hidden="1" x14ac:dyDescent="0.2">
      <c r="A82" s="1" t="s">
        <v>113</v>
      </c>
      <c r="B82" s="1" t="s">
        <v>115</v>
      </c>
    </row>
    <row r="83" spans="1:2" hidden="1" x14ac:dyDescent="0.2">
      <c r="A83" s="1" t="s">
        <v>113</v>
      </c>
      <c r="B83" s="1" t="s">
        <v>116</v>
      </c>
    </row>
  </sheetData>
  <autoFilter ref="A1:B83" xr:uid="{14E75AFA-9517-4CF5-B188-0896AFE91F8B}">
    <filterColumn colId="1">
      <filters>
        <filter val="بابت فروش تعداد 1.826.746 واحد سرمایه گذاری صندوق سپهر خبرگان نفت در تاریخ 1403/05/02 با نرخ متوسط 10.044 ریال طبق اعلامیه کارگزاری خبرگان سهام"/>
        <filter val="بابت فروش تعداد 10.000.000 واحد سرمایه گذاری در صندوق افرا نماد پایدار در تاریخ 1403/05/30با نرخ متوسط 28.273 ریال طبق اعلامیه کارگزاری خبرگان سهام"/>
        <filter val="بابت فروش تعداد 12.000.000 واحد سرمایه گذاری  صندوق کیمیا در تاریخ 1403/08/12با نرخ متوسط 13.903ریال طبق اعلامیه کارگزاری خبرگان سهام"/>
        <filter val="بابت فروش تعداد 120.000 متوسط 10.048 ریال طبق اعلامیه کارگزاری خبرگان سهام"/>
        <filter val="بابت فروش تعداد 120.000 متوسط 10.058 ریال طبق اعلامیه کارگزاری خبرگان سهام"/>
        <filter val="بابت فروش تعداد 120.000 متوسط 10.068 ریال طبق اعلامیه کارگزاری خبرگان سهام"/>
        <filter val="بابت فروش تعداد 13.450.000 متوسط 22.954ریال طبق اعلامیه کارگزاری خبرگان سهام"/>
        <filter val="بابت فروش تعداد 133.000.000 واحد سرمایه گذاری  صندوق کیمیا در تاریخ 1403/07/29با نرخ متوسط 13.767 ریال طبق اعلامیه کارگزاری خبرگان سهام"/>
        <filter val="بابت فروش تعداد 19.055.000 متوسط 26.347 ریال طبق اعلامیه کارگزاری خبرگان سهام"/>
        <filter val="بابت فروش تعداد 19.300.000 واحد سرمایه گذاری صندوق ماهور در تاریخ 1403/08/12با نرخ متوسط 12.975 ریال طبق اعلامیه کارگزاری خبرگان سهام"/>
        <filter val="بابت فروش تعداد 19.500.000 واحد سرمایه گذاری در صندوق اوراق دولت خلیج فارس در تاریخ 1403/08/12با نرخ متوسط 17.098 ریال طبق اعلامیه کارگزاری خبرگان سهام"/>
        <filter val="بابت فروش تعداد 20.000.000 واحد سرمایه گذاری در صندوق سپر سرمایه بیدار در تاریخ 1403/07/24با نرخ متوسط 25.745 ریال طبق اعلامیه کارگزاری خبرگان سهام"/>
        <filter val="بابت فروش تعداد 20.300.000 واحد سرمایه گذاری صندوق نوع دوم کارا در تاریخ 1403/08/12با نرخ متوسط 20.519 ریال طبق اعلامیه کارگزاری خبرگان سهام"/>
        <filter val="بابت فروش تعداد 20.980.000 واحد سرمایه گذاری در صندوق ثبات ویستا در تاریخ 1403/07/24با نرخ متوسط 20.652 ریال طبق اعلامیه کارگزاری خبرگان سهام"/>
        <filter val="بابت فروش تعداد 200.000 متوسط 10.158 ریال طبق اعلامیه کارگزاری خبرگان سهام"/>
        <filter val="بابت فروش تعداد 227.209 متوسط 10.009 ریال طبق اعلامیه کارگزاری خبرگان سهام"/>
        <filter val="بابت فروش تعداد 24.100.000 متوسط 20.826ریال طبق اعلامیه کارگزاری خبرگان سهام"/>
        <filter val="بابت فروش تعداد 27.330.000 متوسط 18.478 ریال طبق اعلامیه کارگزاری خبرگان سهام"/>
        <filter val="بابت فروش تعداد 299.035 متوسط 10.006 ریال طبق اعلامیه کارگزاری خبرگان سهام"/>
        <filter val="بابت فروش تعداد 30.000.000 واحد سرمایه گذاری صندوق ثبات ویستا در تاریخ 1403/06/10 با نرخ متوسط 19.938 ریال طبق اعلامیه کارگزاری خبرگان سهام"/>
        <filter val="بابت فروش تعداد 30.100.000 واحد سرمایه گذاری در صندوق لبخند فارابی در تاریخ 1403/07/24با نرخ متوسط 16.903 ریال طبق اعلامیه کارگزاری خبرگان سهام"/>
        <filter val="بابت فروش تعداد 300.000 متوسط 10.030 ریال طبق اعلامیه کارگزاری خبرگان سهام"/>
        <filter val="بابت فروش تعداد 32.760.000 واحد سرمایه گذاری در صندوق نوع دوم نو ویرا در تاریخ 1403/05/30با نرخ متوسط 15.637 ریال طبق اعلامیه کارگزاری خبرگان سهام"/>
        <filter val="بابت فروش تعداد 36.000.000 واحد سرمایه گذاری در صندوق ثبات ویستا در تاریخ 1403/05/30با نرخ متوسط 19.829 ریال طبق اعلامیه کارگزاری خبرگان سهام"/>
        <filter val="بابت فروش تعداد 4.700.000 واحد سرمایه گذاری صندوق نشان هامرز در تاریخ 1403/08/12 با نرخ متوسط 17.900 ریال طبق اعلامیه کارگزاری خبرگان سهام"/>
        <filter val="بابت فروش تعداد 44.740.000 واحد سرمایه گذاری در صندوق افرا نماد پایدار در تاریخ 1403/07/24با نرخ متوسط 29.500 ریال طبق اعلامیه کارگزاری خبرگان سهام"/>
        <filter val="بابت فروش تعداد 46.480.000  متوسط 15.084 ریال طبق اعلامیه کارگزاری خبرگان سهام"/>
        <filter val="بابت فروش تعداد 50.000.000 واحد سرمایه گذاری صندوق نشان هامرز در تاریخ 1403/07/29 با نرخ متوسط 17.717 ریال طبق اعلامیه کارگزاری خبرگان سهام"/>
        <filter val="بابت فروش تعداد 50.795.021 واحد سرمایه گذاری در صندوق آوند مفید در تاریخ 1403/05/30با نرخ متوسط 16.167 ریال طبق اعلامیه کارگزاری خبرگان سهام"/>
        <filter val="بابت فروش تعداد 6.750.000 متوسط 10.020 ریال طبق اعلامیه کارگزاری خبرگان سهام"/>
        <filter val="بابت فروش تعداد 60.000.000 واحد سرمایه گذاری در صندوق سرمایه گذاری نشان هامرز در تاریخ 1403/07/24با نرخ متوسط 17.651 ریال طبق اعلامیه کارگزاری خبرگان سهام"/>
        <filter val="بابت فروش تعداد 7.155.000 واحد سرمایه گذاری در صندوق ارمغان فیروزه آسیا در تاریخ 1403/07/24با نرخ متوسط 50.100ریال طبق اعلامیه کارگزاری خبرگان سهام"/>
        <filter val="بابت فروش تعداد 7.500.000 واحد سرمایه گذاری در صندوق ارمغان فیروزه آسیا در تاریخ 1403/05/30با نرخ متوسط 47.956 ریال طبق اعلامیه کارگزاری خبرگان سهام"/>
        <filter val="بابت فروش تعداد 73.000.000 واحد سرمایه گذاری صندوق ماهور در تاریخ 1403/07/29با نرخ متوسط 12.846 ریال طبق اعلامیه کارگزاری خبرگان سهام"/>
        <filter val="بابت فروش تعداد 81.000.000 واحد سرمایه گذاری صندوق نوع دوم کارا در تاریخ 1403/07/29با نرخ متوسط 20.326 ریال طبق اعلامیه کارگزاری خبرگان سهام"/>
        <filter val="بابت فروش تعداد 9.600.000 واحد سرمایه گذاری صندوق سپر سرمایه بیدار در تاریخ 1403/08/12با نرخ متوسط 26.091 ریال طبق اعلامیه کارگزاری خبرگان سهام"/>
        <filter val="بابت فروش تعداد 94.000.000 واحد سرمایه گذاری صندوق سپر سرمایه بیدار در تاریخ 1403/07/29با نرخ متوسط 25.850 ریال طبق اعلامیه کارگزاری خبرگان سهام"/>
        <filter val="بابت کارمزد فروش تعداد 60.000.000 واحد سرمایه گذاری در صندوق اوراق دولت خلیج فارس در تاریخ 1403/07/29با نرخ متوسط 16.924 ریال طبق اعلامیه کارگزاری خبرگان سهام"/>
      </filters>
    </filterColumn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6F457-9A0C-4857-800A-F67B63FF2C58}">
  <dimension ref="A1:H82"/>
  <sheetViews>
    <sheetView rightToLeft="1" topLeftCell="A28" workbookViewId="0">
      <selection activeCell="E67" sqref="E1:E1048576"/>
    </sheetView>
  </sheetViews>
  <sheetFormatPr defaultRowHeight="15.75" x14ac:dyDescent="0.4"/>
  <cols>
    <col min="1" max="2" width="11.5703125" style="8" customWidth="1"/>
    <col min="3" max="3" width="14.42578125" style="8" customWidth="1"/>
    <col min="4" max="4" width="32.5703125" style="8" customWidth="1"/>
    <col min="5" max="5" width="22" style="8" customWidth="1"/>
    <col min="6" max="7" width="9.140625" style="8"/>
    <col min="8" max="8" width="10.7109375" style="8" bestFit="1" customWidth="1"/>
    <col min="9" max="16384" width="9.140625" style="8"/>
  </cols>
  <sheetData>
    <row r="1" spans="1:8" x14ac:dyDescent="0.4">
      <c r="A1" s="7" t="s">
        <v>135</v>
      </c>
      <c r="B1" s="7"/>
      <c r="C1" s="7" t="s">
        <v>134</v>
      </c>
      <c r="D1" s="7" t="s">
        <v>133</v>
      </c>
      <c r="E1" s="7" t="s">
        <v>2</v>
      </c>
    </row>
    <row r="2" spans="1:8" x14ac:dyDescent="0.4">
      <c r="A2" s="9" t="str" cm="1">
        <f t="array" ref="A2">[1]!J_GregorianDate(C2)</f>
        <v>24/05/01</v>
      </c>
      <c r="B2" s="9" t="s">
        <v>136</v>
      </c>
      <c r="C2" s="9" t="s">
        <v>5</v>
      </c>
      <c r="D2" s="9" t="s">
        <v>117</v>
      </c>
      <c r="E2" s="10">
        <f>-182610000000</f>
        <v>-182610000000</v>
      </c>
      <c r="F2" s="8" t="e">
        <f>XIRR(E2:E82,A2:A82)</f>
        <v>#VALUE!</v>
      </c>
      <c r="H2" s="13">
        <f>XIRR(E2:E82,B2:B82)</f>
        <v>2.9802322387695314E-9</v>
      </c>
    </row>
    <row r="3" spans="1:8" x14ac:dyDescent="0.4">
      <c r="A3" s="9" t="str" cm="1">
        <f t="array" ref="A3">[1]!J_GregorianDate(C3)</f>
        <v>24/05/06</v>
      </c>
      <c r="B3" s="9" t="s">
        <v>137</v>
      </c>
      <c r="C3" s="9" t="s">
        <v>7</v>
      </c>
      <c r="D3" s="9" t="s">
        <v>117</v>
      </c>
      <c r="E3" s="10">
        <f>-316896380000</f>
        <v>-316896380000</v>
      </c>
      <c r="F3" s="8" t="e">
        <f t="shared" ref="F3:F66" si="0">XIRR(E3:E83,A3:A83)</f>
        <v>#VALUE!</v>
      </c>
      <c r="G3" s="12"/>
    </row>
    <row r="4" spans="1:8" x14ac:dyDescent="0.4">
      <c r="A4" s="9" t="str" cm="1">
        <f t="array" ref="A4">[1]!J_GregorianDate(C4)</f>
        <v>24/05/06</v>
      </c>
      <c r="B4" s="9" t="s">
        <v>137</v>
      </c>
      <c r="C4" s="9" t="s">
        <v>7</v>
      </c>
      <c r="D4" s="9" t="s">
        <v>131</v>
      </c>
      <c r="E4" s="10">
        <f>-499789440000</f>
        <v>-499789440000</v>
      </c>
      <c r="F4" s="8" t="e">
        <f t="shared" si="0"/>
        <v>#VALUE!</v>
      </c>
    </row>
    <row r="5" spans="1:8" x14ac:dyDescent="0.4">
      <c r="A5" s="9" t="str" cm="1">
        <f t="array" ref="A5">[1]!J_GregorianDate(C5)</f>
        <v>24/05/07</v>
      </c>
      <c r="B5" s="9" t="s">
        <v>138</v>
      </c>
      <c r="C5" s="9" t="s">
        <v>10</v>
      </c>
      <c r="D5" s="9" t="s">
        <v>131</v>
      </c>
      <c r="E5" s="10">
        <f>-194454000000</f>
        <v>-194454000000</v>
      </c>
      <c r="F5" s="8" t="e">
        <f t="shared" si="0"/>
        <v>#VALUE!</v>
      </c>
    </row>
    <row r="6" spans="1:8" x14ac:dyDescent="0.4">
      <c r="A6" s="9" t="str" cm="1">
        <f t="array" ref="A6">[1]!J_GregorianDate(C6)</f>
        <v>24/05/08</v>
      </c>
      <c r="B6" s="9" t="s">
        <v>139</v>
      </c>
      <c r="C6" s="9" t="s">
        <v>12</v>
      </c>
      <c r="D6" s="9" t="s">
        <v>118</v>
      </c>
      <c r="E6" s="10">
        <f>-305853000000</f>
        <v>-305853000000</v>
      </c>
      <c r="F6" s="8" t="e">
        <f t="shared" si="0"/>
        <v>#VALUE!</v>
      </c>
    </row>
    <row r="7" spans="1:8" x14ac:dyDescent="0.4">
      <c r="A7" s="9" t="str" cm="1">
        <f t="array" ref="A7">[1]!J_GregorianDate(C7)</f>
        <v>24/05/14</v>
      </c>
      <c r="B7" s="9" t="s">
        <v>140</v>
      </c>
      <c r="C7" s="9" t="s">
        <v>14</v>
      </c>
      <c r="D7" s="9" t="s">
        <v>119</v>
      </c>
      <c r="E7" s="10">
        <f>-499689400000</f>
        <v>-499689400000</v>
      </c>
      <c r="F7" s="8" t="e">
        <f t="shared" si="0"/>
        <v>#VALUE!</v>
      </c>
    </row>
    <row r="8" spans="1:8" x14ac:dyDescent="0.4">
      <c r="A8" s="9" t="str" cm="1">
        <f t="array" ref="A8">[1]!J_GregorianDate(C8)</f>
        <v>24/05/14</v>
      </c>
      <c r="B8" s="9" t="s">
        <v>140</v>
      </c>
      <c r="C8" s="9" t="s">
        <v>14</v>
      </c>
      <c r="D8" s="9" t="s">
        <v>122</v>
      </c>
      <c r="E8" s="10">
        <f>-499812650000</f>
        <v>-499812650000</v>
      </c>
      <c r="F8" s="8" t="e">
        <f t="shared" si="0"/>
        <v>#VALUE!</v>
      </c>
    </row>
    <row r="9" spans="1:8" x14ac:dyDescent="0.4">
      <c r="A9" s="9" t="str" cm="1">
        <f t="array" ref="A9">[1]!J_GregorianDate(C9)</f>
        <v>24/05/20</v>
      </c>
      <c r="B9" s="9" t="s">
        <v>141</v>
      </c>
      <c r="C9" s="9" t="s">
        <v>17</v>
      </c>
      <c r="D9" s="9" t="s">
        <v>119</v>
      </c>
      <c r="E9" s="11">
        <v>499689400000</v>
      </c>
      <c r="F9" s="8" t="e">
        <f t="shared" si="0"/>
        <v>#VALUE!</v>
      </c>
    </row>
    <row r="10" spans="1:8" x14ac:dyDescent="0.4">
      <c r="A10" s="9" t="str" cm="1">
        <f t="array" ref="A10">[1]!J_GregorianDate(C10)</f>
        <v>24/05/20</v>
      </c>
      <c r="B10" s="9" t="s">
        <v>141</v>
      </c>
      <c r="C10" s="9" t="s">
        <v>17</v>
      </c>
      <c r="D10" s="9" t="s">
        <v>122</v>
      </c>
      <c r="E10" s="11">
        <v>499812650000</v>
      </c>
      <c r="F10" s="8" t="e">
        <f t="shared" si="0"/>
        <v>#VALUE!</v>
      </c>
    </row>
    <row r="11" spans="1:8" x14ac:dyDescent="0.4">
      <c r="A11" s="9" t="str" cm="1">
        <f t="array" ref="A11">[1]!J_GregorianDate(C11)</f>
        <v>24/05/20</v>
      </c>
      <c r="B11" s="9" t="s">
        <v>141</v>
      </c>
      <c r="C11" s="9" t="s">
        <v>17</v>
      </c>
      <c r="D11" s="9" t="s">
        <v>118</v>
      </c>
      <c r="E11" s="11">
        <v>305853000000</v>
      </c>
      <c r="F11" s="8" t="e">
        <f t="shared" si="0"/>
        <v>#VALUE!</v>
      </c>
    </row>
    <row r="12" spans="1:8" x14ac:dyDescent="0.4">
      <c r="A12" s="9" t="str" cm="1">
        <f t="array" ref="A12">[1]!J_GregorianDate(C12)</f>
        <v>24/05/20</v>
      </c>
      <c r="B12" s="9" t="s">
        <v>141</v>
      </c>
      <c r="C12" s="9" t="s">
        <v>17</v>
      </c>
      <c r="D12" s="9" t="s">
        <v>117</v>
      </c>
      <c r="E12" s="11">
        <v>499506380000</v>
      </c>
      <c r="F12" s="8" t="e">
        <f t="shared" si="0"/>
        <v>#VALUE!</v>
      </c>
    </row>
    <row r="13" spans="1:8" x14ac:dyDescent="0.4">
      <c r="A13" s="9" t="str" cm="1">
        <f t="array" ref="A13">[1]!J_GregorianDate(C13)</f>
        <v>24/05/20</v>
      </c>
      <c r="B13" s="9" t="s">
        <v>141</v>
      </c>
      <c r="C13" s="9" t="s">
        <v>17</v>
      </c>
      <c r="D13" s="9" t="s">
        <v>131</v>
      </c>
      <c r="E13" s="11">
        <v>694243440000</v>
      </c>
      <c r="F13" s="8" t="e">
        <f t="shared" si="0"/>
        <v>#VALUE!</v>
      </c>
    </row>
    <row r="14" spans="1:8" x14ac:dyDescent="0.4">
      <c r="A14" s="9" t="str" cm="1">
        <f t="array" ref="A14">[1]!J_GregorianDate(C14)</f>
        <v>24/06/02</v>
      </c>
      <c r="B14" s="9" t="s">
        <v>142</v>
      </c>
      <c r="C14" s="9" t="s">
        <v>23</v>
      </c>
      <c r="D14" s="9" t="s">
        <v>122</v>
      </c>
      <c r="E14" s="10">
        <f>-986272000000</f>
        <v>-986272000000</v>
      </c>
      <c r="F14" s="8" t="e">
        <f t="shared" si="0"/>
        <v>#VALUE!</v>
      </c>
    </row>
    <row r="15" spans="1:8" x14ac:dyDescent="0.4">
      <c r="A15" s="9" t="str" cm="1">
        <f t="array" ref="A15">[1]!J_GregorianDate(C15)</f>
        <v>24/06/02</v>
      </c>
      <c r="B15" s="9" t="s">
        <v>142</v>
      </c>
      <c r="C15" s="9" t="s">
        <v>23</v>
      </c>
      <c r="D15" s="9" t="s">
        <v>118</v>
      </c>
      <c r="E15" s="10">
        <f>-11613000000</f>
        <v>-11613000000</v>
      </c>
      <c r="F15" s="8" t="e">
        <f t="shared" si="0"/>
        <v>#VALUE!</v>
      </c>
    </row>
    <row r="16" spans="1:8" x14ac:dyDescent="0.4">
      <c r="A16" s="9" t="str" cm="1">
        <f t="array" ref="A16">[1]!J_GregorianDate(C16)</f>
        <v>24/06/02</v>
      </c>
      <c r="B16" s="9" t="s">
        <v>142</v>
      </c>
      <c r="C16" s="9" t="s">
        <v>23</v>
      </c>
      <c r="D16" s="9" t="s">
        <v>118</v>
      </c>
      <c r="E16" s="10">
        <f>-999796596000</f>
        <v>-999796596000</v>
      </c>
      <c r="F16" s="8" t="e">
        <f t="shared" si="0"/>
        <v>#VALUE!</v>
      </c>
    </row>
    <row r="17" spans="1:6" x14ac:dyDescent="0.4">
      <c r="A17" s="9" t="str" cm="1">
        <f t="array" ref="A17">[1]!J_GregorianDate(C17)</f>
        <v>24/06/02</v>
      </c>
      <c r="B17" s="9" t="s">
        <v>142</v>
      </c>
      <c r="C17" s="9" t="s">
        <v>23</v>
      </c>
      <c r="D17" s="9" t="s">
        <v>120</v>
      </c>
      <c r="E17" s="10">
        <f>-299848500000</f>
        <v>-299848500000</v>
      </c>
      <c r="F17" s="8" t="e">
        <f t="shared" si="0"/>
        <v>#VALUE!</v>
      </c>
    </row>
    <row r="18" spans="1:6" x14ac:dyDescent="0.4">
      <c r="A18" s="9" t="str" cm="1">
        <f t="array" ref="A18">[1]!J_GregorianDate(C18)</f>
        <v>24/06/02</v>
      </c>
      <c r="B18" s="9" t="s">
        <v>142</v>
      </c>
      <c r="C18" s="9" t="s">
        <v>23</v>
      </c>
      <c r="D18" s="9" t="s">
        <v>121</v>
      </c>
      <c r="E18" s="10">
        <f>-199300500000</f>
        <v>-199300500000</v>
      </c>
      <c r="F18" s="8" t="e">
        <f t="shared" si="0"/>
        <v>#VALUE!</v>
      </c>
    </row>
    <row r="19" spans="1:6" x14ac:dyDescent="0.4">
      <c r="A19" s="9" t="str" cm="1">
        <f t="array" ref="A19">[1]!J_GregorianDate(C19)</f>
        <v>24/07/03</v>
      </c>
      <c r="B19" s="9" t="s">
        <v>143</v>
      </c>
      <c r="C19" s="9" t="s">
        <v>31</v>
      </c>
      <c r="D19" s="9" t="s">
        <v>132</v>
      </c>
      <c r="E19" s="11">
        <v>2001528372</v>
      </c>
      <c r="F19" s="8" t="e">
        <f t="shared" si="0"/>
        <v>#VALUE!</v>
      </c>
    </row>
    <row r="20" spans="1:6" x14ac:dyDescent="0.4">
      <c r="A20" s="9" t="str" cm="1">
        <f t="array" ref="A20">[1]!J_GregorianDate(C20)</f>
        <v>24/07/07</v>
      </c>
      <c r="B20" s="9" t="s">
        <v>144</v>
      </c>
      <c r="C20" s="9" t="s">
        <v>33</v>
      </c>
      <c r="D20" s="9" t="s">
        <v>132</v>
      </c>
      <c r="E20" s="11">
        <v>2273826299</v>
      </c>
      <c r="F20" s="8" t="e">
        <f t="shared" si="0"/>
        <v>#VALUE!</v>
      </c>
    </row>
    <row r="21" spans="1:6" x14ac:dyDescent="0.4">
      <c r="A21" s="9" t="str" cm="1">
        <f t="array" ref="A21">[1]!J_GregorianDate(C21)</f>
        <v>24/07/08</v>
      </c>
      <c r="B21" s="9" t="s">
        <v>145</v>
      </c>
      <c r="C21" s="9" t="s">
        <v>35</v>
      </c>
      <c r="D21" s="9" t="s">
        <v>132</v>
      </c>
      <c r="E21" s="11">
        <v>2992635184</v>
      </c>
      <c r="F21" s="8" t="e">
        <f t="shared" si="0"/>
        <v>#VALUE!</v>
      </c>
    </row>
    <row r="22" spans="1:6" x14ac:dyDescent="0.4">
      <c r="A22" s="9" t="str" cm="1">
        <f t="array" ref="A22">[1]!J_GregorianDate(C22)</f>
        <v>24/07/10</v>
      </c>
      <c r="B22" s="9" t="s">
        <v>146</v>
      </c>
      <c r="C22" s="9" t="s">
        <v>37</v>
      </c>
      <c r="D22" s="9" t="s">
        <v>132</v>
      </c>
      <c r="E22" s="11">
        <v>3002292558</v>
      </c>
      <c r="F22" s="8" t="e">
        <f t="shared" si="0"/>
        <v>#VALUE!</v>
      </c>
    </row>
    <row r="23" spans="1:6" x14ac:dyDescent="0.4">
      <c r="A23" s="9" t="str" cm="1">
        <f t="array" ref="A23">[1]!J_GregorianDate(C23)</f>
        <v>24/07/14</v>
      </c>
      <c r="B23" s="9" t="s">
        <v>147</v>
      </c>
      <c r="C23" s="9" t="s">
        <v>39</v>
      </c>
      <c r="D23" s="9" t="s">
        <v>118</v>
      </c>
      <c r="E23" s="10">
        <f>-1499761350000</f>
        <v>-1499761350000</v>
      </c>
      <c r="F23" s="8" t="e">
        <f t="shared" si="0"/>
        <v>#VALUE!</v>
      </c>
    </row>
    <row r="24" spans="1:6" x14ac:dyDescent="0.4">
      <c r="A24" s="9" t="str" cm="1">
        <f t="array" ref="A24">[1]!J_GregorianDate(C24)</f>
        <v>24/07/14</v>
      </c>
      <c r="B24" s="9" t="s">
        <v>147</v>
      </c>
      <c r="C24" s="9" t="s">
        <v>39</v>
      </c>
      <c r="D24" s="9" t="s">
        <v>125</v>
      </c>
      <c r="E24" s="10">
        <f>-799919990708</f>
        <v>-799919990708</v>
      </c>
      <c r="F24" s="8" t="e">
        <f t="shared" si="0"/>
        <v>#VALUE!</v>
      </c>
    </row>
    <row r="25" spans="1:6" x14ac:dyDescent="0.4">
      <c r="A25" s="9" t="str" cm="1">
        <f t="array" ref="A25">[1]!J_GregorianDate(C25)</f>
        <v>24/07/14</v>
      </c>
      <c r="B25" s="9" t="s">
        <v>147</v>
      </c>
      <c r="C25" s="9" t="s">
        <v>39</v>
      </c>
      <c r="D25" s="9" t="s">
        <v>117</v>
      </c>
      <c r="E25" s="10">
        <f>-699827700000</f>
        <v>-699827700000</v>
      </c>
      <c r="F25" s="8" t="e">
        <f t="shared" si="0"/>
        <v>#VALUE!</v>
      </c>
    </row>
    <row r="26" spans="1:6" x14ac:dyDescent="0.4">
      <c r="A26" s="9" t="str" cm="1">
        <f t="array" ref="A26">[1]!J_GregorianDate(C26)</f>
        <v>24/07/14</v>
      </c>
      <c r="B26" s="9" t="s">
        <v>147</v>
      </c>
      <c r="C26" s="9" t="s">
        <v>39</v>
      </c>
      <c r="D26" s="9" t="s">
        <v>132</v>
      </c>
      <c r="E26" s="11">
        <v>67551582558</v>
      </c>
      <c r="F26" s="8" t="e">
        <f t="shared" si="0"/>
        <v>#VALUE!</v>
      </c>
    </row>
    <row r="27" spans="1:6" x14ac:dyDescent="0.4">
      <c r="A27" s="9" t="str" cm="1">
        <f t="array" ref="A27">[1]!J_GregorianDate(C27)</f>
        <v>24/07/20</v>
      </c>
      <c r="B27" s="9" t="s">
        <v>148</v>
      </c>
      <c r="C27" s="9" t="s">
        <v>44</v>
      </c>
      <c r="D27" s="9" t="s">
        <v>132</v>
      </c>
      <c r="E27" s="11">
        <v>1200917023</v>
      </c>
      <c r="F27" s="8" t="e">
        <f t="shared" si="0"/>
        <v>#VALUE!</v>
      </c>
    </row>
    <row r="28" spans="1:6" x14ac:dyDescent="0.4">
      <c r="A28" s="9" t="str" cm="1">
        <f t="array" ref="A28">[1]!J_GregorianDate(C28)</f>
        <v>24/07/21</v>
      </c>
      <c r="B28" s="9" t="s">
        <v>149</v>
      </c>
      <c r="C28" s="9" t="s">
        <v>46</v>
      </c>
      <c r="D28" s="9" t="s">
        <v>132</v>
      </c>
      <c r="E28" s="11">
        <v>1200917023</v>
      </c>
      <c r="F28" s="8" t="e">
        <f t="shared" si="0"/>
        <v>#VALUE!</v>
      </c>
    </row>
    <row r="29" spans="1:6" x14ac:dyDescent="0.4">
      <c r="A29" s="9" t="str" cm="1">
        <f t="array" ref="A29">[1]!J_GregorianDate(C29)</f>
        <v>24/07/23</v>
      </c>
      <c r="B29" s="9" t="s">
        <v>150</v>
      </c>
      <c r="C29" s="9" t="s">
        <v>48</v>
      </c>
      <c r="D29" s="9" t="s">
        <v>132</v>
      </c>
      <c r="E29" s="11">
        <v>1200917023</v>
      </c>
      <c r="F29" s="8" t="e">
        <f t="shared" si="0"/>
        <v>#VALUE!</v>
      </c>
    </row>
    <row r="30" spans="1:6" x14ac:dyDescent="0.4">
      <c r="A30" s="9" t="str" cm="1">
        <f t="array" ref="A30">[1]!J_GregorianDate(C30)</f>
        <v>24/07/24</v>
      </c>
      <c r="B30" s="9" t="s">
        <v>151</v>
      </c>
      <c r="C30" s="9" t="s">
        <v>50</v>
      </c>
      <c r="D30" s="9" t="s">
        <v>132</v>
      </c>
      <c r="E30" s="11">
        <v>18281419740</v>
      </c>
      <c r="F30" s="8" t="e">
        <f t="shared" si="0"/>
        <v>#VALUE!</v>
      </c>
    </row>
    <row r="31" spans="1:6" x14ac:dyDescent="0.4">
      <c r="A31" s="9" t="str" cm="1">
        <f t="array" ref="A31">[1]!J_GregorianDate(C31)</f>
        <v>24/08/14</v>
      </c>
      <c r="B31" s="9" t="s">
        <v>152</v>
      </c>
      <c r="C31" s="9" t="s">
        <v>52</v>
      </c>
      <c r="D31" s="9" t="s">
        <v>129</v>
      </c>
      <c r="E31" s="10">
        <f>-699776250000</f>
        <v>-699776250000</v>
      </c>
      <c r="F31" s="8" t="e">
        <f t="shared" si="0"/>
        <v>#VALUE!</v>
      </c>
    </row>
    <row r="32" spans="1:6" x14ac:dyDescent="0.4">
      <c r="A32" s="9" t="str" cm="1">
        <f t="array" ref="A32">[1]!J_GregorianDate(C32)</f>
        <v>24/08/14</v>
      </c>
      <c r="B32" s="9" t="s">
        <v>152</v>
      </c>
      <c r="C32" s="9" t="s">
        <v>52</v>
      </c>
      <c r="D32" s="9" t="s">
        <v>122</v>
      </c>
      <c r="E32" s="10">
        <f>-499718060000</f>
        <v>-499718060000</v>
      </c>
      <c r="F32" s="8" t="e">
        <f t="shared" si="0"/>
        <v>#VALUE!</v>
      </c>
    </row>
    <row r="33" spans="1:6" x14ac:dyDescent="0.4">
      <c r="A33" s="9" t="str" cm="1">
        <f t="array" ref="A33">[1]!J_GregorianDate(C33)</f>
        <v>24/08/14</v>
      </c>
      <c r="B33" s="9" t="s">
        <v>152</v>
      </c>
      <c r="C33" s="9" t="s">
        <v>52</v>
      </c>
      <c r="D33" s="9" t="s">
        <v>118</v>
      </c>
      <c r="E33" s="10">
        <f>-999881820000</f>
        <v>-999881820000</v>
      </c>
      <c r="F33" s="8" t="e">
        <f t="shared" si="0"/>
        <v>#VALUE!</v>
      </c>
    </row>
    <row r="34" spans="1:6" x14ac:dyDescent="0.4">
      <c r="A34" s="9" t="str" cm="1">
        <f t="array" ref="A34">[1]!J_GregorianDate(C34)</f>
        <v>24/08/14</v>
      </c>
      <c r="B34" s="9" t="s">
        <v>152</v>
      </c>
      <c r="C34" s="9" t="s">
        <v>52</v>
      </c>
      <c r="D34" s="9" t="s">
        <v>117</v>
      </c>
      <c r="E34" s="10">
        <f>-999815040000</f>
        <v>-999815040000</v>
      </c>
      <c r="F34" s="8" t="e">
        <f t="shared" si="0"/>
        <v>#VALUE!</v>
      </c>
    </row>
    <row r="35" spans="1:6" x14ac:dyDescent="0.4">
      <c r="A35" s="9" t="str" cm="1">
        <f t="array" ref="A35">[1]!J_GregorianDate(C35)</f>
        <v>24/08/14</v>
      </c>
      <c r="B35" s="9" t="s">
        <v>152</v>
      </c>
      <c r="C35" s="9" t="s">
        <v>52</v>
      </c>
      <c r="D35" s="9" t="s">
        <v>120</v>
      </c>
      <c r="E35" s="10">
        <f>-499900800000</f>
        <v>-499900800000</v>
      </c>
      <c r="F35" s="8" t="e">
        <f t="shared" si="0"/>
        <v>#VALUE!</v>
      </c>
    </row>
    <row r="36" spans="1:6" x14ac:dyDescent="0.4">
      <c r="A36" s="9" t="str" cm="1">
        <f t="array" ref="A36">[1]!J_GregorianDate(C36)</f>
        <v>24/08/14</v>
      </c>
      <c r="B36" s="9" t="s">
        <v>152</v>
      </c>
      <c r="C36" s="9" t="s">
        <v>52</v>
      </c>
      <c r="D36" s="9" t="s">
        <v>128</v>
      </c>
      <c r="E36" s="10">
        <f>-299801160000</f>
        <v>-299801160000</v>
      </c>
      <c r="F36" s="8" t="e">
        <f t="shared" si="0"/>
        <v>#VALUE!</v>
      </c>
    </row>
    <row r="37" spans="1:6" x14ac:dyDescent="0.4">
      <c r="A37" s="9" t="str" cm="1">
        <f t="array" ref="A37">[1]!J_GregorianDate(C37)</f>
        <v>24/08/14</v>
      </c>
      <c r="B37" s="9" t="s">
        <v>152</v>
      </c>
      <c r="C37" s="9" t="s">
        <v>52</v>
      </c>
      <c r="D37" s="9" t="s">
        <v>124</v>
      </c>
      <c r="E37" s="10">
        <f>-499932500000</f>
        <v>-499932500000</v>
      </c>
      <c r="F37" s="8" t="e">
        <f t="shared" si="0"/>
        <v>#VALUE!</v>
      </c>
    </row>
    <row r="38" spans="1:6" x14ac:dyDescent="0.4">
      <c r="A38" s="9" t="str" cm="1">
        <f t="array" ref="A38">[1]!J_GregorianDate(C38)</f>
        <v>24/08/14</v>
      </c>
      <c r="B38" s="9" t="s">
        <v>152</v>
      </c>
      <c r="C38" s="9" t="s">
        <v>52</v>
      </c>
      <c r="D38" s="9" t="s">
        <v>124</v>
      </c>
      <c r="E38" s="10">
        <f>-610850000</f>
        <v>-610850000</v>
      </c>
      <c r="F38" s="8" t="e">
        <f t="shared" si="0"/>
        <v>#VALUE!</v>
      </c>
    </row>
    <row r="39" spans="1:6" x14ac:dyDescent="0.4">
      <c r="A39" s="9" t="str" cm="1">
        <f t="array" ref="A39">[1]!J_GregorianDate(C39)</f>
        <v>24/08/20</v>
      </c>
      <c r="B39" s="9" t="s">
        <v>153</v>
      </c>
      <c r="C39" s="9" t="s">
        <v>61</v>
      </c>
      <c r="D39" s="9" t="s">
        <v>130</v>
      </c>
      <c r="E39" s="11">
        <v>358125000000</v>
      </c>
      <c r="F39" s="8" t="e">
        <f t="shared" si="0"/>
        <v>#VALUE!</v>
      </c>
    </row>
    <row r="40" spans="1:6" x14ac:dyDescent="0.4">
      <c r="A40" s="9" t="str" cm="1">
        <f t="array" ref="A40">[1]!J_GregorianDate(C40)</f>
        <v>24/08/20</v>
      </c>
      <c r="B40" s="9" t="s">
        <v>153</v>
      </c>
      <c r="C40" s="9" t="s">
        <v>61</v>
      </c>
      <c r="D40" s="9" t="s">
        <v>122</v>
      </c>
      <c r="E40" s="11">
        <v>271463291925</v>
      </c>
      <c r="F40" s="8" t="e">
        <f t="shared" si="0"/>
        <v>#VALUE!</v>
      </c>
    </row>
    <row r="41" spans="1:6" x14ac:dyDescent="0.4">
      <c r="A41" s="9" t="str" cm="1">
        <f t="array" ref="A41">[1]!J_GregorianDate(C41)</f>
        <v>24/08/20</v>
      </c>
      <c r="B41" s="9" t="s">
        <v>153</v>
      </c>
      <c r="C41" s="9" t="s">
        <v>61</v>
      </c>
      <c r="D41" s="9" t="s">
        <v>125</v>
      </c>
      <c r="E41" s="11">
        <v>799919990708</v>
      </c>
      <c r="F41" s="8" t="e">
        <f t="shared" si="0"/>
        <v>#VALUE!</v>
      </c>
    </row>
    <row r="42" spans="1:6" x14ac:dyDescent="0.4">
      <c r="A42" s="9" t="str" cm="1">
        <f t="array" ref="A42">[1]!J_GregorianDate(C42)</f>
        <v>24/08/20</v>
      </c>
      <c r="B42" s="9" t="s">
        <v>153</v>
      </c>
      <c r="C42" s="9" t="s">
        <v>61</v>
      </c>
      <c r="D42" s="9" t="s">
        <v>117</v>
      </c>
      <c r="E42" s="11">
        <v>703462159577</v>
      </c>
      <c r="F42" s="8" t="e">
        <f t="shared" si="0"/>
        <v>#VALUE!</v>
      </c>
    </row>
    <row r="43" spans="1:6" x14ac:dyDescent="0.4">
      <c r="A43" s="9" t="str" cm="1">
        <f t="array" ref="A43">[1]!J_GregorianDate(C43)</f>
        <v>24/08/20</v>
      </c>
      <c r="B43" s="9" t="s">
        <v>153</v>
      </c>
      <c r="C43" s="9" t="s">
        <v>61</v>
      </c>
      <c r="D43" s="9" t="s">
        <v>128</v>
      </c>
      <c r="E43" s="11">
        <v>499101660000</v>
      </c>
      <c r="F43" s="8" t="e">
        <f t="shared" si="0"/>
        <v>#VALUE!</v>
      </c>
    </row>
    <row r="44" spans="1:6" x14ac:dyDescent="0.4">
      <c r="A44" s="9" t="str" cm="1">
        <f t="array" ref="A44">[1]!J_GregorianDate(C44)</f>
        <v>24/08/31</v>
      </c>
      <c r="B44" s="9" t="s">
        <v>154</v>
      </c>
      <c r="C44" s="9" t="s">
        <v>67</v>
      </c>
      <c r="D44" s="9" t="s">
        <v>117</v>
      </c>
      <c r="E44" s="11">
        <v>586218466314</v>
      </c>
      <c r="F44" s="8" t="e">
        <f t="shared" si="0"/>
        <v>#VALUE!</v>
      </c>
    </row>
    <row r="45" spans="1:6" x14ac:dyDescent="0.4">
      <c r="A45" s="9" t="str" cm="1">
        <f t="array" ref="A45">[1]!J_GregorianDate(C45)</f>
        <v>24/09/09</v>
      </c>
      <c r="B45" s="9" t="s">
        <v>155</v>
      </c>
      <c r="C45" s="9" t="s">
        <v>69</v>
      </c>
      <c r="D45" s="9" t="s">
        <v>118</v>
      </c>
      <c r="E45" s="10">
        <f>-650000000000</f>
        <v>-650000000000</v>
      </c>
      <c r="F45" s="8" t="e">
        <f t="shared" si="0"/>
        <v>#VALUE!</v>
      </c>
    </row>
    <row r="46" spans="1:6" x14ac:dyDescent="0.4">
      <c r="A46" s="9" t="str" cm="1">
        <f t="array" ref="A46">[1]!J_GregorianDate(C46)</f>
        <v>24/09/09</v>
      </c>
      <c r="B46" s="9" t="s">
        <v>155</v>
      </c>
      <c r="C46" s="9" t="s">
        <v>69</v>
      </c>
      <c r="D46" s="9" t="s">
        <v>120</v>
      </c>
      <c r="E46" s="10">
        <f>-201029406210</f>
        <v>-201029406210</v>
      </c>
      <c r="F46" s="8" t="e">
        <f t="shared" si="0"/>
        <v>#VALUE!</v>
      </c>
    </row>
    <row r="47" spans="1:6" x14ac:dyDescent="0.4">
      <c r="A47" s="9" t="str" cm="1">
        <f t="array" ref="A47">[1]!J_GregorianDate(C47)</f>
        <v>24/09/09</v>
      </c>
      <c r="B47" s="9" t="s">
        <v>155</v>
      </c>
      <c r="C47" s="9" t="s">
        <v>69</v>
      </c>
      <c r="D47" s="9" t="s">
        <v>126</v>
      </c>
      <c r="E47" s="10">
        <f>-1648801350000</f>
        <v>-1648801350000</v>
      </c>
      <c r="F47" s="8" t="e">
        <f t="shared" si="0"/>
        <v>#VALUE!</v>
      </c>
    </row>
    <row r="48" spans="1:6" x14ac:dyDescent="0.4">
      <c r="A48" s="9" t="str" cm="1">
        <f t="array" ref="A48">[1]!J_GregorianDate(C48)</f>
        <v>24/09/11</v>
      </c>
      <c r="B48" s="9" t="s">
        <v>156</v>
      </c>
      <c r="C48" s="9" t="s">
        <v>73</v>
      </c>
      <c r="D48" s="9" t="s">
        <v>123</v>
      </c>
      <c r="E48" s="10">
        <f>-200100000000</f>
        <v>-200100000000</v>
      </c>
      <c r="F48" s="8" t="e">
        <f t="shared" si="0"/>
        <v>#VALUE!</v>
      </c>
    </row>
    <row r="49" spans="1:6" x14ac:dyDescent="0.4">
      <c r="A49" s="9" t="str" cm="1">
        <f t="array" ref="A49">[1]!J_GregorianDate(C49)</f>
        <v>24/09/11</v>
      </c>
      <c r="B49" s="9" t="s">
        <v>156</v>
      </c>
      <c r="C49" s="9" t="s">
        <v>73</v>
      </c>
      <c r="D49" s="9" t="s">
        <v>124</v>
      </c>
      <c r="E49" s="10">
        <f>-299702945000</f>
        <v>-299702945000</v>
      </c>
      <c r="F49" s="8" t="e">
        <f t="shared" si="0"/>
        <v>#VALUE!</v>
      </c>
    </row>
    <row r="50" spans="1:6" x14ac:dyDescent="0.4">
      <c r="A50" s="9" t="str" cm="1">
        <f t="array" ref="A50">[1]!J_GregorianDate(C50)</f>
        <v>24/09/22</v>
      </c>
      <c r="B50" s="9" t="s">
        <v>157</v>
      </c>
      <c r="C50" s="9" t="s">
        <v>76</v>
      </c>
      <c r="D50" s="9" t="s">
        <v>123</v>
      </c>
      <c r="E50" s="10">
        <f>-1797318900000</f>
        <v>-1797318900000</v>
      </c>
      <c r="F50" s="8" t="e">
        <f t="shared" si="0"/>
        <v>#VALUE!</v>
      </c>
    </row>
    <row r="51" spans="1:6" x14ac:dyDescent="0.4">
      <c r="A51" s="9" t="str" cm="1">
        <f t="array" ref="A51">[1]!J_GregorianDate(C51)</f>
        <v>24/09/22</v>
      </c>
      <c r="B51" s="9" t="s">
        <v>157</v>
      </c>
      <c r="C51" s="9" t="s">
        <v>76</v>
      </c>
      <c r="D51" s="9" t="s">
        <v>118</v>
      </c>
      <c r="E51" s="10">
        <f>-502055290000</f>
        <v>-502055290000</v>
      </c>
      <c r="F51" s="8" t="e">
        <f t="shared" si="0"/>
        <v>#VALUE!</v>
      </c>
    </row>
    <row r="52" spans="1:6" x14ac:dyDescent="0.4">
      <c r="A52" s="9" t="str" cm="1">
        <f t="array" ref="A52">[1]!J_GregorianDate(C52)</f>
        <v>24/09/22</v>
      </c>
      <c r="B52" s="9" t="s">
        <v>157</v>
      </c>
      <c r="C52" s="9" t="s">
        <v>76</v>
      </c>
      <c r="D52" s="9" t="s">
        <v>131</v>
      </c>
      <c r="E52" s="10">
        <f>-499509500000</f>
        <v>-499509500000</v>
      </c>
      <c r="F52" s="8" t="e">
        <f t="shared" si="0"/>
        <v>#VALUE!</v>
      </c>
    </row>
    <row r="53" spans="1:6" x14ac:dyDescent="0.4">
      <c r="A53" s="9" t="str" cm="1">
        <f t="array" ref="A53">[1]!J_GregorianDate(C53)</f>
        <v>24/09/22</v>
      </c>
      <c r="B53" s="9" t="s">
        <v>157</v>
      </c>
      <c r="C53" s="9" t="s">
        <v>76</v>
      </c>
      <c r="D53" s="9" t="s">
        <v>120</v>
      </c>
      <c r="E53" s="10">
        <f>-499797400000</f>
        <v>-499797400000</v>
      </c>
      <c r="F53" s="8" t="e">
        <f t="shared" si="0"/>
        <v>#VALUE!</v>
      </c>
    </row>
    <row r="54" spans="1:6" x14ac:dyDescent="0.4">
      <c r="A54" s="9" t="str" cm="1">
        <f t="array" ref="A54">[1]!J_GregorianDate(C54)</f>
        <v>24/09/22</v>
      </c>
      <c r="B54" s="9" t="s">
        <v>157</v>
      </c>
      <c r="C54" s="9" t="s">
        <v>76</v>
      </c>
      <c r="D54" s="9" t="s">
        <v>124</v>
      </c>
      <c r="E54" s="10">
        <f>-200363900000</f>
        <v>-200363900000</v>
      </c>
      <c r="F54" s="8" t="e">
        <f t="shared" si="0"/>
        <v>#VALUE!</v>
      </c>
    </row>
    <row r="55" spans="1:6" x14ac:dyDescent="0.4">
      <c r="A55" s="9" t="str" cm="1">
        <f t="array" ref="A55">[1]!J_GregorianDate(C55)</f>
        <v>24/09/23</v>
      </c>
      <c r="B55" s="9" t="s">
        <v>158</v>
      </c>
      <c r="C55" s="9" t="s">
        <v>82</v>
      </c>
      <c r="D55" s="9" t="s">
        <v>123</v>
      </c>
      <c r="E55" s="10">
        <f>-499989636000</f>
        <v>-499989636000</v>
      </c>
      <c r="F55" s="8" t="e">
        <f t="shared" si="0"/>
        <v>#VALUE!</v>
      </c>
    </row>
    <row r="56" spans="1:6" x14ac:dyDescent="0.4">
      <c r="A56" s="9" t="str" cm="1">
        <f t="array" ref="A56">[1]!J_GregorianDate(C56)</f>
        <v>24/09/23</v>
      </c>
      <c r="B56" s="9" t="s">
        <v>158</v>
      </c>
      <c r="C56" s="9" t="s">
        <v>82</v>
      </c>
      <c r="D56" s="9" t="s">
        <v>127</v>
      </c>
      <c r="E56" s="10">
        <f>-1499992450000</f>
        <v>-1499992450000</v>
      </c>
      <c r="F56" s="8" t="e">
        <f t="shared" si="0"/>
        <v>#VALUE!</v>
      </c>
    </row>
    <row r="57" spans="1:6" x14ac:dyDescent="0.4">
      <c r="A57" s="9" t="str" cm="1">
        <f t="array" ref="A57">[1]!J_GregorianDate(C57)</f>
        <v>24/10/01</v>
      </c>
      <c r="B57" s="9" t="s">
        <v>159</v>
      </c>
      <c r="C57" s="9" t="s">
        <v>85</v>
      </c>
      <c r="D57" s="9" t="s">
        <v>123</v>
      </c>
      <c r="E57" s="10">
        <f>-1499746400000</f>
        <v>-1499746400000</v>
      </c>
      <c r="F57" s="8" t="e">
        <f t="shared" si="0"/>
        <v>#VALUE!</v>
      </c>
    </row>
    <row r="58" spans="1:6" x14ac:dyDescent="0.4">
      <c r="A58" s="9" t="str" cm="1">
        <f t="array" ref="A58">[1]!J_GregorianDate(C58)</f>
        <v>24/10/01</v>
      </c>
      <c r="B58" s="9" t="s">
        <v>159</v>
      </c>
      <c r="C58" s="9" t="s">
        <v>85</v>
      </c>
      <c r="D58" s="9" t="s">
        <v>120</v>
      </c>
      <c r="E58" s="10">
        <f>-999825080000</f>
        <v>-999825080000</v>
      </c>
      <c r="F58" s="8" t="e">
        <f t="shared" si="0"/>
        <v>#VALUE!</v>
      </c>
    </row>
    <row r="59" spans="1:6" x14ac:dyDescent="0.4">
      <c r="A59" s="9" t="str" cm="1">
        <f t="array" ref="A59">[1]!J_GregorianDate(C59)</f>
        <v>24/10/07</v>
      </c>
      <c r="B59" s="9" t="s">
        <v>160</v>
      </c>
      <c r="C59" s="9" t="s">
        <v>88</v>
      </c>
      <c r="D59" s="9" t="s">
        <v>120</v>
      </c>
      <c r="E59" s="10">
        <f>-999898305000</f>
        <v>-999898305000</v>
      </c>
      <c r="F59" s="8" t="e">
        <f t="shared" si="0"/>
        <v>#VALUE!</v>
      </c>
    </row>
    <row r="60" spans="1:6" x14ac:dyDescent="0.4">
      <c r="A60" s="9" t="str" cm="1">
        <f t="array" ref="A60">[1]!J_GregorianDate(C60)</f>
        <v>24/10/07</v>
      </c>
      <c r="B60" s="9" t="s">
        <v>160</v>
      </c>
      <c r="C60" s="9" t="s">
        <v>88</v>
      </c>
      <c r="D60" s="9" t="s">
        <v>127</v>
      </c>
      <c r="E60" s="10">
        <f>-999715500000</f>
        <v>-999715500000</v>
      </c>
      <c r="F60" s="8" t="e">
        <f t="shared" si="0"/>
        <v>#VALUE!</v>
      </c>
    </row>
    <row r="61" spans="1:6" x14ac:dyDescent="0.4">
      <c r="A61" s="9" t="str" cm="1">
        <f t="array" ref="A61">[1]!J_GregorianDate(C61)</f>
        <v>24/10/15</v>
      </c>
      <c r="B61" s="9" t="s">
        <v>161</v>
      </c>
      <c r="C61" s="9" t="s">
        <v>91</v>
      </c>
      <c r="D61" s="9" t="s">
        <v>130</v>
      </c>
      <c r="E61" s="11">
        <v>341651250000</v>
      </c>
      <c r="F61" s="8" t="e">
        <f t="shared" si="0"/>
        <v>#VALUE!</v>
      </c>
    </row>
    <row r="62" spans="1:6" x14ac:dyDescent="0.4">
      <c r="A62" s="9" t="str" cm="1">
        <f t="array" ref="A62">[1]!J_GregorianDate(C62)</f>
        <v>24/10/15</v>
      </c>
      <c r="B62" s="9" t="s">
        <v>161</v>
      </c>
      <c r="C62" s="9" t="s">
        <v>91</v>
      </c>
      <c r="D62" s="9" t="s">
        <v>122</v>
      </c>
      <c r="E62" s="11">
        <v>1214526768075</v>
      </c>
      <c r="F62" s="8" t="e">
        <f t="shared" si="0"/>
        <v>#VALUE!</v>
      </c>
    </row>
    <row r="63" spans="1:6" x14ac:dyDescent="0.4">
      <c r="A63" s="9" t="str" cm="1">
        <f t="array" ref="A63">[1]!J_GregorianDate(C63)</f>
        <v>24/10/15</v>
      </c>
      <c r="B63" s="9" t="s">
        <v>161</v>
      </c>
      <c r="C63" s="9" t="s">
        <v>91</v>
      </c>
      <c r="D63" s="9" t="s">
        <v>118</v>
      </c>
      <c r="E63" s="11">
        <v>483945790195</v>
      </c>
      <c r="F63" s="8" t="e">
        <f t="shared" si="0"/>
        <v>#VALUE!</v>
      </c>
    </row>
    <row r="64" spans="1:6" x14ac:dyDescent="0.4">
      <c r="A64" s="9" t="str" cm="1">
        <f t="array" ref="A64">[1]!J_GregorianDate(C64)</f>
        <v>24/10/15</v>
      </c>
      <c r="B64" s="9" t="s">
        <v>161</v>
      </c>
      <c r="C64" s="9" t="s">
        <v>91</v>
      </c>
      <c r="D64" s="9" t="s">
        <v>117</v>
      </c>
      <c r="E64" s="11">
        <v>409962114109</v>
      </c>
      <c r="F64" s="8" t="e">
        <f t="shared" si="0"/>
        <v>#VALUE!</v>
      </c>
    </row>
    <row r="65" spans="1:6" x14ac:dyDescent="0.4">
      <c r="A65" s="9" t="str" cm="1">
        <f t="array" ref="A65">[1]!J_GregorianDate(C65)</f>
        <v>24/10/15</v>
      </c>
      <c r="B65" s="9" t="s">
        <v>161</v>
      </c>
      <c r="C65" s="9" t="s">
        <v>91</v>
      </c>
      <c r="D65" s="9" t="s">
        <v>131</v>
      </c>
      <c r="E65" s="11">
        <v>499509500000</v>
      </c>
      <c r="F65" s="8" t="e">
        <f t="shared" si="0"/>
        <v>#VALUE!</v>
      </c>
    </row>
    <row r="66" spans="1:6" x14ac:dyDescent="0.4">
      <c r="A66" s="9" t="str" cm="1">
        <f t="array" ref="A66">[1]!J_GregorianDate(C66)</f>
        <v>24/10/15</v>
      </c>
      <c r="B66" s="9" t="s">
        <v>161</v>
      </c>
      <c r="C66" s="9" t="s">
        <v>91</v>
      </c>
      <c r="D66" s="9" t="s">
        <v>120</v>
      </c>
      <c r="E66" s="11">
        <v>1031752930703</v>
      </c>
      <c r="F66" s="8" t="e">
        <f t="shared" si="0"/>
        <v>#VALUE!</v>
      </c>
    </row>
    <row r="67" spans="1:6" x14ac:dyDescent="0.4">
      <c r="A67" s="9" t="str" cm="1">
        <f t="array" ref="A67">[1]!J_GregorianDate(C67)</f>
        <v>24/10/15</v>
      </c>
      <c r="B67" s="9" t="s">
        <v>161</v>
      </c>
      <c r="C67" s="9" t="s">
        <v>91</v>
      </c>
      <c r="D67" s="9" t="s">
        <v>124</v>
      </c>
      <c r="E67" s="10">
        <f>-4180288000000</f>
        <v>-4180288000000</v>
      </c>
      <c r="F67" s="8" t="e">
        <f t="shared" ref="F67:F82" si="1">XIRR(E67:E147,A67:A147)</f>
        <v>#VALUE!</v>
      </c>
    </row>
    <row r="68" spans="1:6" x14ac:dyDescent="0.4">
      <c r="A68" s="9" t="str" cm="1">
        <f t="array" ref="A68">[1]!J_GregorianDate(C68)</f>
        <v>24/10/20</v>
      </c>
      <c r="B68" s="9" t="s">
        <v>162</v>
      </c>
      <c r="C68" s="9" t="s">
        <v>99</v>
      </c>
      <c r="D68" s="9" t="s">
        <v>123</v>
      </c>
      <c r="E68" s="11">
        <v>1794466969405</v>
      </c>
      <c r="F68" s="8" t="e">
        <f t="shared" si="1"/>
        <v>#VALUE!</v>
      </c>
    </row>
    <row r="69" spans="1:6" x14ac:dyDescent="0.4">
      <c r="A69" s="9" t="str" cm="1">
        <f t="array" ref="A69">[1]!J_GregorianDate(C69)</f>
        <v>24/10/20</v>
      </c>
      <c r="B69" s="9" t="s">
        <v>162</v>
      </c>
      <c r="C69" s="9" t="s">
        <v>99</v>
      </c>
      <c r="D69" s="9" t="s">
        <v>118</v>
      </c>
      <c r="E69" s="11">
        <v>2274545213915</v>
      </c>
      <c r="F69" s="8" t="e">
        <f t="shared" si="1"/>
        <v>#VALUE!</v>
      </c>
    </row>
    <row r="70" spans="1:6" x14ac:dyDescent="0.4">
      <c r="A70" s="9" t="str" cm="1">
        <f t="array" ref="A70">[1]!J_GregorianDate(C70)</f>
        <v>24/10/20</v>
      </c>
      <c r="B70" s="9" t="s">
        <v>162</v>
      </c>
      <c r="C70" s="9" t="s">
        <v>99</v>
      </c>
      <c r="D70" s="9" t="s">
        <v>120</v>
      </c>
      <c r="E70" s="11">
        <v>859794108919</v>
      </c>
      <c r="F70" s="8" t="e">
        <f t="shared" si="1"/>
        <v>#VALUE!</v>
      </c>
    </row>
    <row r="71" spans="1:6" x14ac:dyDescent="0.4">
      <c r="A71" s="9" t="str" cm="1">
        <f t="array" ref="A71">[1]!J_GregorianDate(C71)</f>
        <v>24/10/20</v>
      </c>
      <c r="B71" s="9" t="s">
        <v>162</v>
      </c>
      <c r="C71" s="9" t="s">
        <v>99</v>
      </c>
      <c r="D71" s="9" t="s">
        <v>127</v>
      </c>
      <c r="E71" s="11">
        <v>1619163086365</v>
      </c>
      <c r="F71" s="8" t="e">
        <f t="shared" si="1"/>
        <v>#VALUE!</v>
      </c>
    </row>
    <row r="72" spans="1:6" x14ac:dyDescent="0.4">
      <c r="A72" s="9" t="str" cm="1">
        <f t="array" ref="A72">[1]!J_GregorianDate(C72)</f>
        <v>24/10/20</v>
      </c>
      <c r="B72" s="9" t="s">
        <v>162</v>
      </c>
      <c r="C72" s="9" t="s">
        <v>99</v>
      </c>
      <c r="D72" s="9" t="s">
        <v>124</v>
      </c>
      <c r="E72" s="11">
        <v>1004351732594</v>
      </c>
      <c r="F72" s="8" t="e">
        <f t="shared" si="1"/>
        <v>#VALUE!</v>
      </c>
    </row>
    <row r="73" spans="1:6" x14ac:dyDescent="0.4">
      <c r="A73" s="9" t="str" cm="1">
        <f t="array" ref="A73">[1]!J_GregorianDate(C73)</f>
        <v>24/10/20</v>
      </c>
      <c r="B73" s="9" t="s">
        <v>162</v>
      </c>
      <c r="C73" s="9" t="s">
        <v>99</v>
      </c>
      <c r="D73" s="9" t="s">
        <v>126</v>
      </c>
      <c r="E73" s="11">
        <v>906003000000</v>
      </c>
      <c r="F73" s="8" t="e">
        <f t="shared" si="1"/>
        <v>#VALUE!</v>
      </c>
    </row>
    <row r="74" spans="1:6" x14ac:dyDescent="0.4">
      <c r="A74" s="9" t="str" cm="1">
        <f t="array" ref="A74">[1]!J_GregorianDate(C74)</f>
        <v>24/11/02</v>
      </c>
      <c r="B74" s="9" t="s">
        <v>163</v>
      </c>
      <c r="C74" s="9" t="s">
        <v>106</v>
      </c>
      <c r="D74" s="9" t="s">
        <v>123</v>
      </c>
      <c r="E74" s="11">
        <v>161906794232</v>
      </c>
      <c r="F74" s="8" t="e">
        <f t="shared" si="1"/>
        <v>#VALUE!</v>
      </c>
    </row>
    <row r="75" spans="1:6" x14ac:dyDescent="0.4">
      <c r="A75" s="9" t="str" cm="1">
        <f t="array" ref="A75">[1]!J_GregorianDate(C75)</f>
        <v>24/11/02</v>
      </c>
      <c r="B75" s="9" t="s">
        <v>163</v>
      </c>
      <c r="C75" s="9" t="s">
        <v>106</v>
      </c>
      <c r="D75" s="9" t="s">
        <v>118</v>
      </c>
      <c r="E75" s="11">
        <v>232293979293</v>
      </c>
      <c r="F75" s="8" t="e">
        <f t="shared" si="1"/>
        <v>#VALUE!</v>
      </c>
    </row>
    <row r="76" spans="1:6" x14ac:dyDescent="0.4">
      <c r="A76" s="9" t="str" cm="1">
        <f t="array" ref="A76">[1]!J_GregorianDate(C76)</f>
        <v>24/11/02</v>
      </c>
      <c r="B76" s="9" t="s">
        <v>163</v>
      </c>
      <c r="C76" s="9" t="s">
        <v>106</v>
      </c>
      <c r="D76" s="9" t="s">
        <v>120</v>
      </c>
      <c r="E76" s="11">
        <v>80820646238</v>
      </c>
      <c r="F76" s="8" t="e">
        <f t="shared" si="1"/>
        <v>#VALUE!</v>
      </c>
    </row>
    <row r="77" spans="1:6" x14ac:dyDescent="0.4">
      <c r="A77" s="9" t="str" cm="1">
        <f t="array" ref="A77">[1]!J_GregorianDate(C77)</f>
        <v>24/11/02</v>
      </c>
      <c r="B77" s="9" t="s">
        <v>163</v>
      </c>
      <c r="C77" s="9" t="s">
        <v>106</v>
      </c>
      <c r="D77" s="9" t="s">
        <v>127</v>
      </c>
      <c r="E77" s="11">
        <v>405790254978</v>
      </c>
      <c r="F77" s="8" t="e">
        <f t="shared" si="1"/>
        <v>#VALUE!</v>
      </c>
    </row>
    <row r="78" spans="1:6" x14ac:dyDescent="0.4">
      <c r="A78" s="9" t="str" cm="1">
        <f t="array" ref="A78">[1]!J_GregorianDate(C78)</f>
        <v>24/11/02</v>
      </c>
      <c r="B78" s="9" t="s">
        <v>163</v>
      </c>
      <c r="C78" s="9" t="s">
        <v>106</v>
      </c>
      <c r="D78" s="9" t="s">
        <v>124</v>
      </c>
      <c r="E78" s="11">
        <v>326414313093</v>
      </c>
      <c r="F78" s="8" t="e">
        <f t="shared" si="1"/>
        <v>#VALUE!</v>
      </c>
    </row>
    <row r="79" spans="1:6" x14ac:dyDescent="0.4">
      <c r="A79" s="9" t="str" cm="1">
        <f t="array" ref="A79">[1]!J_GregorianDate(C79)</f>
        <v>24/11/02</v>
      </c>
      <c r="B79" s="9" t="s">
        <v>163</v>
      </c>
      <c r="C79" s="9" t="s">
        <v>106</v>
      </c>
      <c r="D79" s="9" t="s">
        <v>126</v>
      </c>
      <c r="E79" s="11">
        <v>239532300000</v>
      </c>
      <c r="F79" s="8" t="e">
        <f t="shared" si="1"/>
        <v>#VALUE!</v>
      </c>
    </row>
    <row r="80" spans="1:6" x14ac:dyDescent="0.4">
      <c r="A80" s="9" t="str" cm="1">
        <f t="array" ref="A80">[1]!J_GregorianDate(C80)</f>
        <v>24/11/26</v>
      </c>
      <c r="B80" s="9" t="s">
        <v>164</v>
      </c>
      <c r="C80" s="9" t="s">
        <v>113</v>
      </c>
      <c r="D80" s="9" t="s">
        <v>122</v>
      </c>
      <c r="E80" s="10">
        <f>-699847864000</f>
        <v>-699847864000</v>
      </c>
      <c r="F80" s="8" t="e">
        <f t="shared" si="1"/>
        <v>#VALUE!</v>
      </c>
    </row>
    <row r="81" spans="1:6" x14ac:dyDescent="0.4">
      <c r="A81" s="9" t="str" cm="1">
        <f t="array" ref="A81">[1]!J_GregorianDate(C81)</f>
        <v>24/11/26</v>
      </c>
      <c r="B81" s="9" t="s">
        <v>164</v>
      </c>
      <c r="C81" s="9" t="s">
        <v>113</v>
      </c>
      <c r="D81" s="9" t="s">
        <v>118</v>
      </c>
      <c r="E81" s="10">
        <f>-799841847000</f>
        <v>-799841847000</v>
      </c>
      <c r="F81" s="8" t="e">
        <f t="shared" si="1"/>
        <v>#VALUE!</v>
      </c>
    </row>
    <row r="82" spans="1:6" x14ac:dyDescent="0.4">
      <c r="A82" s="9" t="str" cm="1">
        <f t="array" ref="A82">[1]!J_GregorianDate(C82)</f>
        <v>24/11/26</v>
      </c>
      <c r="B82" s="9" t="s">
        <v>164</v>
      </c>
      <c r="C82" s="9" t="s">
        <v>113</v>
      </c>
      <c r="D82" s="9" t="s">
        <v>123</v>
      </c>
      <c r="E82" s="10">
        <f>-499904640000</f>
        <v>-499904640000</v>
      </c>
      <c r="F82" s="8" t="e">
        <f t="shared" si="1"/>
        <v>#VALUE!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CFC8-90FB-45CE-BED0-F8BE5494C752}">
  <dimension ref="A1:F82"/>
  <sheetViews>
    <sheetView rightToLeft="1" workbookViewId="0">
      <selection activeCell="E55" sqref="E1:E1048576"/>
    </sheetView>
  </sheetViews>
  <sheetFormatPr defaultRowHeight="12.75" x14ac:dyDescent="0.2"/>
  <cols>
    <col min="1" max="1" width="11.5703125" customWidth="1"/>
    <col min="2" max="2" width="11.42578125" customWidth="1"/>
    <col min="3" max="3" width="141.140625" customWidth="1"/>
    <col min="4" max="4" width="24.28515625" customWidth="1"/>
    <col min="5" max="5" width="20.140625" customWidth="1"/>
  </cols>
  <sheetData>
    <row r="1" spans="1:6" x14ac:dyDescent="0.2">
      <c r="A1" s="3"/>
      <c r="B1" s="3" t="s">
        <v>0</v>
      </c>
      <c r="C1" s="3" t="s">
        <v>1</v>
      </c>
      <c r="D1" s="3"/>
      <c r="E1" s="3" t="s">
        <v>2</v>
      </c>
    </row>
    <row r="2" spans="1:6" x14ac:dyDescent="0.2">
      <c r="A2" s="6" t="str" cm="1">
        <f t="array" ref="A2">[1]!J_GregorianDate(B2)</f>
        <v>24/05/01</v>
      </c>
      <c r="B2" s="1" t="s">
        <v>5</v>
      </c>
      <c r="C2" s="5" t="s">
        <v>6</v>
      </c>
      <c r="D2" s="1" t="s">
        <v>117</v>
      </c>
      <c r="E2" s="4">
        <f>-182610000000</f>
        <v>-182610000000</v>
      </c>
      <c r="F2" t="e">
        <f>XIRR(E2:E82,A2:A82)</f>
        <v>#VALUE!</v>
      </c>
    </row>
    <row r="3" spans="1:6" x14ac:dyDescent="0.2">
      <c r="A3" s="6" t="str" cm="1">
        <f t="array" ref="A3">[1]!J_GregorianDate(B3)</f>
        <v>24/05/06</v>
      </c>
      <c r="B3" s="1" t="s">
        <v>7</v>
      </c>
      <c r="C3" s="1" t="s">
        <v>8</v>
      </c>
      <c r="D3" s="1" t="s">
        <v>117</v>
      </c>
      <c r="E3" s="4">
        <f>-316896380000</f>
        <v>-316896380000</v>
      </c>
      <c r="F3" t="e">
        <f t="shared" ref="F3:F66" si="0">XIRR(E3:E83,A3:A83)</f>
        <v>#VALUE!</v>
      </c>
    </row>
    <row r="4" spans="1:6" x14ac:dyDescent="0.2">
      <c r="A4" s="6" t="str" cm="1">
        <f t="array" ref="A4">[1]!J_GregorianDate(B4)</f>
        <v>24/05/06</v>
      </c>
      <c r="B4" s="1" t="s">
        <v>7</v>
      </c>
      <c r="C4" s="5" t="s">
        <v>9</v>
      </c>
      <c r="D4" s="1" t="s">
        <v>131</v>
      </c>
      <c r="E4" s="4">
        <f>-499789440000</f>
        <v>-499789440000</v>
      </c>
      <c r="F4" t="e">
        <f t="shared" si="0"/>
        <v>#VALUE!</v>
      </c>
    </row>
    <row r="5" spans="1:6" x14ac:dyDescent="0.2">
      <c r="A5" s="6" t="str" cm="1">
        <f t="array" ref="A5">[1]!J_GregorianDate(B5)</f>
        <v>24/05/07</v>
      </c>
      <c r="B5" s="1" t="s">
        <v>10</v>
      </c>
      <c r="C5" s="1" t="s">
        <v>11</v>
      </c>
      <c r="D5" s="1" t="s">
        <v>131</v>
      </c>
      <c r="E5" s="4">
        <f>-194454000000</f>
        <v>-194454000000</v>
      </c>
      <c r="F5" t="e">
        <f t="shared" si="0"/>
        <v>#VALUE!</v>
      </c>
    </row>
    <row r="6" spans="1:6" x14ac:dyDescent="0.2">
      <c r="A6" s="6" t="str" cm="1">
        <f t="array" ref="A6">[1]!J_GregorianDate(B6)</f>
        <v>24/05/08</v>
      </c>
      <c r="B6" s="1" t="s">
        <v>12</v>
      </c>
      <c r="C6" s="5" t="s">
        <v>13</v>
      </c>
      <c r="D6" s="1" t="s">
        <v>118</v>
      </c>
      <c r="E6" s="4">
        <f>-305853000000</f>
        <v>-305853000000</v>
      </c>
      <c r="F6" t="e">
        <f t="shared" si="0"/>
        <v>#VALUE!</v>
      </c>
    </row>
    <row r="7" spans="1:6" x14ac:dyDescent="0.2">
      <c r="A7" s="6" t="str" cm="1">
        <f t="array" ref="A7">[1]!J_GregorianDate(B7)</f>
        <v>24/05/14</v>
      </c>
      <c r="B7" s="1" t="s">
        <v>14</v>
      </c>
      <c r="C7" s="5" t="s">
        <v>15</v>
      </c>
      <c r="D7" s="1" t="s">
        <v>119</v>
      </c>
      <c r="E7" s="4">
        <f>-499689400000</f>
        <v>-499689400000</v>
      </c>
      <c r="F7" t="e">
        <f t="shared" si="0"/>
        <v>#VALUE!</v>
      </c>
    </row>
    <row r="8" spans="1:6" x14ac:dyDescent="0.2">
      <c r="A8" s="6" t="str" cm="1">
        <f t="array" ref="A8">[1]!J_GregorianDate(B8)</f>
        <v>24/05/14</v>
      </c>
      <c r="B8" s="1" t="s">
        <v>14</v>
      </c>
      <c r="C8" s="1" t="s">
        <v>16</v>
      </c>
      <c r="D8" s="1" t="s">
        <v>122</v>
      </c>
      <c r="E8" s="4">
        <f>-499812650000</f>
        <v>-499812650000</v>
      </c>
      <c r="F8" t="e">
        <f t="shared" si="0"/>
        <v>#VALUE!</v>
      </c>
    </row>
    <row r="9" spans="1:6" x14ac:dyDescent="0.2">
      <c r="A9" s="6" t="str" cm="1">
        <f t="array" ref="A9">[1]!J_GregorianDate(B9)</f>
        <v>24/05/20</v>
      </c>
      <c r="B9" s="1" t="s">
        <v>17</v>
      </c>
      <c r="C9" s="1" t="s">
        <v>18</v>
      </c>
      <c r="D9" s="1" t="s">
        <v>119</v>
      </c>
      <c r="E9" s="4">
        <v>499689400000</v>
      </c>
      <c r="F9" t="e">
        <f t="shared" si="0"/>
        <v>#VALUE!</v>
      </c>
    </row>
    <row r="10" spans="1:6" x14ac:dyDescent="0.2">
      <c r="A10" s="6" t="str" cm="1">
        <f t="array" ref="A10">[1]!J_GregorianDate(B10)</f>
        <v>24/05/20</v>
      </c>
      <c r="B10" s="1" t="s">
        <v>17</v>
      </c>
      <c r="C10" s="1" t="s">
        <v>19</v>
      </c>
      <c r="D10" s="1" t="s">
        <v>122</v>
      </c>
      <c r="E10" s="4">
        <v>499812650000</v>
      </c>
      <c r="F10" t="e">
        <f t="shared" si="0"/>
        <v>#VALUE!</v>
      </c>
    </row>
    <row r="11" spans="1:6" x14ac:dyDescent="0.2">
      <c r="A11" s="6" t="str" cm="1">
        <f t="array" ref="A11">[1]!J_GregorianDate(B11)</f>
        <v>24/05/20</v>
      </c>
      <c r="B11" s="1" t="s">
        <v>17</v>
      </c>
      <c r="C11" s="1" t="s">
        <v>20</v>
      </c>
      <c r="D11" s="1" t="s">
        <v>118</v>
      </c>
      <c r="E11" s="4">
        <v>305853000000</v>
      </c>
      <c r="F11" t="e">
        <f t="shared" si="0"/>
        <v>#VALUE!</v>
      </c>
    </row>
    <row r="12" spans="1:6" x14ac:dyDescent="0.2">
      <c r="A12" s="6" t="str" cm="1">
        <f t="array" ref="A12">[1]!J_GregorianDate(B12)</f>
        <v>24/05/20</v>
      </c>
      <c r="B12" s="1" t="s">
        <v>17</v>
      </c>
      <c r="C12" s="1" t="s">
        <v>21</v>
      </c>
      <c r="D12" s="1" t="s">
        <v>117</v>
      </c>
      <c r="E12" s="4">
        <v>499506380000</v>
      </c>
      <c r="F12" t="e">
        <f t="shared" si="0"/>
        <v>#VALUE!</v>
      </c>
    </row>
    <row r="13" spans="1:6" x14ac:dyDescent="0.2">
      <c r="A13" s="6" t="str" cm="1">
        <f t="array" ref="A13">[1]!J_GregorianDate(B13)</f>
        <v>24/05/20</v>
      </c>
      <c r="B13" s="1" t="s">
        <v>17</v>
      </c>
      <c r="C13" s="1" t="s">
        <v>22</v>
      </c>
      <c r="D13" s="1" t="s">
        <v>131</v>
      </c>
      <c r="E13" s="4">
        <v>694243440000</v>
      </c>
      <c r="F13" t="e">
        <f t="shared" si="0"/>
        <v>#VALUE!</v>
      </c>
    </row>
    <row r="14" spans="1:6" x14ac:dyDescent="0.2">
      <c r="A14" s="6" t="str" cm="1">
        <f t="array" ref="A14">[1]!J_GregorianDate(B14)</f>
        <v>24/06/02</v>
      </c>
      <c r="B14" s="1" t="s">
        <v>23</v>
      </c>
      <c r="C14" s="1" t="s">
        <v>24</v>
      </c>
      <c r="D14" s="1" t="s">
        <v>122</v>
      </c>
      <c r="E14" s="4">
        <f>-986272000000</f>
        <v>-986272000000</v>
      </c>
      <c r="F14" t="e">
        <f t="shared" si="0"/>
        <v>#VALUE!</v>
      </c>
    </row>
    <row r="15" spans="1:6" x14ac:dyDescent="0.2">
      <c r="A15" s="6" t="str" cm="1">
        <f t="array" ref="A15">[1]!J_GregorianDate(B15)</f>
        <v>24/06/02</v>
      </c>
      <c r="B15" s="1" t="s">
        <v>23</v>
      </c>
      <c r="C15" s="1" t="s">
        <v>25</v>
      </c>
      <c r="D15" s="1" t="s">
        <v>118</v>
      </c>
      <c r="E15" s="4">
        <f>-11613000000</f>
        <v>-11613000000</v>
      </c>
      <c r="F15" t="e">
        <f t="shared" si="0"/>
        <v>#VALUE!</v>
      </c>
    </row>
    <row r="16" spans="1:6" x14ac:dyDescent="0.2">
      <c r="A16" s="6" t="str" cm="1">
        <f t="array" ref="A16">[1]!J_GregorianDate(B16)</f>
        <v>24/06/02</v>
      </c>
      <c r="B16" s="1" t="s">
        <v>23</v>
      </c>
      <c r="C16" s="1" t="s">
        <v>26</v>
      </c>
      <c r="D16" s="1" t="s">
        <v>118</v>
      </c>
      <c r="E16" s="4">
        <f>-999796596000</f>
        <v>-999796596000</v>
      </c>
      <c r="F16" t="e">
        <f t="shared" si="0"/>
        <v>#VALUE!</v>
      </c>
    </row>
    <row r="17" spans="1:6" x14ac:dyDescent="0.2">
      <c r="A17" s="6" t="str" cm="1">
        <f t="array" ref="A17">[1]!J_GregorianDate(B17)</f>
        <v>24/06/02</v>
      </c>
      <c r="B17" s="1" t="s">
        <v>23</v>
      </c>
      <c r="C17" s="5" t="s">
        <v>27</v>
      </c>
      <c r="D17" s="1" t="s">
        <v>120</v>
      </c>
      <c r="E17" s="4">
        <f>-299848500000</f>
        <v>-299848500000</v>
      </c>
      <c r="F17" t="e">
        <f t="shared" si="0"/>
        <v>#VALUE!</v>
      </c>
    </row>
    <row r="18" spans="1:6" x14ac:dyDescent="0.2">
      <c r="A18" s="6" t="str" cm="1">
        <f t="array" ref="A18">[1]!J_GregorianDate(B18)</f>
        <v>24/06/02</v>
      </c>
      <c r="B18" s="1" t="s">
        <v>23</v>
      </c>
      <c r="C18" s="5" t="s">
        <v>28</v>
      </c>
      <c r="D18" s="1" t="s">
        <v>121</v>
      </c>
      <c r="E18" s="4">
        <f>-199300500000</f>
        <v>-199300500000</v>
      </c>
      <c r="F18" t="e">
        <f t="shared" si="0"/>
        <v>#VALUE!</v>
      </c>
    </row>
    <row r="19" spans="1:6" x14ac:dyDescent="0.2">
      <c r="A19" s="6" t="str" cm="1">
        <f t="array" ref="A19">[1]!J_GregorianDate(B19)</f>
        <v>24/07/03</v>
      </c>
      <c r="B19" s="1" t="s">
        <v>31</v>
      </c>
      <c r="C19" s="1" t="s">
        <v>32</v>
      </c>
      <c r="D19" s="1" t="s">
        <v>132</v>
      </c>
      <c r="E19" s="4">
        <v>2001528372</v>
      </c>
      <c r="F19" t="e">
        <f t="shared" si="0"/>
        <v>#VALUE!</v>
      </c>
    </row>
    <row r="20" spans="1:6" x14ac:dyDescent="0.2">
      <c r="A20" s="6" t="str" cm="1">
        <f t="array" ref="A20">[1]!J_GregorianDate(B20)</f>
        <v>24/07/07</v>
      </c>
      <c r="B20" s="1" t="s">
        <v>33</v>
      </c>
      <c r="C20" s="1" t="s">
        <v>34</v>
      </c>
      <c r="D20" s="1" t="s">
        <v>132</v>
      </c>
      <c r="E20" s="4">
        <v>2273826299</v>
      </c>
      <c r="F20" t="e">
        <f t="shared" si="0"/>
        <v>#VALUE!</v>
      </c>
    </row>
    <row r="21" spans="1:6" x14ac:dyDescent="0.2">
      <c r="A21" s="6" t="str" cm="1">
        <f t="array" ref="A21">[1]!J_GregorianDate(B21)</f>
        <v>24/07/08</v>
      </c>
      <c r="B21" s="1" t="s">
        <v>35</v>
      </c>
      <c r="C21" s="1" t="s">
        <v>36</v>
      </c>
      <c r="D21" s="1" t="s">
        <v>132</v>
      </c>
      <c r="E21" s="4">
        <v>2992635184</v>
      </c>
      <c r="F21" t="e">
        <f t="shared" si="0"/>
        <v>#VALUE!</v>
      </c>
    </row>
    <row r="22" spans="1:6" x14ac:dyDescent="0.2">
      <c r="A22" s="6" t="str" cm="1">
        <f t="array" ref="A22">[1]!J_GregorianDate(B22)</f>
        <v>24/07/10</v>
      </c>
      <c r="B22" s="1" t="s">
        <v>37</v>
      </c>
      <c r="C22" s="1" t="s">
        <v>38</v>
      </c>
      <c r="D22" s="1" t="s">
        <v>132</v>
      </c>
      <c r="E22" s="4">
        <v>3002292558</v>
      </c>
      <c r="F22" t="e">
        <f t="shared" si="0"/>
        <v>#VALUE!</v>
      </c>
    </row>
    <row r="23" spans="1:6" x14ac:dyDescent="0.2">
      <c r="A23" s="6" t="str" cm="1">
        <f t="array" ref="A23">[1]!J_GregorianDate(B23)</f>
        <v>24/07/14</v>
      </c>
      <c r="B23" s="1" t="s">
        <v>39</v>
      </c>
      <c r="C23" s="1" t="s">
        <v>40</v>
      </c>
      <c r="D23" s="1" t="s">
        <v>118</v>
      </c>
      <c r="E23" s="4">
        <f>-1499761350000</f>
        <v>-1499761350000</v>
      </c>
      <c r="F23" t="e">
        <f t="shared" si="0"/>
        <v>#VALUE!</v>
      </c>
    </row>
    <row r="24" spans="1:6" x14ac:dyDescent="0.2">
      <c r="A24" s="6" t="str" cm="1">
        <f t="array" ref="A24">[1]!J_GregorianDate(B24)</f>
        <v>24/07/14</v>
      </c>
      <c r="B24" s="1" t="s">
        <v>39</v>
      </c>
      <c r="C24" s="5" t="s">
        <v>41</v>
      </c>
      <c r="D24" s="1" t="s">
        <v>125</v>
      </c>
      <c r="E24" s="4">
        <f>-799919990708</f>
        <v>-799919990708</v>
      </c>
      <c r="F24" t="e">
        <f t="shared" si="0"/>
        <v>#VALUE!</v>
      </c>
    </row>
    <row r="25" spans="1:6" x14ac:dyDescent="0.2">
      <c r="A25" s="6" t="str" cm="1">
        <f t="array" ref="A25">[1]!J_GregorianDate(B25)</f>
        <v>24/07/14</v>
      </c>
      <c r="B25" s="1" t="s">
        <v>39</v>
      </c>
      <c r="C25" s="1" t="s">
        <v>42</v>
      </c>
      <c r="D25" s="1" t="s">
        <v>117</v>
      </c>
      <c r="E25" s="4">
        <f>-699827700000</f>
        <v>-699827700000</v>
      </c>
      <c r="F25" t="e">
        <f t="shared" si="0"/>
        <v>#VALUE!</v>
      </c>
    </row>
    <row r="26" spans="1:6" x14ac:dyDescent="0.2">
      <c r="A26" s="6" t="str" cm="1">
        <f t="array" ref="A26">[1]!J_GregorianDate(B26)</f>
        <v>24/07/14</v>
      </c>
      <c r="B26" s="1" t="s">
        <v>39</v>
      </c>
      <c r="C26" s="5" t="s">
        <v>43</v>
      </c>
      <c r="D26" s="1" t="s">
        <v>132</v>
      </c>
      <c r="E26" s="4">
        <v>67551582558</v>
      </c>
      <c r="F26" t="e">
        <f t="shared" si="0"/>
        <v>#VALUE!</v>
      </c>
    </row>
    <row r="27" spans="1:6" x14ac:dyDescent="0.2">
      <c r="A27" s="6" t="str" cm="1">
        <f t="array" ref="A27">[1]!J_GregorianDate(B27)</f>
        <v>24/07/20</v>
      </c>
      <c r="B27" s="1" t="s">
        <v>44</v>
      </c>
      <c r="C27" s="1" t="s">
        <v>45</v>
      </c>
      <c r="D27" s="1" t="s">
        <v>132</v>
      </c>
      <c r="E27" s="4">
        <v>1200917023</v>
      </c>
      <c r="F27" t="e">
        <f t="shared" si="0"/>
        <v>#VALUE!</v>
      </c>
    </row>
    <row r="28" spans="1:6" x14ac:dyDescent="0.2">
      <c r="A28" s="6" t="str" cm="1">
        <f t="array" ref="A28">[1]!J_GregorianDate(B28)</f>
        <v>24/07/21</v>
      </c>
      <c r="B28" s="1" t="s">
        <v>46</v>
      </c>
      <c r="C28" s="1" t="s">
        <v>47</v>
      </c>
      <c r="D28" s="1" t="s">
        <v>132</v>
      </c>
      <c r="E28" s="4">
        <v>1200917023</v>
      </c>
      <c r="F28" t="e">
        <f t="shared" si="0"/>
        <v>#VALUE!</v>
      </c>
    </row>
    <row r="29" spans="1:6" x14ac:dyDescent="0.2">
      <c r="A29" s="6" t="str" cm="1">
        <f t="array" ref="A29">[1]!J_GregorianDate(B29)</f>
        <v>24/07/23</v>
      </c>
      <c r="B29" s="1" t="s">
        <v>48</v>
      </c>
      <c r="C29" s="1" t="s">
        <v>49</v>
      </c>
      <c r="D29" s="1" t="s">
        <v>132</v>
      </c>
      <c r="E29" s="4">
        <v>1200917023</v>
      </c>
      <c r="F29" t="e">
        <f t="shared" si="0"/>
        <v>#VALUE!</v>
      </c>
    </row>
    <row r="30" spans="1:6" x14ac:dyDescent="0.2">
      <c r="A30" s="6" t="str" cm="1">
        <f t="array" ref="A30">[1]!J_GregorianDate(B30)</f>
        <v>24/07/24</v>
      </c>
      <c r="B30" s="1" t="s">
        <v>50</v>
      </c>
      <c r="C30" s="1" t="s">
        <v>51</v>
      </c>
      <c r="D30" s="1" t="s">
        <v>132</v>
      </c>
      <c r="E30" s="4">
        <v>18281419740</v>
      </c>
      <c r="F30" t="e">
        <f t="shared" si="0"/>
        <v>#VALUE!</v>
      </c>
    </row>
    <row r="31" spans="1:6" x14ac:dyDescent="0.2">
      <c r="A31" s="6" t="str" cm="1">
        <f t="array" ref="A31">[1]!J_GregorianDate(B31)</f>
        <v>24/08/14</v>
      </c>
      <c r="B31" s="1" t="s">
        <v>52</v>
      </c>
      <c r="C31" s="5" t="s">
        <v>53</v>
      </c>
      <c r="D31" s="1" t="s">
        <v>129</v>
      </c>
      <c r="E31" s="4">
        <f>-699776250000</f>
        <v>-699776250000</v>
      </c>
      <c r="F31" t="e">
        <f t="shared" si="0"/>
        <v>#VALUE!</v>
      </c>
    </row>
    <row r="32" spans="1:6" x14ac:dyDescent="0.2">
      <c r="A32" s="6" t="str" cm="1">
        <f t="array" ref="A32">[1]!J_GregorianDate(B32)</f>
        <v>24/08/14</v>
      </c>
      <c r="B32" s="1" t="s">
        <v>52</v>
      </c>
      <c r="C32" s="1" t="s">
        <v>54</v>
      </c>
      <c r="D32" s="1" t="s">
        <v>122</v>
      </c>
      <c r="E32" s="4">
        <f>-499718060000</f>
        <v>-499718060000</v>
      </c>
      <c r="F32" t="e">
        <f t="shared" si="0"/>
        <v>#VALUE!</v>
      </c>
    </row>
    <row r="33" spans="1:6" x14ac:dyDescent="0.2">
      <c r="A33" s="6" t="str" cm="1">
        <f t="array" ref="A33">[1]!J_GregorianDate(B33)</f>
        <v>24/08/14</v>
      </c>
      <c r="B33" s="1" t="s">
        <v>52</v>
      </c>
      <c r="C33" s="1" t="s">
        <v>55</v>
      </c>
      <c r="D33" s="1" t="s">
        <v>118</v>
      </c>
      <c r="E33" s="4">
        <f>-999881820000</f>
        <v>-999881820000</v>
      </c>
      <c r="F33" t="e">
        <f t="shared" si="0"/>
        <v>#VALUE!</v>
      </c>
    </row>
    <row r="34" spans="1:6" x14ac:dyDescent="0.2">
      <c r="A34" s="6" t="str" cm="1">
        <f t="array" ref="A34">[1]!J_GregorianDate(B34)</f>
        <v>24/08/14</v>
      </c>
      <c r="B34" s="1" t="s">
        <v>52</v>
      </c>
      <c r="C34" s="1" t="s">
        <v>56</v>
      </c>
      <c r="D34" s="1" t="s">
        <v>117</v>
      </c>
      <c r="E34" s="4">
        <f>-999815040000</f>
        <v>-999815040000</v>
      </c>
      <c r="F34" t="e">
        <f t="shared" si="0"/>
        <v>#VALUE!</v>
      </c>
    </row>
    <row r="35" spans="1:6" x14ac:dyDescent="0.2">
      <c r="A35" s="6" t="str" cm="1">
        <f t="array" ref="A35">[1]!J_GregorianDate(B35)</f>
        <v>24/08/14</v>
      </c>
      <c r="B35" s="1" t="s">
        <v>52</v>
      </c>
      <c r="C35" s="1" t="s">
        <v>57</v>
      </c>
      <c r="D35" s="1" t="s">
        <v>120</v>
      </c>
      <c r="E35" s="4">
        <f>-499900800000</f>
        <v>-499900800000</v>
      </c>
      <c r="F35" t="e">
        <f t="shared" si="0"/>
        <v>#VALUE!</v>
      </c>
    </row>
    <row r="36" spans="1:6" x14ac:dyDescent="0.2">
      <c r="A36" s="6" t="str" cm="1">
        <f t="array" ref="A36">[1]!J_GregorianDate(B36)</f>
        <v>24/08/14</v>
      </c>
      <c r="B36" s="1" t="s">
        <v>52</v>
      </c>
      <c r="C36" s="1" t="s">
        <v>58</v>
      </c>
      <c r="D36" s="1" t="s">
        <v>128</v>
      </c>
      <c r="E36" s="4">
        <f>-299801160000</f>
        <v>-299801160000</v>
      </c>
      <c r="F36" t="e">
        <f t="shared" si="0"/>
        <v>#VALUE!</v>
      </c>
    </row>
    <row r="37" spans="1:6" x14ac:dyDescent="0.2">
      <c r="A37" s="6" t="str" cm="1">
        <f t="array" ref="A37">[1]!J_GregorianDate(B37)</f>
        <v>24/08/14</v>
      </c>
      <c r="B37" s="1" t="s">
        <v>52</v>
      </c>
      <c r="C37" s="5" t="s">
        <v>59</v>
      </c>
      <c r="D37" s="1" t="s">
        <v>124</v>
      </c>
      <c r="E37" s="4">
        <f>-499932500000</f>
        <v>-499932500000</v>
      </c>
      <c r="F37" t="e">
        <f t="shared" si="0"/>
        <v>#VALUE!</v>
      </c>
    </row>
    <row r="38" spans="1:6" x14ac:dyDescent="0.2">
      <c r="A38" s="6" t="str" cm="1">
        <f t="array" ref="A38">[1]!J_GregorianDate(B38)</f>
        <v>24/08/14</v>
      </c>
      <c r="B38" s="1" t="s">
        <v>52</v>
      </c>
      <c r="C38" s="5" t="s">
        <v>60</v>
      </c>
      <c r="D38" s="1" t="s">
        <v>124</v>
      </c>
      <c r="E38" s="4">
        <f>-610850000</f>
        <v>-610850000</v>
      </c>
      <c r="F38" t="e">
        <f t="shared" si="0"/>
        <v>#VALUE!</v>
      </c>
    </row>
    <row r="39" spans="1:6" x14ac:dyDescent="0.2">
      <c r="A39" s="6" t="str" cm="1">
        <f t="array" ref="A39">[1]!J_GregorianDate(B39)</f>
        <v>24/08/20</v>
      </c>
      <c r="B39" s="1" t="s">
        <v>61</v>
      </c>
      <c r="C39" s="1" t="s">
        <v>62</v>
      </c>
      <c r="D39" s="1" t="s">
        <v>130</v>
      </c>
      <c r="E39" s="4">
        <v>358125000000</v>
      </c>
      <c r="F39" t="e">
        <f t="shared" si="0"/>
        <v>#VALUE!</v>
      </c>
    </row>
    <row r="40" spans="1:6" x14ac:dyDescent="0.2">
      <c r="A40" s="6" t="str" cm="1">
        <f t="array" ref="A40">[1]!J_GregorianDate(B40)</f>
        <v>24/08/20</v>
      </c>
      <c r="B40" s="1" t="s">
        <v>61</v>
      </c>
      <c r="C40" s="1" t="s">
        <v>63</v>
      </c>
      <c r="D40" s="1" t="s">
        <v>122</v>
      </c>
      <c r="E40" s="4">
        <v>271463291925</v>
      </c>
      <c r="F40" t="e">
        <f t="shared" si="0"/>
        <v>#VALUE!</v>
      </c>
    </row>
    <row r="41" spans="1:6" x14ac:dyDescent="0.2">
      <c r="A41" s="6" t="str" cm="1">
        <f t="array" ref="A41">[1]!J_GregorianDate(B41)</f>
        <v>24/08/20</v>
      </c>
      <c r="B41" s="1" t="s">
        <v>61</v>
      </c>
      <c r="C41" s="1" t="s">
        <v>64</v>
      </c>
      <c r="D41" s="1" t="s">
        <v>125</v>
      </c>
      <c r="E41" s="4">
        <v>799919990708</v>
      </c>
      <c r="F41" t="e">
        <f t="shared" si="0"/>
        <v>#VALUE!</v>
      </c>
    </row>
    <row r="42" spans="1:6" x14ac:dyDescent="0.2">
      <c r="A42" s="6" t="str" cm="1">
        <f t="array" ref="A42">[1]!J_GregorianDate(B42)</f>
        <v>24/08/20</v>
      </c>
      <c r="B42" s="1" t="s">
        <v>61</v>
      </c>
      <c r="C42" s="1" t="s">
        <v>65</v>
      </c>
      <c r="D42" s="1" t="s">
        <v>117</v>
      </c>
      <c r="E42" s="4">
        <v>703462159577</v>
      </c>
      <c r="F42" t="e">
        <f t="shared" si="0"/>
        <v>#VALUE!</v>
      </c>
    </row>
    <row r="43" spans="1:6" x14ac:dyDescent="0.2">
      <c r="A43" s="6" t="str" cm="1">
        <f t="array" ref="A43">[1]!J_GregorianDate(B43)</f>
        <v>24/08/20</v>
      </c>
      <c r="B43" s="1" t="s">
        <v>61</v>
      </c>
      <c r="C43" s="5" t="s">
        <v>66</v>
      </c>
      <c r="D43" s="1" t="s">
        <v>128</v>
      </c>
      <c r="E43" s="4">
        <v>499101660000</v>
      </c>
      <c r="F43" t="e">
        <f t="shared" si="0"/>
        <v>#VALUE!</v>
      </c>
    </row>
    <row r="44" spans="1:6" x14ac:dyDescent="0.2">
      <c r="A44" s="6" t="str" cm="1">
        <f t="array" ref="A44">[1]!J_GregorianDate(B44)</f>
        <v>24/08/31</v>
      </c>
      <c r="B44" s="1" t="s">
        <v>67</v>
      </c>
      <c r="C44" s="1" t="s">
        <v>68</v>
      </c>
      <c r="D44" s="1" t="s">
        <v>117</v>
      </c>
      <c r="E44" s="4">
        <v>586218466314</v>
      </c>
      <c r="F44" t="e">
        <f t="shared" si="0"/>
        <v>#VALUE!</v>
      </c>
    </row>
    <row r="45" spans="1:6" x14ac:dyDescent="0.2">
      <c r="A45" s="6" t="str" cm="1">
        <f t="array" ref="A45">[1]!J_GregorianDate(B45)</f>
        <v>24/09/09</v>
      </c>
      <c r="B45" s="1" t="s">
        <v>69</v>
      </c>
      <c r="C45" s="1" t="s">
        <v>70</v>
      </c>
      <c r="D45" s="1" t="s">
        <v>118</v>
      </c>
      <c r="E45" s="4">
        <f>-650000000000</f>
        <v>-650000000000</v>
      </c>
      <c r="F45" t="e">
        <f t="shared" si="0"/>
        <v>#VALUE!</v>
      </c>
    </row>
    <row r="46" spans="1:6" x14ac:dyDescent="0.2">
      <c r="A46" s="6" t="str" cm="1">
        <f t="array" ref="A46">[1]!J_GregorianDate(B46)</f>
        <v>24/09/09</v>
      </c>
      <c r="B46" s="1" t="s">
        <v>69</v>
      </c>
      <c r="C46" s="1" t="s">
        <v>71</v>
      </c>
      <c r="D46" s="1" t="s">
        <v>120</v>
      </c>
      <c r="E46" s="4">
        <f>-201029406210</f>
        <v>-201029406210</v>
      </c>
      <c r="F46" t="e">
        <f t="shared" si="0"/>
        <v>#VALUE!</v>
      </c>
    </row>
    <row r="47" spans="1:6" x14ac:dyDescent="0.2">
      <c r="A47" s="6" t="str" cm="1">
        <f t="array" ref="A47">[1]!J_GregorianDate(B47)</f>
        <v>24/09/09</v>
      </c>
      <c r="B47" s="1" t="s">
        <v>69</v>
      </c>
      <c r="C47" s="1" t="s">
        <v>72</v>
      </c>
      <c r="D47" s="5" t="s">
        <v>126</v>
      </c>
      <c r="E47" s="4">
        <f>-1648801350000</f>
        <v>-1648801350000</v>
      </c>
      <c r="F47" t="e">
        <f t="shared" si="0"/>
        <v>#VALUE!</v>
      </c>
    </row>
    <row r="48" spans="1:6" x14ac:dyDescent="0.2">
      <c r="A48" s="6" t="str" cm="1">
        <f t="array" ref="A48">[1]!J_GregorianDate(B48)</f>
        <v>24/09/11</v>
      </c>
      <c r="B48" s="1" t="s">
        <v>73</v>
      </c>
      <c r="C48" s="5" t="s">
        <v>74</v>
      </c>
      <c r="D48" s="1" t="s">
        <v>123</v>
      </c>
      <c r="E48" s="4">
        <f>-200100000000</f>
        <v>-200100000000</v>
      </c>
      <c r="F48" t="e">
        <f t="shared" si="0"/>
        <v>#VALUE!</v>
      </c>
    </row>
    <row r="49" spans="1:6" x14ac:dyDescent="0.2">
      <c r="A49" s="6" t="str" cm="1">
        <f t="array" ref="A49">[1]!J_GregorianDate(B49)</f>
        <v>24/09/11</v>
      </c>
      <c r="B49" s="1" t="s">
        <v>73</v>
      </c>
      <c r="C49" s="1" t="s">
        <v>75</v>
      </c>
      <c r="D49" s="1" t="s">
        <v>124</v>
      </c>
      <c r="E49" s="4">
        <f>-299702945000</f>
        <v>-299702945000</v>
      </c>
      <c r="F49" t="e">
        <f t="shared" si="0"/>
        <v>#VALUE!</v>
      </c>
    </row>
    <row r="50" spans="1:6" x14ac:dyDescent="0.2">
      <c r="A50" s="6" t="str" cm="1">
        <f t="array" ref="A50">[1]!J_GregorianDate(B50)</f>
        <v>24/09/22</v>
      </c>
      <c r="B50" s="1" t="s">
        <v>76</v>
      </c>
      <c r="C50" s="1" t="s">
        <v>77</v>
      </c>
      <c r="D50" s="1" t="s">
        <v>123</v>
      </c>
      <c r="E50" s="4">
        <f>-1797318900000</f>
        <v>-1797318900000</v>
      </c>
      <c r="F50" t="e">
        <f t="shared" si="0"/>
        <v>#VALUE!</v>
      </c>
    </row>
    <row r="51" spans="1:6" x14ac:dyDescent="0.2">
      <c r="A51" s="6" t="str" cm="1">
        <f t="array" ref="A51">[1]!J_GregorianDate(B51)</f>
        <v>24/09/22</v>
      </c>
      <c r="B51" s="1" t="s">
        <v>76</v>
      </c>
      <c r="C51" s="1" t="s">
        <v>78</v>
      </c>
      <c r="D51" s="1" t="s">
        <v>118</v>
      </c>
      <c r="E51" s="4">
        <f>-502055290000</f>
        <v>-502055290000</v>
      </c>
      <c r="F51" t="e">
        <f t="shared" si="0"/>
        <v>#VALUE!</v>
      </c>
    </row>
    <row r="52" spans="1:6" x14ac:dyDescent="0.2">
      <c r="A52" s="6" t="str" cm="1">
        <f t="array" ref="A52">[1]!J_GregorianDate(B52)</f>
        <v>24/09/22</v>
      </c>
      <c r="B52" s="1" t="s">
        <v>76</v>
      </c>
      <c r="C52" s="5" t="s">
        <v>79</v>
      </c>
      <c r="D52" s="1" t="s">
        <v>131</v>
      </c>
      <c r="E52" s="4">
        <f>-499509500000</f>
        <v>-499509500000</v>
      </c>
      <c r="F52" t="e">
        <f t="shared" si="0"/>
        <v>#VALUE!</v>
      </c>
    </row>
    <row r="53" spans="1:6" x14ac:dyDescent="0.2">
      <c r="A53" s="6" t="str" cm="1">
        <f t="array" ref="A53">[1]!J_GregorianDate(B53)</f>
        <v>24/09/22</v>
      </c>
      <c r="B53" s="1" t="s">
        <v>76</v>
      </c>
      <c r="C53" s="1" t="s">
        <v>80</v>
      </c>
      <c r="D53" s="1" t="s">
        <v>120</v>
      </c>
      <c r="E53" s="4">
        <f>-499797400000</f>
        <v>-499797400000</v>
      </c>
      <c r="F53" t="e">
        <f t="shared" si="0"/>
        <v>#VALUE!</v>
      </c>
    </row>
    <row r="54" spans="1:6" x14ac:dyDescent="0.2">
      <c r="A54" s="6" t="str" cm="1">
        <f t="array" ref="A54">[1]!J_GregorianDate(B54)</f>
        <v>24/09/22</v>
      </c>
      <c r="B54" s="1" t="s">
        <v>76</v>
      </c>
      <c r="C54" s="1" t="s">
        <v>81</v>
      </c>
      <c r="D54" s="1" t="s">
        <v>124</v>
      </c>
      <c r="E54" s="4">
        <f>-200363900000</f>
        <v>-200363900000</v>
      </c>
      <c r="F54" t="e">
        <f t="shared" si="0"/>
        <v>#VALUE!</v>
      </c>
    </row>
    <row r="55" spans="1:6" x14ac:dyDescent="0.2">
      <c r="A55" s="6" t="str" cm="1">
        <f t="array" ref="A55">[1]!J_GregorianDate(B55)</f>
        <v>24/09/23</v>
      </c>
      <c r="B55" s="1" t="s">
        <v>82</v>
      </c>
      <c r="C55" s="1" t="s">
        <v>83</v>
      </c>
      <c r="D55" s="1" t="s">
        <v>123</v>
      </c>
      <c r="E55" s="4">
        <f>-499989636000</f>
        <v>-499989636000</v>
      </c>
      <c r="F55" t="e">
        <f t="shared" si="0"/>
        <v>#VALUE!</v>
      </c>
    </row>
    <row r="56" spans="1:6" x14ac:dyDescent="0.2">
      <c r="A56" s="6" t="str" cm="1">
        <f t="array" ref="A56">[1]!J_GregorianDate(B56)</f>
        <v>24/09/23</v>
      </c>
      <c r="B56" s="1" t="s">
        <v>82</v>
      </c>
      <c r="C56" s="5" t="s">
        <v>84</v>
      </c>
      <c r="D56" s="1" t="s">
        <v>127</v>
      </c>
      <c r="E56" s="4">
        <f>-1499992450000</f>
        <v>-1499992450000</v>
      </c>
      <c r="F56" t="e">
        <f t="shared" si="0"/>
        <v>#VALUE!</v>
      </c>
    </row>
    <row r="57" spans="1:6" x14ac:dyDescent="0.2">
      <c r="A57" s="6" t="str" cm="1">
        <f t="array" ref="A57">[1]!J_GregorianDate(B57)</f>
        <v>24/10/01</v>
      </c>
      <c r="B57" s="1" t="s">
        <v>85</v>
      </c>
      <c r="C57" s="1" t="s">
        <v>86</v>
      </c>
      <c r="D57" s="1" t="s">
        <v>123</v>
      </c>
      <c r="E57" s="4">
        <f>-1499746400000</f>
        <v>-1499746400000</v>
      </c>
      <c r="F57" t="e">
        <f t="shared" si="0"/>
        <v>#VALUE!</v>
      </c>
    </row>
    <row r="58" spans="1:6" x14ac:dyDescent="0.2">
      <c r="A58" s="6" t="str" cm="1">
        <f t="array" ref="A58">[1]!J_GregorianDate(B58)</f>
        <v>24/10/01</v>
      </c>
      <c r="B58" s="1" t="s">
        <v>85</v>
      </c>
      <c r="C58" s="1" t="s">
        <v>87</v>
      </c>
      <c r="D58" s="1" t="s">
        <v>120</v>
      </c>
      <c r="E58" s="4">
        <f>-999825080000</f>
        <v>-999825080000</v>
      </c>
      <c r="F58" t="e">
        <f t="shared" si="0"/>
        <v>#VALUE!</v>
      </c>
    </row>
    <row r="59" spans="1:6" x14ac:dyDescent="0.2">
      <c r="A59" s="6" t="str" cm="1">
        <f t="array" ref="A59">[1]!J_GregorianDate(B59)</f>
        <v>24/10/07</v>
      </c>
      <c r="B59" s="1" t="s">
        <v>88</v>
      </c>
      <c r="C59" s="1" t="s">
        <v>89</v>
      </c>
      <c r="D59" s="1" t="s">
        <v>120</v>
      </c>
      <c r="E59" s="4">
        <f>-999898305000</f>
        <v>-999898305000</v>
      </c>
      <c r="F59" t="e">
        <f t="shared" si="0"/>
        <v>#VALUE!</v>
      </c>
    </row>
    <row r="60" spans="1:6" x14ac:dyDescent="0.2">
      <c r="A60" s="6" t="str" cm="1">
        <f t="array" ref="A60">[1]!J_GregorianDate(B60)</f>
        <v>24/10/07</v>
      </c>
      <c r="B60" s="1" t="s">
        <v>88</v>
      </c>
      <c r="C60" s="1" t="s">
        <v>90</v>
      </c>
      <c r="D60" s="1" t="s">
        <v>127</v>
      </c>
      <c r="E60" s="4">
        <f>-999715500000</f>
        <v>-999715500000</v>
      </c>
      <c r="F60" t="e">
        <f t="shared" si="0"/>
        <v>#VALUE!</v>
      </c>
    </row>
    <row r="61" spans="1:6" x14ac:dyDescent="0.2">
      <c r="A61" s="6" t="str" cm="1">
        <f t="array" ref="A61">[1]!J_GregorianDate(B61)</f>
        <v>24/10/15</v>
      </c>
      <c r="B61" s="1" t="s">
        <v>91</v>
      </c>
      <c r="C61" s="5" t="s">
        <v>92</v>
      </c>
      <c r="D61" s="1" t="s">
        <v>130</v>
      </c>
      <c r="E61" s="4">
        <v>341651250000</v>
      </c>
      <c r="F61" t="e">
        <f t="shared" si="0"/>
        <v>#VALUE!</v>
      </c>
    </row>
    <row r="62" spans="1:6" x14ac:dyDescent="0.2">
      <c r="A62" s="6" t="str" cm="1">
        <f t="array" ref="A62">[1]!J_GregorianDate(B62)</f>
        <v>24/10/15</v>
      </c>
      <c r="B62" s="1" t="s">
        <v>91</v>
      </c>
      <c r="C62" s="1" t="s">
        <v>93</v>
      </c>
      <c r="D62" s="1" t="s">
        <v>122</v>
      </c>
      <c r="E62" s="4">
        <v>1214526768075</v>
      </c>
      <c r="F62" t="e">
        <f t="shared" si="0"/>
        <v>#VALUE!</v>
      </c>
    </row>
    <row r="63" spans="1:6" x14ac:dyDescent="0.2">
      <c r="A63" s="6" t="str" cm="1">
        <f t="array" ref="A63">[1]!J_GregorianDate(B63)</f>
        <v>24/10/15</v>
      </c>
      <c r="B63" s="1" t="s">
        <v>91</v>
      </c>
      <c r="C63" s="1" t="s">
        <v>94</v>
      </c>
      <c r="D63" s="1" t="s">
        <v>118</v>
      </c>
      <c r="E63" s="4">
        <v>483945790195</v>
      </c>
      <c r="F63" t="e">
        <f t="shared" si="0"/>
        <v>#VALUE!</v>
      </c>
    </row>
    <row r="64" spans="1:6" x14ac:dyDescent="0.2">
      <c r="A64" s="6" t="str" cm="1">
        <f t="array" ref="A64">[1]!J_GregorianDate(B64)</f>
        <v>24/10/15</v>
      </c>
      <c r="B64" s="1" t="s">
        <v>91</v>
      </c>
      <c r="C64" s="1" t="s">
        <v>95</v>
      </c>
      <c r="D64" s="1" t="s">
        <v>117</v>
      </c>
      <c r="E64" s="4">
        <v>409962114109</v>
      </c>
      <c r="F64" t="e">
        <f t="shared" si="0"/>
        <v>#VALUE!</v>
      </c>
    </row>
    <row r="65" spans="1:6" x14ac:dyDescent="0.2">
      <c r="A65" s="6" t="str" cm="1">
        <f t="array" ref="A65">[1]!J_GregorianDate(B65)</f>
        <v>24/10/15</v>
      </c>
      <c r="B65" s="1" t="s">
        <v>91</v>
      </c>
      <c r="C65" s="1" t="s">
        <v>96</v>
      </c>
      <c r="D65" s="1" t="s">
        <v>131</v>
      </c>
      <c r="E65" s="4">
        <v>499509500000</v>
      </c>
      <c r="F65" t="e">
        <f t="shared" si="0"/>
        <v>#VALUE!</v>
      </c>
    </row>
    <row r="66" spans="1:6" x14ac:dyDescent="0.2">
      <c r="A66" s="6" t="str" cm="1">
        <f t="array" ref="A66">[1]!J_GregorianDate(B66)</f>
        <v>24/10/15</v>
      </c>
      <c r="B66" s="1" t="s">
        <v>91</v>
      </c>
      <c r="C66" s="1" t="s">
        <v>97</v>
      </c>
      <c r="D66" s="1" t="s">
        <v>120</v>
      </c>
      <c r="E66" s="4">
        <v>1031752930703</v>
      </c>
      <c r="F66" t="e">
        <f t="shared" si="0"/>
        <v>#VALUE!</v>
      </c>
    </row>
    <row r="67" spans="1:6" x14ac:dyDescent="0.2">
      <c r="A67" s="6" t="str" cm="1">
        <f t="array" ref="A67">[1]!J_GregorianDate(B67)</f>
        <v>24/10/15</v>
      </c>
      <c r="B67" s="1" t="s">
        <v>91</v>
      </c>
      <c r="C67" s="1" t="s">
        <v>98</v>
      </c>
      <c r="D67" s="1" t="s">
        <v>124</v>
      </c>
      <c r="E67" s="4">
        <f>-4180288000000</f>
        <v>-4180288000000</v>
      </c>
      <c r="F67" t="e">
        <f t="shared" ref="F67:F82" si="1">XIRR(E67:E147,A67:A147)</f>
        <v>#VALUE!</v>
      </c>
    </row>
    <row r="68" spans="1:6" x14ac:dyDescent="0.2">
      <c r="A68" s="6" t="str" cm="1">
        <f t="array" ref="A68">[1]!J_GregorianDate(B68)</f>
        <v>24/10/20</v>
      </c>
      <c r="B68" s="1" t="s">
        <v>99</v>
      </c>
      <c r="C68" s="1" t="s">
        <v>100</v>
      </c>
      <c r="D68" s="1" t="s">
        <v>123</v>
      </c>
      <c r="E68" s="4">
        <v>1794466969405</v>
      </c>
      <c r="F68" t="e">
        <f t="shared" si="1"/>
        <v>#VALUE!</v>
      </c>
    </row>
    <row r="69" spans="1:6" x14ac:dyDescent="0.2">
      <c r="A69" s="6" t="str" cm="1">
        <f t="array" ref="A69">[1]!J_GregorianDate(B69)</f>
        <v>24/10/20</v>
      </c>
      <c r="B69" s="1" t="s">
        <v>99</v>
      </c>
      <c r="C69" s="1" t="s">
        <v>101</v>
      </c>
      <c r="D69" s="1" t="s">
        <v>118</v>
      </c>
      <c r="E69" s="4">
        <v>2274545213915</v>
      </c>
      <c r="F69" t="e">
        <f t="shared" si="1"/>
        <v>#VALUE!</v>
      </c>
    </row>
    <row r="70" spans="1:6" x14ac:dyDescent="0.2">
      <c r="A70" s="6" t="str" cm="1">
        <f t="array" ref="A70">[1]!J_GregorianDate(B70)</f>
        <v>24/10/20</v>
      </c>
      <c r="B70" s="1" t="s">
        <v>99</v>
      </c>
      <c r="C70" s="1" t="s">
        <v>102</v>
      </c>
      <c r="D70" s="1" t="s">
        <v>120</v>
      </c>
      <c r="E70" s="4">
        <v>859794108919</v>
      </c>
      <c r="F70" t="e">
        <f t="shared" si="1"/>
        <v>#VALUE!</v>
      </c>
    </row>
    <row r="71" spans="1:6" x14ac:dyDescent="0.2">
      <c r="A71" s="6" t="str" cm="1">
        <f t="array" ref="A71">[1]!J_GregorianDate(B71)</f>
        <v>24/10/20</v>
      </c>
      <c r="B71" s="1" t="s">
        <v>99</v>
      </c>
      <c r="C71" s="1" t="s">
        <v>103</v>
      </c>
      <c r="D71" s="1" t="s">
        <v>127</v>
      </c>
      <c r="E71" s="4">
        <v>1619163086365</v>
      </c>
      <c r="F71" t="e">
        <f t="shared" si="1"/>
        <v>#VALUE!</v>
      </c>
    </row>
    <row r="72" spans="1:6" x14ac:dyDescent="0.2">
      <c r="A72" s="6" t="str" cm="1">
        <f t="array" ref="A72">[1]!J_GregorianDate(B72)</f>
        <v>24/10/20</v>
      </c>
      <c r="B72" s="1" t="s">
        <v>99</v>
      </c>
      <c r="C72" s="1" t="s">
        <v>104</v>
      </c>
      <c r="D72" s="1" t="s">
        <v>124</v>
      </c>
      <c r="E72" s="4">
        <v>1004351732594</v>
      </c>
      <c r="F72" t="e">
        <f t="shared" si="1"/>
        <v>#VALUE!</v>
      </c>
    </row>
    <row r="73" spans="1:6" x14ac:dyDescent="0.2">
      <c r="A73" s="6" t="str" cm="1">
        <f t="array" ref="A73">[1]!J_GregorianDate(B73)</f>
        <v>24/10/20</v>
      </c>
      <c r="B73" s="1" t="s">
        <v>99</v>
      </c>
      <c r="C73" s="5" t="s">
        <v>105</v>
      </c>
      <c r="D73" s="5" t="s">
        <v>126</v>
      </c>
      <c r="E73" s="4">
        <v>906003000000</v>
      </c>
      <c r="F73" t="e">
        <f t="shared" si="1"/>
        <v>#VALUE!</v>
      </c>
    </row>
    <row r="74" spans="1:6" x14ac:dyDescent="0.2">
      <c r="A74" s="6" t="str" cm="1">
        <f t="array" ref="A74">[1]!J_GregorianDate(B74)</f>
        <v>24/11/02</v>
      </c>
      <c r="B74" s="1" t="s">
        <v>106</v>
      </c>
      <c r="C74" s="1" t="s">
        <v>107</v>
      </c>
      <c r="D74" s="1" t="s">
        <v>123</v>
      </c>
      <c r="E74" s="4">
        <v>161906794232</v>
      </c>
      <c r="F74" t="e">
        <f t="shared" si="1"/>
        <v>#VALUE!</v>
      </c>
    </row>
    <row r="75" spans="1:6" x14ac:dyDescent="0.2">
      <c r="A75" s="6" t="str" cm="1">
        <f t="array" ref="A75">[1]!J_GregorianDate(B75)</f>
        <v>24/11/02</v>
      </c>
      <c r="B75" s="1" t="s">
        <v>106</v>
      </c>
      <c r="C75" s="1" t="s">
        <v>108</v>
      </c>
      <c r="D75" s="1" t="s">
        <v>118</v>
      </c>
      <c r="E75" s="4">
        <v>232293979293</v>
      </c>
      <c r="F75" t="e">
        <f t="shared" si="1"/>
        <v>#VALUE!</v>
      </c>
    </row>
    <row r="76" spans="1:6" x14ac:dyDescent="0.2">
      <c r="A76" s="6" t="str" cm="1">
        <f t="array" ref="A76">[1]!J_GregorianDate(B76)</f>
        <v>24/11/02</v>
      </c>
      <c r="B76" s="1" t="s">
        <v>106</v>
      </c>
      <c r="C76" s="1" t="s">
        <v>109</v>
      </c>
      <c r="D76" s="1" t="s">
        <v>120</v>
      </c>
      <c r="E76" s="4">
        <v>80820646238</v>
      </c>
      <c r="F76" t="e">
        <f t="shared" si="1"/>
        <v>#VALUE!</v>
      </c>
    </row>
    <row r="77" spans="1:6" x14ac:dyDescent="0.2">
      <c r="A77" s="6" t="str" cm="1">
        <f t="array" ref="A77">[1]!J_GregorianDate(B77)</f>
        <v>24/11/02</v>
      </c>
      <c r="B77" s="1" t="s">
        <v>106</v>
      </c>
      <c r="C77" s="1" t="s">
        <v>110</v>
      </c>
      <c r="D77" s="1" t="s">
        <v>127</v>
      </c>
      <c r="E77" s="4">
        <v>405790254978</v>
      </c>
      <c r="F77" t="e">
        <f t="shared" si="1"/>
        <v>#VALUE!</v>
      </c>
    </row>
    <row r="78" spans="1:6" x14ac:dyDescent="0.2">
      <c r="A78" s="6" t="str" cm="1">
        <f t="array" ref="A78">[1]!J_GregorianDate(B78)</f>
        <v>24/11/02</v>
      </c>
      <c r="B78" s="1" t="s">
        <v>106</v>
      </c>
      <c r="C78" s="1" t="s">
        <v>111</v>
      </c>
      <c r="D78" s="1" t="s">
        <v>124</v>
      </c>
      <c r="E78" s="4">
        <v>326414313093</v>
      </c>
      <c r="F78" t="e">
        <f t="shared" si="1"/>
        <v>#VALUE!</v>
      </c>
    </row>
    <row r="79" spans="1:6" x14ac:dyDescent="0.2">
      <c r="A79" s="6" t="str" cm="1">
        <f t="array" ref="A79">[1]!J_GregorianDate(B79)</f>
        <v>24/11/02</v>
      </c>
      <c r="B79" s="1" t="s">
        <v>106</v>
      </c>
      <c r="C79" s="1" t="s">
        <v>112</v>
      </c>
      <c r="D79" s="5" t="s">
        <v>126</v>
      </c>
      <c r="E79" s="4">
        <v>239532300000</v>
      </c>
      <c r="F79" t="e">
        <f t="shared" si="1"/>
        <v>#VALUE!</v>
      </c>
    </row>
    <row r="80" spans="1:6" x14ac:dyDescent="0.2">
      <c r="A80" s="6" t="str" cm="1">
        <f t="array" ref="A80">[1]!J_GregorianDate(B80)</f>
        <v>24/11/26</v>
      </c>
      <c r="B80" s="1" t="s">
        <v>113</v>
      </c>
      <c r="C80" s="5" t="s">
        <v>114</v>
      </c>
      <c r="D80" s="1" t="s">
        <v>122</v>
      </c>
      <c r="E80" s="4">
        <f>-699847864000</f>
        <v>-699847864000</v>
      </c>
      <c r="F80" t="e">
        <f t="shared" si="1"/>
        <v>#VALUE!</v>
      </c>
    </row>
    <row r="81" spans="1:6" x14ac:dyDescent="0.2">
      <c r="A81" s="6" t="str" cm="1">
        <f t="array" ref="A81">[1]!J_GregorianDate(B81)</f>
        <v>24/11/26</v>
      </c>
      <c r="B81" s="1" t="s">
        <v>113</v>
      </c>
      <c r="C81" s="1" t="s">
        <v>115</v>
      </c>
      <c r="D81" s="1" t="s">
        <v>118</v>
      </c>
      <c r="E81" s="4">
        <f>-799841847000</f>
        <v>-799841847000</v>
      </c>
      <c r="F81" t="e">
        <f t="shared" si="1"/>
        <v>#VALUE!</v>
      </c>
    </row>
    <row r="82" spans="1:6" x14ac:dyDescent="0.2">
      <c r="A82" s="6" t="str" cm="1">
        <f t="array" ref="A82">[1]!J_GregorianDate(B82)</f>
        <v>24/11/26</v>
      </c>
      <c r="B82" s="1" t="s">
        <v>113</v>
      </c>
      <c r="C82" s="1" t="s">
        <v>116</v>
      </c>
      <c r="D82" s="1" t="s">
        <v>123</v>
      </c>
      <c r="E82" s="4">
        <f>-499904640000</f>
        <v>-499904640000</v>
      </c>
      <c r="F82" t="e">
        <f t="shared" si="1"/>
        <v>#VALUE!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83"/>
  <sheetViews>
    <sheetView rightToLeft="1" topLeftCell="B1" workbookViewId="0">
      <selection activeCell="F21" sqref="F21"/>
    </sheetView>
  </sheetViews>
  <sheetFormatPr defaultRowHeight="12.75" x14ac:dyDescent="0.2"/>
  <cols>
    <col min="1" max="1" width="11.42578125" customWidth="1"/>
    <col min="2" max="2" width="118.7109375" customWidth="1"/>
    <col min="3" max="3" width="20.140625" style="16" customWidth="1"/>
    <col min="4" max="4" width="20.5703125" customWidth="1"/>
    <col min="5" max="5" width="19" bestFit="1" customWidth="1"/>
    <col min="8" max="8" width="22.140625" customWidth="1"/>
  </cols>
  <sheetData>
    <row r="1" spans="1:8" x14ac:dyDescent="0.2">
      <c r="A1" s="3" t="s">
        <v>0</v>
      </c>
      <c r="B1" s="3" t="s">
        <v>1</v>
      </c>
      <c r="C1" s="14" t="s">
        <v>2</v>
      </c>
      <c r="D1" s="3" t="s">
        <v>3</v>
      </c>
      <c r="H1" s="17" t="s">
        <v>186</v>
      </c>
    </row>
    <row r="2" spans="1:8" hidden="1" x14ac:dyDescent="0.2">
      <c r="A2" s="1" t="s">
        <v>5</v>
      </c>
      <c r="B2" s="1" t="s">
        <v>6</v>
      </c>
      <c r="C2" s="15">
        <f>-182610000000</f>
        <v>-182610000000</v>
      </c>
      <c r="D2" s="2">
        <v>0</v>
      </c>
    </row>
    <row r="3" spans="1:8" hidden="1" x14ac:dyDescent="0.2">
      <c r="A3" s="1" t="s">
        <v>7</v>
      </c>
      <c r="B3" s="1" t="s">
        <v>8</v>
      </c>
      <c r="C3" s="15">
        <f>-316896380000</f>
        <v>-316896380000</v>
      </c>
      <c r="D3" s="2">
        <v>0</v>
      </c>
    </row>
    <row r="4" spans="1:8" hidden="1" x14ac:dyDescent="0.2">
      <c r="A4" s="1" t="s">
        <v>7</v>
      </c>
      <c r="B4" s="1" t="s">
        <v>9</v>
      </c>
      <c r="C4" s="15">
        <f>-499789440000</f>
        <v>-499789440000</v>
      </c>
      <c r="D4" s="2">
        <v>0</v>
      </c>
    </row>
    <row r="5" spans="1:8" hidden="1" x14ac:dyDescent="0.2">
      <c r="A5" s="1" t="s">
        <v>10</v>
      </c>
      <c r="B5" s="1" t="s">
        <v>11</v>
      </c>
      <c r="C5" s="15">
        <f>-194454000000</f>
        <v>-194454000000</v>
      </c>
      <c r="D5" s="2">
        <v>0</v>
      </c>
    </row>
    <row r="6" spans="1:8" hidden="1" x14ac:dyDescent="0.2">
      <c r="A6" s="1" t="s">
        <v>12</v>
      </c>
      <c r="B6" s="1" t="s">
        <v>13</v>
      </c>
      <c r="C6" s="15">
        <f>-305853000000</f>
        <v>-305853000000</v>
      </c>
      <c r="D6" s="2">
        <v>0</v>
      </c>
    </row>
    <row r="7" spans="1:8" hidden="1" x14ac:dyDescent="0.2">
      <c r="A7" s="1" t="s">
        <v>14</v>
      </c>
      <c r="B7" s="1" t="s">
        <v>15</v>
      </c>
      <c r="C7" s="15">
        <f>-499689400000</f>
        <v>-499689400000</v>
      </c>
      <c r="D7" s="2">
        <v>0</v>
      </c>
    </row>
    <row r="8" spans="1:8" hidden="1" x14ac:dyDescent="0.2">
      <c r="A8" s="1" t="s">
        <v>14</v>
      </c>
      <c r="B8" s="1" t="s">
        <v>16</v>
      </c>
      <c r="C8" s="15">
        <f>-499812650000</f>
        <v>-499812650000</v>
      </c>
      <c r="D8" s="2">
        <v>0</v>
      </c>
    </row>
    <row r="9" spans="1:8" x14ac:dyDescent="0.2">
      <c r="A9" s="1" t="s">
        <v>17</v>
      </c>
      <c r="B9" s="1" t="s">
        <v>18</v>
      </c>
      <c r="C9" s="15">
        <v>499689400000</v>
      </c>
      <c r="D9" s="2">
        <v>499689400000</v>
      </c>
      <c r="E9" t="str">
        <f>MID(B9,16,11)</f>
        <v xml:space="preserve"> 24.100.000</v>
      </c>
      <c r="F9">
        <f>9+FIND("نرخ متوسط",B9)</f>
        <v>103</v>
      </c>
      <c r="G9" t="str">
        <f>MID(B9,F9,7)</f>
        <v xml:space="preserve"> 20.826</v>
      </c>
    </row>
    <row r="10" spans="1:8" x14ac:dyDescent="0.2">
      <c r="A10" s="1" t="s">
        <v>17</v>
      </c>
      <c r="B10" s="1" t="s">
        <v>19</v>
      </c>
      <c r="C10" s="15">
        <v>499812650000</v>
      </c>
      <c r="D10" s="2">
        <v>499812650000</v>
      </c>
      <c r="E10" t="str">
        <f>MID(B10,16,11)</f>
        <v xml:space="preserve"> 19.055.000</v>
      </c>
      <c r="F10">
        <f t="shared" ref="F10:F13" si="0">9+FIND("نرخ متوسط",B10)</f>
        <v>102</v>
      </c>
      <c r="G10" t="str">
        <f t="shared" ref="G10:G13" si="1">MID(B10,F10,7)</f>
        <v xml:space="preserve"> 26.347</v>
      </c>
    </row>
    <row r="11" spans="1:8" x14ac:dyDescent="0.2">
      <c r="A11" s="1" t="s">
        <v>17</v>
      </c>
      <c r="B11" s="1" t="s">
        <v>20</v>
      </c>
      <c r="C11" s="15">
        <v>305853000000</v>
      </c>
      <c r="D11" s="2">
        <v>305853000000</v>
      </c>
      <c r="E11" t="str">
        <f t="shared" ref="E11:E13" si="2">MID(B11,16,11)</f>
        <v xml:space="preserve"> 13.450.000</v>
      </c>
      <c r="F11">
        <f t="shared" si="0"/>
        <v>103</v>
      </c>
      <c r="G11" t="str">
        <f t="shared" si="1"/>
        <v xml:space="preserve"> 22.954</v>
      </c>
    </row>
    <row r="12" spans="1:8" x14ac:dyDescent="0.2">
      <c r="A12" s="1" t="s">
        <v>17</v>
      </c>
      <c r="B12" s="1" t="s">
        <v>21</v>
      </c>
      <c r="C12" s="15">
        <v>499506380000</v>
      </c>
      <c r="D12" s="2">
        <v>499506380000</v>
      </c>
      <c r="E12" t="str">
        <f t="shared" si="2"/>
        <v xml:space="preserve"> 27.330.000</v>
      </c>
      <c r="F12">
        <f t="shared" si="0"/>
        <v>97</v>
      </c>
      <c r="G12" t="str">
        <f t="shared" si="1"/>
        <v xml:space="preserve"> 18.478</v>
      </c>
    </row>
    <row r="13" spans="1:8" x14ac:dyDescent="0.2">
      <c r="A13" s="1" t="s">
        <v>17</v>
      </c>
      <c r="B13" s="1" t="s">
        <v>22</v>
      </c>
      <c r="C13" s="15">
        <v>694243440000</v>
      </c>
      <c r="D13" s="2">
        <v>694243440000</v>
      </c>
      <c r="E13" t="str">
        <f t="shared" si="2"/>
        <v xml:space="preserve"> 46.480.000</v>
      </c>
      <c r="F13">
        <f t="shared" si="0"/>
        <v>99</v>
      </c>
      <c r="G13" t="str">
        <f t="shared" si="1"/>
        <v xml:space="preserve"> 15.084</v>
      </c>
    </row>
    <row r="14" spans="1:8" hidden="1" x14ac:dyDescent="0.2">
      <c r="A14" s="1" t="s">
        <v>23</v>
      </c>
      <c r="B14" s="1" t="s">
        <v>24</v>
      </c>
      <c r="C14" s="15">
        <f>-986272000000</f>
        <v>-986272000000</v>
      </c>
      <c r="D14" s="2">
        <v>0</v>
      </c>
      <c r="F14" t="e">
        <f>MID(#REF!,31,7)</f>
        <v>#REF!</v>
      </c>
    </row>
    <row r="15" spans="1:8" hidden="1" x14ac:dyDescent="0.2">
      <c r="A15" s="1" t="s">
        <v>23</v>
      </c>
      <c r="B15" s="1" t="s">
        <v>25</v>
      </c>
      <c r="C15" s="15">
        <f>-11613000000</f>
        <v>-11613000000</v>
      </c>
      <c r="D15" s="2">
        <v>0</v>
      </c>
      <c r="F15" t="e">
        <f>MID(#REF!,31,6)</f>
        <v>#REF!</v>
      </c>
    </row>
    <row r="16" spans="1:8" hidden="1" x14ac:dyDescent="0.2">
      <c r="A16" s="1" t="s">
        <v>23</v>
      </c>
      <c r="B16" s="1" t="s">
        <v>26</v>
      </c>
      <c r="C16" s="15">
        <f>-999796596000</f>
        <v>-999796596000</v>
      </c>
      <c r="D16" s="2">
        <v>0</v>
      </c>
      <c r="F16" t="e">
        <f>MID(#REF!,31,6)</f>
        <v>#REF!</v>
      </c>
    </row>
    <row r="17" spans="1:7" hidden="1" x14ac:dyDescent="0.2">
      <c r="A17" s="1" t="s">
        <v>23</v>
      </c>
      <c r="B17" s="1" t="s">
        <v>27</v>
      </c>
      <c r="C17" s="15">
        <f>-299848500000</f>
        <v>-299848500000</v>
      </c>
      <c r="D17" s="2">
        <v>0</v>
      </c>
      <c r="F17" t="e">
        <f>MID(#REF!,31,6)</f>
        <v>#REF!</v>
      </c>
    </row>
    <row r="18" spans="1:7" hidden="1" x14ac:dyDescent="0.2">
      <c r="A18" s="1" t="s">
        <v>23</v>
      </c>
      <c r="B18" s="1" t="s">
        <v>28</v>
      </c>
      <c r="C18" s="15">
        <f>-199300500000</f>
        <v>-199300500000</v>
      </c>
      <c r="D18" s="2">
        <v>0</v>
      </c>
      <c r="F18" t="e">
        <f>MID(#REF!,33,6)</f>
        <v>#REF!</v>
      </c>
    </row>
    <row r="19" spans="1:7" hidden="1" x14ac:dyDescent="0.2">
      <c r="A19" s="1" t="s">
        <v>29</v>
      </c>
      <c r="B19" s="1" t="s">
        <v>30</v>
      </c>
      <c r="C19" s="15">
        <v>-99706035780</v>
      </c>
      <c r="D19" s="2">
        <v>0</v>
      </c>
      <c r="F19" t="e">
        <f>MID(#REF!,31,6)</f>
        <v>#REF!</v>
      </c>
    </row>
    <row r="20" spans="1:7" x14ac:dyDescent="0.2">
      <c r="A20" s="1" t="s">
        <v>31</v>
      </c>
      <c r="B20" s="1" t="s">
        <v>32</v>
      </c>
      <c r="C20" s="15">
        <v>2001528372</v>
      </c>
      <c r="D20" s="2">
        <v>2001528372</v>
      </c>
      <c r="E20" t="str">
        <f t="shared" ref="E20:E23" si="3">MID(B20,17,8)</f>
        <v xml:space="preserve">200.000 </v>
      </c>
      <c r="F20">
        <f t="shared" ref="F20:F23" si="4">9+FIND("نرخ متوسط",B20)</f>
        <v>97</v>
      </c>
      <c r="G20" t="str">
        <f t="shared" ref="G20:G23" si="5">MID(B20,F20,7)</f>
        <v xml:space="preserve"> 10.158</v>
      </c>
    </row>
    <row r="21" spans="1:7" x14ac:dyDescent="0.2">
      <c r="A21" s="1" t="s">
        <v>33</v>
      </c>
      <c r="B21" s="1" t="s">
        <v>34</v>
      </c>
      <c r="C21" s="15">
        <v>2273826299</v>
      </c>
      <c r="D21" s="2">
        <v>2273826299</v>
      </c>
      <c r="E21" t="str">
        <f t="shared" si="3"/>
        <v xml:space="preserve">227.209 </v>
      </c>
      <c r="F21">
        <f t="shared" si="4"/>
        <v>97</v>
      </c>
      <c r="G21" t="str">
        <f t="shared" si="5"/>
        <v xml:space="preserve"> 10.009</v>
      </c>
    </row>
    <row r="22" spans="1:7" x14ac:dyDescent="0.2">
      <c r="A22" s="1" t="s">
        <v>35</v>
      </c>
      <c r="B22" s="1" t="s">
        <v>36</v>
      </c>
      <c r="C22" s="15">
        <v>2992635184</v>
      </c>
      <c r="D22" s="2">
        <v>2992635184</v>
      </c>
      <c r="E22" t="str">
        <f>MID(B22,17,7)</f>
        <v>299.035</v>
      </c>
      <c r="F22">
        <f t="shared" si="4"/>
        <v>96</v>
      </c>
      <c r="G22" t="str">
        <f t="shared" si="5"/>
        <v xml:space="preserve"> 10.006</v>
      </c>
    </row>
    <row r="23" spans="1:7" x14ac:dyDescent="0.2">
      <c r="A23" s="1" t="s">
        <v>37</v>
      </c>
      <c r="B23" s="1" t="s">
        <v>38</v>
      </c>
      <c r="C23" s="15">
        <v>3002292558</v>
      </c>
      <c r="D23" s="2">
        <v>3002292558</v>
      </c>
      <c r="E23" t="str">
        <f t="shared" si="3"/>
        <v xml:space="preserve">300.000 </v>
      </c>
      <c r="F23">
        <f t="shared" si="4"/>
        <v>97</v>
      </c>
      <c r="G23" t="str">
        <f t="shared" si="5"/>
        <v xml:space="preserve"> 10.030</v>
      </c>
    </row>
    <row r="24" spans="1:7" hidden="1" x14ac:dyDescent="0.2">
      <c r="A24" s="1" t="s">
        <v>39</v>
      </c>
      <c r="B24" s="1" t="s">
        <v>40</v>
      </c>
      <c r="C24" s="15">
        <f>-1499761350000</f>
        <v>-1499761350000</v>
      </c>
      <c r="D24" s="2">
        <v>0</v>
      </c>
      <c r="F24" t="e">
        <f>MID(#REF!,104,6)</f>
        <v>#REF!</v>
      </c>
    </row>
    <row r="25" spans="1:7" hidden="1" x14ac:dyDescent="0.2">
      <c r="A25" s="1" t="s">
        <v>39</v>
      </c>
      <c r="B25" s="1" t="s">
        <v>41</v>
      </c>
      <c r="C25" s="15">
        <f>-799919990708</f>
        <v>-799919990708</v>
      </c>
      <c r="D25" s="2">
        <v>0</v>
      </c>
      <c r="F25" t="e">
        <f>MID(#REF!,97,6)</f>
        <v>#REF!</v>
      </c>
    </row>
    <row r="26" spans="1:7" hidden="1" x14ac:dyDescent="0.2">
      <c r="A26" s="1" t="s">
        <v>39</v>
      </c>
      <c r="B26" s="1" t="s">
        <v>42</v>
      </c>
      <c r="C26" s="15">
        <f>-699827700000</f>
        <v>-699827700000</v>
      </c>
      <c r="D26" s="2">
        <v>0</v>
      </c>
      <c r="F26" t="e">
        <f>MID(#REF!,98,6)</f>
        <v>#REF!</v>
      </c>
    </row>
    <row r="27" spans="1:7" x14ac:dyDescent="0.2">
      <c r="A27" s="1" t="s">
        <v>39</v>
      </c>
      <c r="B27" s="1" t="s">
        <v>43</v>
      </c>
      <c r="C27" s="15">
        <v>67551582558</v>
      </c>
      <c r="D27" s="2">
        <v>67551582558</v>
      </c>
      <c r="E27" t="str">
        <f t="shared" ref="E27:E31" si="6">MID(B27,16,11)</f>
        <v xml:space="preserve"> 6.750.000 </v>
      </c>
      <c r="F27">
        <f t="shared" ref="F27:F31" si="7">9+FIND("نرخ متوسط",B27)</f>
        <v>99</v>
      </c>
      <c r="G27" t="str">
        <f t="shared" ref="G27:G31" si="8">MID(B27,F27,7)</f>
        <v xml:space="preserve"> 10.020</v>
      </c>
    </row>
    <row r="28" spans="1:7" x14ac:dyDescent="0.2">
      <c r="A28" s="1" t="s">
        <v>44</v>
      </c>
      <c r="B28" s="1" t="s">
        <v>45</v>
      </c>
      <c r="C28" s="15">
        <v>1200917023</v>
      </c>
      <c r="D28" s="2">
        <v>1200917023</v>
      </c>
      <c r="E28" t="str">
        <f>MID(B28,16,8)</f>
        <v xml:space="preserve"> 120.000</v>
      </c>
      <c r="F28">
        <f t="shared" si="7"/>
        <v>97</v>
      </c>
      <c r="G28" t="str">
        <f t="shared" si="8"/>
        <v xml:space="preserve"> 10.048</v>
      </c>
    </row>
    <row r="29" spans="1:7" x14ac:dyDescent="0.2">
      <c r="A29" s="1" t="s">
        <v>46</v>
      </c>
      <c r="B29" s="1" t="s">
        <v>47</v>
      </c>
      <c r="C29" s="15">
        <v>1200917023</v>
      </c>
      <c r="D29" s="2">
        <v>1200917023</v>
      </c>
      <c r="E29" t="str">
        <f t="shared" ref="E29:E30" si="9">MID(B29,16,8)</f>
        <v xml:space="preserve"> 120.000</v>
      </c>
      <c r="F29">
        <f t="shared" si="7"/>
        <v>97</v>
      </c>
      <c r="G29" t="str">
        <f t="shared" si="8"/>
        <v xml:space="preserve"> 10.058</v>
      </c>
    </row>
    <row r="30" spans="1:7" x14ac:dyDescent="0.2">
      <c r="A30" s="1" t="s">
        <v>48</v>
      </c>
      <c r="B30" s="1" t="s">
        <v>49</v>
      </c>
      <c r="C30" s="15">
        <v>1200917023</v>
      </c>
      <c r="D30" s="2">
        <v>1200917023</v>
      </c>
      <c r="E30" t="str">
        <f t="shared" si="9"/>
        <v xml:space="preserve"> 120.000</v>
      </c>
      <c r="F30">
        <f t="shared" si="7"/>
        <v>97</v>
      </c>
      <c r="G30" t="str">
        <f t="shared" si="8"/>
        <v xml:space="preserve"> 10.068</v>
      </c>
    </row>
    <row r="31" spans="1:7" x14ac:dyDescent="0.2">
      <c r="A31" s="1" t="s">
        <v>50</v>
      </c>
      <c r="B31" s="1" t="s">
        <v>51</v>
      </c>
      <c r="C31" s="15">
        <v>18281419740</v>
      </c>
      <c r="D31" s="2">
        <v>18281419740</v>
      </c>
      <c r="E31" t="str">
        <f t="shared" si="6"/>
        <v xml:space="preserve"> 1.826.746 </v>
      </c>
      <c r="F31">
        <f t="shared" si="7"/>
        <v>99</v>
      </c>
      <c r="G31" t="str">
        <f t="shared" si="8"/>
        <v xml:space="preserve"> 10.044</v>
      </c>
    </row>
    <row r="32" spans="1:7" hidden="1" x14ac:dyDescent="0.2">
      <c r="A32" s="1" t="s">
        <v>52</v>
      </c>
      <c r="B32" s="1" t="s">
        <v>53</v>
      </c>
      <c r="C32" s="15">
        <f>-699776250000</f>
        <v>-699776250000</v>
      </c>
      <c r="D32" s="2">
        <v>0</v>
      </c>
      <c r="F32" t="e">
        <f>MID(#REF!,98,6)</f>
        <v>#REF!</v>
      </c>
    </row>
    <row r="33" spans="1:7" hidden="1" x14ac:dyDescent="0.2">
      <c r="A33" s="1" t="s">
        <v>52</v>
      </c>
      <c r="B33" s="1" t="s">
        <v>54</v>
      </c>
      <c r="C33" s="15">
        <f>-499718060000</f>
        <v>-499718060000</v>
      </c>
      <c r="D33" s="2">
        <v>0</v>
      </c>
      <c r="F33" t="e">
        <f>MID(#REF!,100,6)</f>
        <v>#REF!</v>
      </c>
    </row>
    <row r="34" spans="1:7" hidden="1" x14ac:dyDescent="0.2">
      <c r="A34" s="1" t="s">
        <v>52</v>
      </c>
      <c r="B34" s="1" t="s">
        <v>55</v>
      </c>
      <c r="C34" s="15">
        <f>-999881820000</f>
        <v>-999881820000</v>
      </c>
      <c r="D34" s="2">
        <v>0</v>
      </c>
      <c r="F34" t="e">
        <f>MID(#REF!,111,6)</f>
        <v>#REF!</v>
      </c>
    </row>
    <row r="35" spans="1:7" hidden="1" x14ac:dyDescent="0.2">
      <c r="A35" s="1" t="s">
        <v>52</v>
      </c>
      <c r="B35" s="1" t="s">
        <v>56</v>
      </c>
      <c r="C35" s="15">
        <f>-999815040000</f>
        <v>-999815040000</v>
      </c>
      <c r="D35" s="2">
        <v>0</v>
      </c>
      <c r="F35" t="e">
        <f>MID(#REF!,92,6)</f>
        <v>#REF!</v>
      </c>
    </row>
    <row r="36" spans="1:7" hidden="1" x14ac:dyDescent="0.2">
      <c r="A36" s="1" t="s">
        <v>52</v>
      </c>
      <c r="B36" s="1" t="s">
        <v>57</v>
      </c>
      <c r="C36" s="15">
        <f>-499900800000</f>
        <v>-499900800000</v>
      </c>
      <c r="D36" s="2">
        <v>0</v>
      </c>
      <c r="F36" t="e">
        <f>MID(#REF!,101,6)</f>
        <v>#REF!</v>
      </c>
    </row>
    <row r="37" spans="1:7" hidden="1" x14ac:dyDescent="0.2">
      <c r="A37" s="1" t="s">
        <v>52</v>
      </c>
      <c r="B37" s="1" t="s">
        <v>58</v>
      </c>
      <c r="C37" s="15">
        <f>-299801160000</f>
        <v>-299801160000</v>
      </c>
      <c r="D37" s="2">
        <v>0</v>
      </c>
      <c r="F37" t="e">
        <f>MID(#REF!,96,6)</f>
        <v>#REF!</v>
      </c>
    </row>
    <row r="38" spans="1:7" hidden="1" x14ac:dyDescent="0.2">
      <c r="A38" s="1" t="s">
        <v>52</v>
      </c>
      <c r="B38" s="1" t="s">
        <v>59</v>
      </c>
      <c r="C38" s="15">
        <f>-499932500000</f>
        <v>-499932500000</v>
      </c>
      <c r="D38" s="2">
        <v>0</v>
      </c>
      <c r="F38" t="e">
        <f>MID(#REF!,97,6)</f>
        <v>#REF!</v>
      </c>
    </row>
    <row r="39" spans="1:7" hidden="1" x14ac:dyDescent="0.2">
      <c r="A39" s="1" t="s">
        <v>52</v>
      </c>
      <c r="B39" s="1" t="s">
        <v>60</v>
      </c>
      <c r="C39" s="15">
        <f>-610850000</f>
        <v>-610850000</v>
      </c>
      <c r="D39" s="2">
        <v>0</v>
      </c>
      <c r="F39" t="e">
        <f>MID(#REF!,115,6)</f>
        <v>#REF!</v>
      </c>
    </row>
    <row r="40" spans="1:7" x14ac:dyDescent="0.2">
      <c r="A40" s="1" t="s">
        <v>61</v>
      </c>
      <c r="B40" s="1" t="s">
        <v>62</v>
      </c>
      <c r="C40" s="15">
        <v>358125000000</v>
      </c>
      <c r="D40" s="2">
        <v>358125000000</v>
      </c>
      <c r="E40" t="str">
        <f t="shared" ref="E40:E45" si="10">MID(B40,16,11)</f>
        <v xml:space="preserve"> 7.500.000 </v>
      </c>
      <c r="F40">
        <f t="shared" ref="F40:F45" si="11">9+FIND("نرخ متوسط",B40)</f>
        <v>104</v>
      </c>
      <c r="G40" t="str">
        <f t="shared" ref="G40:G45" si="12">MID(B40,F40,7)</f>
        <v xml:space="preserve"> 47.956</v>
      </c>
    </row>
    <row r="41" spans="1:7" x14ac:dyDescent="0.2">
      <c r="A41" s="1" t="s">
        <v>61</v>
      </c>
      <c r="B41" s="1" t="s">
        <v>63</v>
      </c>
      <c r="C41" s="15">
        <v>271463291925</v>
      </c>
      <c r="D41" s="2">
        <v>271463291925</v>
      </c>
      <c r="E41" t="str">
        <f t="shared" si="10"/>
        <v xml:space="preserve"> 10.000.000</v>
      </c>
      <c r="F41">
        <f t="shared" si="11"/>
        <v>103</v>
      </c>
      <c r="G41" t="str">
        <f t="shared" si="12"/>
        <v xml:space="preserve"> 28.273</v>
      </c>
    </row>
    <row r="42" spans="1:7" x14ac:dyDescent="0.2">
      <c r="A42" s="1" t="s">
        <v>61</v>
      </c>
      <c r="B42" s="1" t="s">
        <v>64</v>
      </c>
      <c r="C42" s="15">
        <v>799919990708</v>
      </c>
      <c r="D42" s="2">
        <v>799919990708</v>
      </c>
      <c r="E42" t="str">
        <f t="shared" si="10"/>
        <v xml:space="preserve"> 50.795.021</v>
      </c>
      <c r="F42">
        <f t="shared" si="11"/>
        <v>96</v>
      </c>
      <c r="G42" t="str">
        <f t="shared" si="12"/>
        <v xml:space="preserve"> 16.167</v>
      </c>
    </row>
    <row r="43" spans="1:7" x14ac:dyDescent="0.2">
      <c r="A43" s="1" t="s">
        <v>61</v>
      </c>
      <c r="B43" s="1" t="s">
        <v>65</v>
      </c>
      <c r="C43" s="15">
        <v>703462159577</v>
      </c>
      <c r="D43" s="2">
        <v>703462159577</v>
      </c>
      <c r="E43" t="str">
        <f t="shared" si="10"/>
        <v xml:space="preserve"> 36.000.000</v>
      </c>
      <c r="F43">
        <f t="shared" si="11"/>
        <v>97</v>
      </c>
      <c r="G43" t="str">
        <f t="shared" si="12"/>
        <v xml:space="preserve"> 19.829</v>
      </c>
    </row>
    <row r="44" spans="1:7" x14ac:dyDescent="0.2">
      <c r="A44" s="1" t="s">
        <v>61</v>
      </c>
      <c r="B44" s="1" t="s">
        <v>66</v>
      </c>
      <c r="C44" s="15">
        <v>499101660000</v>
      </c>
      <c r="D44" s="2">
        <v>499101660000</v>
      </c>
      <c r="E44" t="str">
        <f t="shared" si="10"/>
        <v xml:space="preserve"> 32.760.000</v>
      </c>
      <c r="F44">
        <f t="shared" si="11"/>
        <v>102</v>
      </c>
      <c r="G44" t="str">
        <f t="shared" si="12"/>
        <v xml:space="preserve"> 15.637</v>
      </c>
    </row>
    <row r="45" spans="1:7" x14ac:dyDescent="0.2">
      <c r="A45" s="1" t="s">
        <v>67</v>
      </c>
      <c r="B45" s="1" t="s">
        <v>68</v>
      </c>
      <c r="C45" s="15">
        <v>586218466314</v>
      </c>
      <c r="D45" s="2">
        <v>586218466314</v>
      </c>
      <c r="E45" t="str">
        <f t="shared" si="10"/>
        <v xml:space="preserve"> 30.000.000</v>
      </c>
      <c r="F45">
        <f t="shared" si="11"/>
        <v>95</v>
      </c>
      <c r="G45" t="str">
        <f t="shared" si="12"/>
        <v xml:space="preserve"> 19.938</v>
      </c>
    </row>
    <row r="46" spans="1:7" hidden="1" x14ac:dyDescent="0.2">
      <c r="A46" s="1" t="s">
        <v>69</v>
      </c>
      <c r="B46" s="1" t="s">
        <v>70</v>
      </c>
      <c r="C46" s="15">
        <f>-650000000000</f>
        <v>-650000000000</v>
      </c>
      <c r="D46" s="2">
        <v>0</v>
      </c>
      <c r="F46" t="e">
        <f>MID(#REF!,90,6)</f>
        <v>#REF!</v>
      </c>
    </row>
    <row r="47" spans="1:7" hidden="1" x14ac:dyDescent="0.2">
      <c r="A47" s="1" t="s">
        <v>69</v>
      </c>
      <c r="B47" s="1" t="s">
        <v>71</v>
      </c>
      <c r="C47" s="15">
        <f>-201029406210</f>
        <v>-201029406210</v>
      </c>
      <c r="D47" s="2">
        <v>0</v>
      </c>
    </row>
    <row r="48" spans="1:7" hidden="1" x14ac:dyDescent="0.2">
      <c r="A48" s="1" t="s">
        <v>69</v>
      </c>
      <c r="B48" s="1" t="s">
        <v>72</v>
      </c>
      <c r="C48" s="15">
        <f>-1648801350000</f>
        <v>-1648801350000</v>
      </c>
      <c r="D48" s="2">
        <v>0</v>
      </c>
    </row>
    <row r="49" spans="1:7" hidden="1" x14ac:dyDescent="0.2">
      <c r="A49" s="1" t="s">
        <v>73</v>
      </c>
      <c r="B49" s="1" t="s">
        <v>74</v>
      </c>
      <c r="C49" s="15">
        <f>-200100000000</f>
        <v>-200100000000</v>
      </c>
      <c r="D49" s="2">
        <v>0</v>
      </c>
    </row>
    <row r="50" spans="1:7" hidden="1" x14ac:dyDescent="0.2">
      <c r="A50" s="1" t="s">
        <v>73</v>
      </c>
      <c r="B50" s="1" t="s">
        <v>75</v>
      </c>
      <c r="C50" s="15">
        <f>-299702945000</f>
        <v>-299702945000</v>
      </c>
      <c r="D50" s="2">
        <v>0</v>
      </c>
    </row>
    <row r="51" spans="1:7" hidden="1" x14ac:dyDescent="0.2">
      <c r="A51" s="1" t="s">
        <v>76</v>
      </c>
      <c r="B51" s="1" t="s">
        <v>77</v>
      </c>
      <c r="C51" s="15">
        <f>-1797318900000</f>
        <v>-1797318900000</v>
      </c>
      <c r="D51" s="2">
        <v>0</v>
      </c>
    </row>
    <row r="52" spans="1:7" hidden="1" x14ac:dyDescent="0.2">
      <c r="A52" s="1" t="s">
        <v>76</v>
      </c>
      <c r="B52" s="1" t="s">
        <v>78</v>
      </c>
      <c r="C52" s="15">
        <f>-502055290000</f>
        <v>-502055290000</v>
      </c>
      <c r="D52" s="2">
        <v>0</v>
      </c>
    </row>
    <row r="53" spans="1:7" hidden="1" x14ac:dyDescent="0.2">
      <c r="A53" s="1" t="s">
        <v>76</v>
      </c>
      <c r="B53" s="1" t="s">
        <v>79</v>
      </c>
      <c r="C53" s="15">
        <f>-499509500000</f>
        <v>-499509500000</v>
      </c>
      <c r="D53" s="2">
        <v>0</v>
      </c>
    </row>
    <row r="54" spans="1:7" hidden="1" x14ac:dyDescent="0.2">
      <c r="A54" s="1" t="s">
        <v>76</v>
      </c>
      <c r="B54" s="1" t="s">
        <v>80</v>
      </c>
      <c r="C54" s="15">
        <f>-499797400000</f>
        <v>-499797400000</v>
      </c>
      <c r="D54" s="2">
        <v>0</v>
      </c>
    </row>
    <row r="55" spans="1:7" hidden="1" x14ac:dyDescent="0.2">
      <c r="A55" s="1" t="s">
        <v>76</v>
      </c>
      <c r="B55" s="1" t="s">
        <v>81</v>
      </c>
      <c r="C55" s="15">
        <f>-200363900000</f>
        <v>-200363900000</v>
      </c>
      <c r="D55" s="2">
        <v>0</v>
      </c>
    </row>
    <row r="56" spans="1:7" hidden="1" x14ac:dyDescent="0.2">
      <c r="A56" s="1" t="s">
        <v>82</v>
      </c>
      <c r="B56" s="1" t="s">
        <v>83</v>
      </c>
      <c r="C56" s="15">
        <f>-499989636000</f>
        <v>-499989636000</v>
      </c>
      <c r="D56" s="2">
        <v>0</v>
      </c>
    </row>
    <row r="57" spans="1:7" hidden="1" x14ac:dyDescent="0.2">
      <c r="A57" s="1" t="s">
        <v>82</v>
      </c>
      <c r="B57" s="1" t="s">
        <v>84</v>
      </c>
      <c r="C57" s="15">
        <f>-1499992450000</f>
        <v>-1499992450000</v>
      </c>
      <c r="D57" s="2">
        <v>0</v>
      </c>
    </row>
    <row r="58" spans="1:7" hidden="1" x14ac:dyDescent="0.2">
      <c r="A58" s="1" t="s">
        <v>85</v>
      </c>
      <c r="B58" s="1" t="s">
        <v>86</v>
      </c>
      <c r="C58" s="15">
        <f>-1499746400000</f>
        <v>-1499746400000</v>
      </c>
      <c r="D58" s="2">
        <v>0</v>
      </c>
    </row>
    <row r="59" spans="1:7" hidden="1" x14ac:dyDescent="0.2">
      <c r="A59" s="1" t="s">
        <v>85</v>
      </c>
      <c r="B59" s="1" t="s">
        <v>87</v>
      </c>
      <c r="C59" s="15">
        <f>-999825080000</f>
        <v>-999825080000</v>
      </c>
      <c r="D59" s="2">
        <v>0</v>
      </c>
    </row>
    <row r="60" spans="1:7" hidden="1" x14ac:dyDescent="0.2">
      <c r="A60" s="1" t="s">
        <v>88</v>
      </c>
      <c r="B60" s="1" t="s">
        <v>89</v>
      </c>
      <c r="C60" s="15">
        <f>-999898305000</f>
        <v>-999898305000</v>
      </c>
      <c r="D60" s="2">
        <v>0</v>
      </c>
    </row>
    <row r="61" spans="1:7" hidden="1" x14ac:dyDescent="0.2">
      <c r="A61" s="1" t="s">
        <v>88</v>
      </c>
      <c r="B61" s="1" t="s">
        <v>90</v>
      </c>
      <c r="C61" s="15">
        <f>-999715500000</f>
        <v>-999715500000</v>
      </c>
      <c r="D61" s="2">
        <v>0</v>
      </c>
    </row>
    <row r="62" spans="1:7" x14ac:dyDescent="0.2">
      <c r="A62" s="1" t="s">
        <v>91</v>
      </c>
      <c r="B62" s="1" t="s">
        <v>92</v>
      </c>
      <c r="C62" s="15">
        <v>341651250000</v>
      </c>
      <c r="D62" s="2">
        <v>341651250000</v>
      </c>
      <c r="E62" t="str">
        <f t="shared" ref="E62:E67" si="13">MID(B62,16,11)</f>
        <v xml:space="preserve"> 7.155.000 </v>
      </c>
      <c r="F62">
        <f t="shared" ref="F62:F67" si="14">9+FIND("نرخ متوسط",B62)</f>
        <v>104</v>
      </c>
      <c r="G62" t="str">
        <f t="shared" ref="G62:G67" si="15">MID(B62,F62,7)</f>
        <v xml:space="preserve"> 50.100</v>
      </c>
    </row>
    <row r="63" spans="1:7" x14ac:dyDescent="0.2">
      <c r="A63" s="1" t="s">
        <v>91</v>
      </c>
      <c r="B63" s="1" t="s">
        <v>93</v>
      </c>
      <c r="C63" s="15">
        <v>1214526768075</v>
      </c>
      <c r="D63" s="2">
        <v>1214526768075</v>
      </c>
      <c r="E63" t="str">
        <f t="shared" si="13"/>
        <v xml:space="preserve"> 44.740.000</v>
      </c>
      <c r="F63">
        <f t="shared" si="14"/>
        <v>103</v>
      </c>
      <c r="G63" t="str">
        <f t="shared" si="15"/>
        <v xml:space="preserve"> 29.500</v>
      </c>
    </row>
    <row r="64" spans="1:7" x14ac:dyDescent="0.2">
      <c r="A64" s="1" t="s">
        <v>91</v>
      </c>
      <c r="B64" s="1" t="s">
        <v>94</v>
      </c>
      <c r="C64" s="15">
        <v>483945790195</v>
      </c>
      <c r="D64" s="2">
        <v>483945790195</v>
      </c>
      <c r="E64" t="str">
        <f t="shared" si="13"/>
        <v xml:space="preserve"> 20.000.000</v>
      </c>
      <c r="F64">
        <f t="shared" si="14"/>
        <v>103</v>
      </c>
      <c r="G64" t="str">
        <f t="shared" si="15"/>
        <v xml:space="preserve"> 25.745</v>
      </c>
    </row>
    <row r="65" spans="1:7" x14ac:dyDescent="0.2">
      <c r="A65" s="1" t="s">
        <v>91</v>
      </c>
      <c r="B65" s="1" t="s">
        <v>95</v>
      </c>
      <c r="C65" s="15">
        <v>409962114109</v>
      </c>
      <c r="D65" s="2">
        <v>409962114109</v>
      </c>
      <c r="E65" t="str">
        <f t="shared" si="13"/>
        <v xml:space="preserve"> 20.980.000</v>
      </c>
      <c r="F65">
        <f t="shared" si="14"/>
        <v>97</v>
      </c>
      <c r="G65" t="str">
        <f t="shared" si="15"/>
        <v xml:space="preserve"> 20.652</v>
      </c>
    </row>
    <row r="66" spans="1:7" x14ac:dyDescent="0.2">
      <c r="A66" s="1" t="s">
        <v>91</v>
      </c>
      <c r="B66" s="1" t="s">
        <v>96</v>
      </c>
      <c r="C66" s="15">
        <v>499509500000</v>
      </c>
      <c r="D66" s="2">
        <v>499509500000</v>
      </c>
      <c r="E66" t="str">
        <f t="shared" si="13"/>
        <v xml:space="preserve"> 30.100.000</v>
      </c>
      <c r="F66">
        <f t="shared" si="14"/>
        <v>99</v>
      </c>
      <c r="G66" t="str">
        <f t="shared" si="15"/>
        <v xml:space="preserve"> 16.903</v>
      </c>
    </row>
    <row r="67" spans="1:7" x14ac:dyDescent="0.2">
      <c r="A67" s="1" t="s">
        <v>91</v>
      </c>
      <c r="B67" s="1" t="s">
        <v>97</v>
      </c>
      <c r="C67" s="15">
        <v>1031752930703</v>
      </c>
      <c r="D67" s="2">
        <v>1031752930703</v>
      </c>
      <c r="E67" t="str">
        <f t="shared" si="13"/>
        <v xml:space="preserve"> 60.000.000</v>
      </c>
      <c r="F67">
        <f t="shared" si="14"/>
        <v>110</v>
      </c>
      <c r="G67" t="str">
        <f t="shared" si="15"/>
        <v xml:space="preserve"> 17.651</v>
      </c>
    </row>
    <row r="68" spans="1:7" hidden="1" x14ac:dyDescent="0.2">
      <c r="A68" s="1" t="s">
        <v>91</v>
      </c>
      <c r="B68" s="1" t="s">
        <v>98</v>
      </c>
      <c r="C68" s="15">
        <f>-4180288000000</f>
        <v>-4180288000000</v>
      </c>
      <c r="D68" s="2">
        <v>0</v>
      </c>
    </row>
    <row r="69" spans="1:7" x14ac:dyDescent="0.2">
      <c r="A69" s="1" t="s">
        <v>99</v>
      </c>
      <c r="B69" s="1" t="s">
        <v>100</v>
      </c>
      <c r="C69" s="15">
        <v>1794466969405</v>
      </c>
      <c r="D69" s="2">
        <v>1794466969405</v>
      </c>
      <c r="E69" t="str">
        <f t="shared" ref="E69:E80" si="16">MID(B69,16,11)</f>
        <v xml:space="preserve"> 133.000.00</v>
      </c>
      <c r="F69">
        <f t="shared" ref="F69:F80" si="17">9+FIND("نرخ متوسط",B69)</f>
        <v>91</v>
      </c>
      <c r="G69" t="str">
        <f t="shared" ref="G69:G80" si="18">MID(B69,F69,7)</f>
        <v xml:space="preserve"> 13.767</v>
      </c>
    </row>
    <row r="70" spans="1:7" x14ac:dyDescent="0.2">
      <c r="A70" s="1" t="s">
        <v>99</v>
      </c>
      <c r="B70" s="1" t="s">
        <v>101</v>
      </c>
      <c r="C70" s="15">
        <v>2274545213915</v>
      </c>
      <c r="D70" s="2">
        <v>2274545213915</v>
      </c>
      <c r="E70" t="str">
        <f t="shared" si="16"/>
        <v xml:space="preserve"> 94.000.000</v>
      </c>
      <c r="F70">
        <f t="shared" si="17"/>
        <v>100</v>
      </c>
      <c r="G70" t="str">
        <f t="shared" si="18"/>
        <v xml:space="preserve"> 25.850</v>
      </c>
    </row>
    <row r="71" spans="1:7" x14ac:dyDescent="0.2">
      <c r="A71" s="1" t="s">
        <v>99</v>
      </c>
      <c r="B71" s="1" t="s">
        <v>102</v>
      </c>
      <c r="C71" s="15">
        <v>859794108919</v>
      </c>
      <c r="D71" s="2">
        <v>859794108919</v>
      </c>
      <c r="E71" t="str">
        <f t="shared" si="16"/>
        <v xml:space="preserve"> 50.000.000</v>
      </c>
      <c r="F71">
        <f t="shared" si="17"/>
        <v>95</v>
      </c>
      <c r="G71" t="str">
        <f t="shared" si="18"/>
        <v xml:space="preserve"> 17.717</v>
      </c>
    </row>
    <row r="72" spans="1:7" x14ac:dyDescent="0.2">
      <c r="A72" s="1" t="s">
        <v>99</v>
      </c>
      <c r="B72" s="1" t="s">
        <v>103</v>
      </c>
      <c r="C72" s="15">
        <v>1619163086365</v>
      </c>
      <c r="D72" s="2">
        <v>1619163086365</v>
      </c>
      <c r="E72" t="str">
        <f t="shared" si="16"/>
        <v xml:space="preserve"> 81.000.000</v>
      </c>
      <c r="F72">
        <f t="shared" si="17"/>
        <v>96</v>
      </c>
      <c r="G72" t="str">
        <f t="shared" si="18"/>
        <v xml:space="preserve"> 20.326</v>
      </c>
    </row>
    <row r="73" spans="1:7" x14ac:dyDescent="0.2">
      <c r="A73" s="1" t="s">
        <v>99</v>
      </c>
      <c r="B73" s="1" t="s">
        <v>104</v>
      </c>
      <c r="C73" s="15">
        <v>1004351732594</v>
      </c>
      <c r="D73" s="2">
        <v>1004351732594</v>
      </c>
      <c r="E73" t="str">
        <f>MID(B73,23,12)</f>
        <v xml:space="preserve"> 60.000.000 </v>
      </c>
      <c r="F73">
        <f t="shared" si="17"/>
        <v>114</v>
      </c>
      <c r="G73" t="str">
        <f t="shared" si="18"/>
        <v xml:space="preserve"> 16.924</v>
      </c>
    </row>
    <row r="74" spans="1:7" x14ac:dyDescent="0.2">
      <c r="A74" s="1" t="s">
        <v>99</v>
      </c>
      <c r="B74" s="1" t="s">
        <v>105</v>
      </c>
      <c r="C74" s="15">
        <v>906003000000</v>
      </c>
      <c r="D74" s="2">
        <v>906003000000</v>
      </c>
      <c r="E74" t="str">
        <f t="shared" si="16"/>
        <v xml:space="preserve"> 73.000.000</v>
      </c>
      <c r="F74">
        <f t="shared" si="17"/>
        <v>89</v>
      </c>
      <c r="G74" t="str">
        <f t="shared" si="18"/>
        <v xml:space="preserve"> 12.846</v>
      </c>
    </row>
    <row r="75" spans="1:7" x14ac:dyDescent="0.2">
      <c r="A75" s="1" t="s">
        <v>106</v>
      </c>
      <c r="B75" s="1" t="s">
        <v>107</v>
      </c>
      <c r="C75" s="15">
        <v>161906794232</v>
      </c>
      <c r="D75" s="2">
        <v>161906794232</v>
      </c>
      <c r="E75" t="str">
        <f t="shared" si="16"/>
        <v xml:space="preserve"> 12.000.000</v>
      </c>
      <c r="F75">
        <f t="shared" si="17"/>
        <v>90</v>
      </c>
      <c r="G75" t="str">
        <f t="shared" si="18"/>
        <v xml:space="preserve"> 13.903</v>
      </c>
    </row>
    <row r="76" spans="1:7" x14ac:dyDescent="0.2">
      <c r="A76" s="1" t="s">
        <v>106</v>
      </c>
      <c r="B76" s="1" t="s">
        <v>108</v>
      </c>
      <c r="C76" s="15">
        <v>232293979293</v>
      </c>
      <c r="D76" s="2">
        <v>232293979293</v>
      </c>
      <c r="E76" t="str">
        <f t="shared" si="16"/>
        <v xml:space="preserve"> 9.600.000 </v>
      </c>
      <c r="F76">
        <f t="shared" si="17"/>
        <v>99</v>
      </c>
      <c r="G76" t="str">
        <f t="shared" si="18"/>
        <v xml:space="preserve"> 26.091</v>
      </c>
    </row>
    <row r="77" spans="1:7" x14ac:dyDescent="0.2">
      <c r="A77" s="1" t="s">
        <v>106</v>
      </c>
      <c r="B77" s="1" t="s">
        <v>109</v>
      </c>
      <c r="C77" s="15">
        <v>80820646238</v>
      </c>
      <c r="D77" s="2">
        <v>80820646238</v>
      </c>
      <c r="E77" t="str">
        <f t="shared" si="16"/>
        <v xml:space="preserve"> 4.700.000 </v>
      </c>
      <c r="F77">
        <f t="shared" si="17"/>
        <v>94</v>
      </c>
      <c r="G77" t="str">
        <f t="shared" si="18"/>
        <v xml:space="preserve"> 17.900</v>
      </c>
    </row>
    <row r="78" spans="1:7" x14ac:dyDescent="0.2">
      <c r="A78" s="1" t="s">
        <v>106</v>
      </c>
      <c r="B78" s="1" t="s">
        <v>110</v>
      </c>
      <c r="C78" s="15">
        <v>405790254978</v>
      </c>
      <c r="D78" s="2">
        <v>405790254978</v>
      </c>
      <c r="E78" t="str">
        <f t="shared" si="16"/>
        <v xml:space="preserve"> 20.300.000</v>
      </c>
      <c r="F78">
        <f t="shared" si="17"/>
        <v>96</v>
      </c>
      <c r="G78" t="str">
        <f t="shared" si="18"/>
        <v xml:space="preserve"> 20.519</v>
      </c>
    </row>
    <row r="79" spans="1:7" x14ac:dyDescent="0.2">
      <c r="A79" s="1" t="s">
        <v>106</v>
      </c>
      <c r="B79" s="1" t="s">
        <v>111</v>
      </c>
      <c r="C79" s="15">
        <v>326414313093</v>
      </c>
      <c r="D79" s="2">
        <v>326414313093</v>
      </c>
      <c r="E79" t="str">
        <f t="shared" si="16"/>
        <v xml:space="preserve"> 19.500.000</v>
      </c>
      <c r="F79">
        <f t="shared" si="17"/>
        <v>107</v>
      </c>
      <c r="G79" t="str">
        <f t="shared" si="18"/>
        <v xml:space="preserve"> 17.098</v>
      </c>
    </row>
    <row r="80" spans="1:7" x14ac:dyDescent="0.2">
      <c r="A80" s="1" t="s">
        <v>106</v>
      </c>
      <c r="B80" s="1" t="s">
        <v>112</v>
      </c>
      <c r="C80" s="15">
        <v>239532300000</v>
      </c>
      <c r="D80" s="2">
        <v>239532300000</v>
      </c>
      <c r="E80" t="str">
        <f t="shared" si="16"/>
        <v xml:space="preserve"> 19.300.000</v>
      </c>
      <c r="F80">
        <f t="shared" si="17"/>
        <v>89</v>
      </c>
      <c r="G80" t="str">
        <f t="shared" si="18"/>
        <v xml:space="preserve"> 12.975</v>
      </c>
    </row>
    <row r="81" spans="1:4" hidden="1" x14ac:dyDescent="0.2">
      <c r="A81" s="1" t="s">
        <v>113</v>
      </c>
      <c r="B81" s="1" t="s">
        <v>114</v>
      </c>
      <c r="C81" s="15">
        <f>-699847864000</f>
        <v>-699847864000</v>
      </c>
      <c r="D81" s="2">
        <v>0</v>
      </c>
    </row>
    <row r="82" spans="1:4" hidden="1" x14ac:dyDescent="0.2">
      <c r="A82" s="1" t="s">
        <v>113</v>
      </c>
      <c r="B82" s="1" t="s">
        <v>115</v>
      </c>
      <c r="C82" s="15">
        <f>-799841847000</f>
        <v>-799841847000</v>
      </c>
      <c r="D82" s="2">
        <v>0</v>
      </c>
    </row>
    <row r="83" spans="1:4" hidden="1" x14ac:dyDescent="0.2">
      <c r="A83" s="1" t="s">
        <v>113</v>
      </c>
      <c r="B83" s="1" t="s">
        <v>116</v>
      </c>
      <c r="C83" s="15">
        <f>-499904640000</f>
        <v>-499904640000</v>
      </c>
      <c r="D83" s="2">
        <v>0</v>
      </c>
    </row>
  </sheetData>
  <autoFilter ref="A1:D83" xr:uid="{00000000-0001-0000-0000-000000000000}">
    <filterColumn colId="3">
      <filters>
        <filter val="1,004,351,732,594"/>
        <filter val="1,031,752,930,703"/>
        <filter val="1,200,917,023"/>
        <filter val="1,214,526,768,075"/>
        <filter val="1,619,163,086,365"/>
        <filter val="1,794,466,969,405"/>
        <filter val="161,906,794,232"/>
        <filter val="18,281,419,740"/>
        <filter val="2,001,528,372"/>
        <filter val="2,273,826,299"/>
        <filter val="2,274,545,213,915"/>
        <filter val="2,992,635,184"/>
        <filter val="232,293,979,293"/>
        <filter val="239,532,300,000"/>
        <filter val="271,463,291,925"/>
        <filter val="3,002,292,558"/>
        <filter val="305,853,000,000"/>
        <filter val="326,414,313,093"/>
        <filter val="341,651,250,000"/>
        <filter val="358,125,000,000"/>
        <filter val="405,790,254,978"/>
        <filter val="409,962,114,109"/>
        <filter val="483,945,790,195"/>
        <filter val="499,101,660,000"/>
        <filter val="499,506,380,000"/>
        <filter val="499,509,500,000"/>
        <filter val="499,689,400,000"/>
        <filter val="499,812,650,000"/>
        <filter val="586,218,466,314"/>
        <filter val="67,551,582,558"/>
        <filter val="694,243,440,000"/>
        <filter val="703,462,159,577"/>
        <filter val="799,919,990,708"/>
        <filter val="80,820,646,238"/>
        <filter val="859,794,108,919"/>
        <filter val="906,003,000,00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حداکثر 100000 رکورد (6)</vt:lpstr>
      <vt:lpstr>حداکثر 100000 رکورد (5)</vt:lpstr>
      <vt:lpstr>حداکثر 100000 رکورد (4)</vt:lpstr>
      <vt:lpstr>mid</vt:lpstr>
      <vt:lpstr>حداکثر 100000 رکورد (3)</vt:lpstr>
      <vt:lpstr>حداکثر 100000 رکورد (2)</vt:lpstr>
      <vt:lpstr>حداکثر 100000 رکورد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Fatemeh Javadian</dc:creator>
  <cp:lastModifiedBy>Fatemeh Javadian</cp:lastModifiedBy>
  <dcterms:created xsi:type="dcterms:W3CDTF">2024-12-10T09:44:18Z</dcterms:created>
  <dcterms:modified xsi:type="dcterms:W3CDTF">2024-12-10T11:46:02Z</dcterms:modified>
</cp:coreProperties>
</file>