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8620" windowHeight="14955"/>
  </bookViews>
  <sheets>
    <sheet name="ريال پايان 97" sheetId="1" r:id="rId1"/>
  </sheets>
  <definedNames>
    <definedName name="_xlnm._FilterDatabase" localSheetId="0" hidden="1">'ريال پايان 97'!$A$1:$R$3657</definedName>
  </definedNames>
  <calcPr calcId="125725"/>
</workbook>
</file>

<file path=xl/calcChain.xml><?xml version="1.0" encoding="utf-8"?>
<calcChain xmlns="http://schemas.openxmlformats.org/spreadsheetml/2006/main">
  <c r="R2061" i="1"/>
  <c r="R2077"/>
  <c r="R2089"/>
  <c r="R2121"/>
  <c r="R2141"/>
  <c r="R2154"/>
  <c r="R2189"/>
  <c r="R2205"/>
  <c r="R2217"/>
  <c r="R2249"/>
  <c r="R2269"/>
  <c r="R2282"/>
  <c r="R2317"/>
  <c r="R2333"/>
  <c r="R2345"/>
  <c r="R2377"/>
  <c r="R2397"/>
  <c r="R2410"/>
  <c r="R2445"/>
  <c r="R2461"/>
  <c r="R2473"/>
  <c r="R2505"/>
  <c r="R2525"/>
  <c r="R2538"/>
  <c r="R2573"/>
  <c r="R2589"/>
  <c r="R2601"/>
  <c r="R2633"/>
  <c r="R2653"/>
  <c r="R2666"/>
  <c r="R2701"/>
  <c r="R2717"/>
  <c r="R2729"/>
  <c r="R2761"/>
  <c r="R2802"/>
  <c r="R2812"/>
  <c r="R2813"/>
  <c r="R2877"/>
  <c r="R2882"/>
  <c r="R2909"/>
  <c r="R2917"/>
  <c r="R2945"/>
  <c r="R2973"/>
  <c r="R2981"/>
  <c r="R3009"/>
  <c r="R3037"/>
  <c r="R3045"/>
  <c r="R3062"/>
  <c r="R3094"/>
  <c r="R3102"/>
  <c r="R3126"/>
  <c r="R3158"/>
  <c r="R3166"/>
  <c r="R3190"/>
  <c r="R3222"/>
  <c r="R3230"/>
  <c r="R3254"/>
  <c r="R3286"/>
  <c r="R3294"/>
  <c r="R3318"/>
  <c r="R3345"/>
  <c r="R3350"/>
  <c r="R3382"/>
  <c r="R3409"/>
  <c r="R3414"/>
  <c r="R3446"/>
  <c r="R3473"/>
  <c r="R3478"/>
  <c r="R3510"/>
  <c r="R3537"/>
  <c r="R3542"/>
  <c r="R3574"/>
  <c r="R3601"/>
  <c r="R3606"/>
  <c r="R3638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293"/>
  <c r="Q294"/>
  <c r="Q295"/>
  <c r="Q296"/>
  <c r="Q297"/>
  <c r="Q298"/>
  <c r="Q299"/>
  <c r="Q300"/>
  <c r="Q301"/>
  <c r="Q302"/>
  <c r="Q303"/>
  <c r="Q304"/>
  <c r="Q305"/>
  <c r="Q306"/>
  <c r="Q307"/>
  <c r="Q308"/>
  <c r="Q309"/>
  <c r="Q310"/>
  <c r="Q311"/>
  <c r="Q312"/>
  <c r="Q313"/>
  <c r="Q314"/>
  <c r="Q315"/>
  <c r="Q316"/>
  <c r="Q317"/>
  <c r="Q318"/>
  <c r="Q319"/>
  <c r="Q320"/>
  <c r="Q321"/>
  <c r="Q322"/>
  <c r="Q323"/>
  <c r="Q324"/>
  <c r="Q325"/>
  <c r="Q326"/>
  <c r="Q327"/>
  <c r="Q328"/>
  <c r="Q329"/>
  <c r="Q330"/>
  <c r="Q331"/>
  <c r="Q332"/>
  <c r="Q333"/>
  <c r="Q334"/>
  <c r="Q335"/>
  <c r="Q336"/>
  <c r="Q337"/>
  <c r="Q338"/>
  <c r="Q339"/>
  <c r="Q340"/>
  <c r="Q341"/>
  <c r="Q342"/>
  <c r="Q343"/>
  <c r="Q344"/>
  <c r="Q345"/>
  <c r="Q346"/>
  <c r="Q347"/>
  <c r="Q348"/>
  <c r="Q349"/>
  <c r="Q350"/>
  <c r="Q351"/>
  <c r="Q352"/>
  <c r="Q353"/>
  <c r="Q354"/>
  <c r="Q355"/>
  <c r="Q356"/>
  <c r="Q357"/>
  <c r="Q358"/>
  <c r="Q359"/>
  <c r="Q360"/>
  <c r="Q361"/>
  <c r="Q362"/>
  <c r="Q363"/>
  <c r="Q364"/>
  <c r="Q365"/>
  <c r="Q366"/>
  <c r="Q367"/>
  <c r="Q368"/>
  <c r="Q369"/>
  <c r="Q370"/>
  <c r="Q371"/>
  <c r="Q372"/>
  <c r="Q373"/>
  <c r="Q374"/>
  <c r="Q375"/>
  <c r="Q376"/>
  <c r="Q377"/>
  <c r="Q378"/>
  <c r="Q379"/>
  <c r="Q380"/>
  <c r="Q381"/>
  <c r="Q382"/>
  <c r="Q383"/>
  <c r="Q384"/>
  <c r="Q385"/>
  <c r="Q386"/>
  <c r="Q387"/>
  <c r="Q388"/>
  <c r="Q389"/>
  <c r="Q390"/>
  <c r="Q391"/>
  <c r="Q392"/>
  <c r="Q393"/>
  <c r="Q394"/>
  <c r="Q395"/>
  <c r="Q396"/>
  <c r="Q397"/>
  <c r="Q398"/>
  <c r="Q399"/>
  <c r="Q400"/>
  <c r="Q401"/>
  <c r="Q402"/>
  <c r="Q403"/>
  <c r="Q404"/>
  <c r="Q405"/>
  <c r="Q406"/>
  <c r="Q407"/>
  <c r="Q408"/>
  <c r="Q409"/>
  <c r="Q410"/>
  <c r="Q411"/>
  <c r="Q412"/>
  <c r="Q413"/>
  <c r="Q414"/>
  <c r="Q415"/>
  <c r="Q416"/>
  <c r="Q417"/>
  <c r="Q418"/>
  <c r="Q419"/>
  <c r="Q420"/>
  <c r="Q421"/>
  <c r="Q422"/>
  <c r="Q423"/>
  <c r="Q424"/>
  <c r="Q425"/>
  <c r="Q426"/>
  <c r="Q427"/>
  <c r="Q428"/>
  <c r="Q429"/>
  <c r="Q430"/>
  <c r="Q431"/>
  <c r="Q432"/>
  <c r="Q433"/>
  <c r="Q434"/>
  <c r="Q435"/>
  <c r="Q436"/>
  <c r="Q437"/>
  <c r="Q438"/>
  <c r="Q439"/>
  <c r="Q440"/>
  <c r="Q441"/>
  <c r="Q442"/>
  <c r="Q443"/>
  <c r="Q444"/>
  <c r="Q445"/>
  <c r="Q446"/>
  <c r="Q447"/>
  <c r="Q448"/>
  <c r="Q449"/>
  <c r="Q450"/>
  <c r="Q451"/>
  <c r="Q452"/>
  <c r="Q453"/>
  <c r="Q454"/>
  <c r="Q455"/>
  <c r="Q456"/>
  <c r="Q457"/>
  <c r="Q458"/>
  <c r="Q459"/>
  <c r="Q460"/>
  <c r="Q461"/>
  <c r="Q462"/>
  <c r="Q463"/>
  <c r="Q464"/>
  <c r="Q465"/>
  <c r="Q466"/>
  <c r="Q467"/>
  <c r="Q468"/>
  <c r="Q469"/>
  <c r="Q470"/>
  <c r="Q471"/>
  <c r="Q472"/>
  <c r="Q473"/>
  <c r="Q474"/>
  <c r="Q475"/>
  <c r="Q476"/>
  <c r="Q477"/>
  <c r="Q478"/>
  <c r="Q479"/>
  <c r="Q480"/>
  <c r="Q481"/>
  <c r="Q482"/>
  <c r="Q483"/>
  <c r="Q484"/>
  <c r="Q485"/>
  <c r="Q486"/>
  <c r="Q487"/>
  <c r="Q488"/>
  <c r="Q489"/>
  <c r="Q490"/>
  <c r="Q491"/>
  <c r="Q492"/>
  <c r="Q493"/>
  <c r="Q494"/>
  <c r="Q495"/>
  <c r="Q496"/>
  <c r="Q497"/>
  <c r="Q498"/>
  <c r="Q499"/>
  <c r="Q500"/>
  <c r="Q501"/>
  <c r="Q502"/>
  <c r="Q503"/>
  <c r="Q504"/>
  <c r="Q505"/>
  <c r="Q506"/>
  <c r="Q507"/>
  <c r="Q508"/>
  <c r="Q509"/>
  <c r="Q510"/>
  <c r="Q511"/>
  <c r="Q512"/>
  <c r="Q513"/>
  <c r="Q514"/>
  <c r="Q515"/>
  <c r="Q516"/>
  <c r="Q517"/>
  <c r="Q518"/>
  <c r="Q519"/>
  <c r="Q520"/>
  <c r="Q521"/>
  <c r="Q522"/>
  <c r="Q523"/>
  <c r="Q524"/>
  <c r="Q525"/>
  <c r="Q526"/>
  <c r="Q527"/>
  <c r="Q528"/>
  <c r="Q529"/>
  <c r="Q530"/>
  <c r="Q531"/>
  <c r="Q532"/>
  <c r="Q533"/>
  <c r="Q534"/>
  <c r="Q535"/>
  <c r="Q536"/>
  <c r="Q537"/>
  <c r="Q538"/>
  <c r="Q539"/>
  <c r="Q540"/>
  <c r="Q541"/>
  <c r="Q542"/>
  <c r="Q543"/>
  <c r="Q544"/>
  <c r="Q545"/>
  <c r="Q546"/>
  <c r="Q547"/>
  <c r="Q548"/>
  <c r="Q549"/>
  <c r="Q550"/>
  <c r="Q551"/>
  <c r="Q552"/>
  <c r="Q553"/>
  <c r="Q554"/>
  <c r="Q555"/>
  <c r="Q556"/>
  <c r="Q557"/>
  <c r="Q558"/>
  <c r="Q559"/>
  <c r="Q560"/>
  <c r="Q561"/>
  <c r="Q562"/>
  <c r="Q563"/>
  <c r="Q564"/>
  <c r="Q565"/>
  <c r="Q566"/>
  <c r="Q567"/>
  <c r="Q568"/>
  <c r="Q569"/>
  <c r="Q570"/>
  <c r="Q571"/>
  <c r="Q572"/>
  <c r="Q573"/>
  <c r="Q574"/>
  <c r="Q575"/>
  <c r="Q576"/>
  <c r="Q577"/>
  <c r="Q578"/>
  <c r="Q579"/>
  <c r="Q580"/>
  <c r="Q581"/>
  <c r="Q582"/>
  <c r="Q583"/>
  <c r="Q584"/>
  <c r="Q585"/>
  <c r="Q586"/>
  <c r="Q587"/>
  <c r="Q588"/>
  <c r="Q589"/>
  <c r="Q590"/>
  <c r="Q591"/>
  <c r="Q592"/>
  <c r="Q593"/>
  <c r="Q594"/>
  <c r="Q595"/>
  <c r="Q596"/>
  <c r="Q597"/>
  <c r="Q598"/>
  <c r="Q599"/>
  <c r="Q600"/>
  <c r="Q601"/>
  <c r="Q602"/>
  <c r="Q603"/>
  <c r="Q604"/>
  <c r="Q605"/>
  <c r="Q606"/>
  <c r="Q607"/>
  <c r="Q608"/>
  <c r="Q609"/>
  <c r="Q610"/>
  <c r="Q611"/>
  <c r="Q612"/>
  <c r="Q613"/>
  <c r="Q614"/>
  <c r="Q615"/>
  <c r="Q616"/>
  <c r="Q617"/>
  <c r="Q618"/>
  <c r="Q619"/>
  <c r="Q620"/>
  <c r="Q621"/>
  <c r="Q622"/>
  <c r="Q623"/>
  <c r="Q624"/>
  <c r="Q625"/>
  <c r="Q626"/>
  <c r="Q627"/>
  <c r="Q628"/>
  <c r="Q629"/>
  <c r="Q630"/>
  <c r="Q631"/>
  <c r="Q632"/>
  <c r="Q633"/>
  <c r="Q634"/>
  <c r="Q635"/>
  <c r="Q636"/>
  <c r="Q637"/>
  <c r="Q638"/>
  <c r="Q639"/>
  <c r="Q640"/>
  <c r="Q641"/>
  <c r="Q642"/>
  <c r="Q643"/>
  <c r="Q644"/>
  <c r="Q645"/>
  <c r="Q646"/>
  <c r="Q647"/>
  <c r="Q648"/>
  <c r="Q649"/>
  <c r="Q650"/>
  <c r="Q651"/>
  <c r="Q652"/>
  <c r="Q653"/>
  <c r="Q654"/>
  <c r="Q655"/>
  <c r="Q656"/>
  <c r="Q657"/>
  <c r="Q658"/>
  <c r="Q659"/>
  <c r="Q660"/>
  <c r="Q661"/>
  <c r="Q662"/>
  <c r="Q663"/>
  <c r="Q664"/>
  <c r="Q665"/>
  <c r="Q666"/>
  <c r="Q667"/>
  <c r="Q668"/>
  <c r="Q669"/>
  <c r="Q670"/>
  <c r="Q671"/>
  <c r="Q672"/>
  <c r="Q673"/>
  <c r="Q674"/>
  <c r="Q675"/>
  <c r="Q676"/>
  <c r="Q677"/>
  <c r="Q678"/>
  <c r="Q679"/>
  <c r="Q680"/>
  <c r="Q681"/>
  <c r="Q682"/>
  <c r="Q683"/>
  <c r="Q684"/>
  <c r="Q685"/>
  <c r="Q686"/>
  <c r="Q687"/>
  <c r="Q688"/>
  <c r="Q689"/>
  <c r="Q690"/>
  <c r="Q691"/>
  <c r="Q692"/>
  <c r="Q693"/>
  <c r="Q694"/>
  <c r="Q695"/>
  <c r="Q696"/>
  <c r="Q697"/>
  <c r="Q698"/>
  <c r="Q699"/>
  <c r="Q700"/>
  <c r="Q701"/>
  <c r="Q702"/>
  <c r="Q703"/>
  <c r="Q704"/>
  <c r="Q705"/>
  <c r="Q706"/>
  <c r="Q707"/>
  <c r="Q708"/>
  <c r="Q709"/>
  <c r="Q710"/>
  <c r="Q711"/>
  <c r="Q712"/>
  <c r="Q713"/>
  <c r="Q714"/>
  <c r="Q715"/>
  <c r="Q716"/>
  <c r="Q717"/>
  <c r="Q718"/>
  <c r="Q719"/>
  <c r="Q720"/>
  <c r="Q721"/>
  <c r="Q722"/>
  <c r="Q723"/>
  <c r="Q724"/>
  <c r="Q725"/>
  <c r="Q726"/>
  <c r="Q727"/>
  <c r="Q728"/>
  <c r="Q729"/>
  <c r="Q730"/>
  <c r="Q731"/>
  <c r="Q732"/>
  <c r="Q733"/>
  <c r="Q734"/>
  <c r="Q735"/>
  <c r="Q736"/>
  <c r="Q737"/>
  <c r="Q738"/>
  <c r="Q739"/>
  <c r="Q740"/>
  <c r="Q741"/>
  <c r="Q742"/>
  <c r="Q743"/>
  <c r="Q744"/>
  <c r="Q745"/>
  <c r="Q746"/>
  <c r="Q747"/>
  <c r="Q748"/>
  <c r="Q749"/>
  <c r="Q750"/>
  <c r="Q751"/>
  <c r="Q752"/>
  <c r="Q753"/>
  <c r="Q754"/>
  <c r="Q755"/>
  <c r="Q756"/>
  <c r="Q757"/>
  <c r="Q758"/>
  <c r="Q759"/>
  <c r="Q760"/>
  <c r="Q761"/>
  <c r="Q762"/>
  <c r="Q763"/>
  <c r="Q764"/>
  <c r="Q765"/>
  <c r="Q766"/>
  <c r="Q767"/>
  <c r="Q768"/>
  <c r="Q769"/>
  <c r="Q770"/>
  <c r="Q771"/>
  <c r="Q772"/>
  <c r="Q773"/>
  <c r="Q774"/>
  <c r="Q775"/>
  <c r="Q776"/>
  <c r="Q777"/>
  <c r="Q778"/>
  <c r="Q779"/>
  <c r="Q780"/>
  <c r="Q781"/>
  <c r="Q782"/>
  <c r="Q783"/>
  <c r="Q784"/>
  <c r="Q785"/>
  <c r="Q786"/>
  <c r="Q787"/>
  <c r="Q788"/>
  <c r="Q789"/>
  <c r="Q790"/>
  <c r="Q791"/>
  <c r="Q792"/>
  <c r="Q793"/>
  <c r="Q794"/>
  <c r="Q795"/>
  <c r="Q796"/>
  <c r="Q797"/>
  <c r="Q798"/>
  <c r="Q799"/>
  <c r="Q800"/>
  <c r="Q801"/>
  <c r="Q802"/>
  <c r="Q803"/>
  <c r="Q804"/>
  <c r="Q805"/>
  <c r="Q806"/>
  <c r="Q807"/>
  <c r="Q808"/>
  <c r="Q809"/>
  <c r="Q810"/>
  <c r="Q811"/>
  <c r="Q812"/>
  <c r="Q813"/>
  <c r="Q814"/>
  <c r="Q815"/>
  <c r="Q816"/>
  <c r="Q817"/>
  <c r="Q818"/>
  <c r="Q819"/>
  <c r="Q820"/>
  <c r="Q821"/>
  <c r="Q822"/>
  <c r="Q823"/>
  <c r="Q824"/>
  <c r="Q825"/>
  <c r="Q826"/>
  <c r="Q827"/>
  <c r="Q828"/>
  <c r="Q829"/>
  <c r="Q830"/>
  <c r="Q831"/>
  <c r="Q832"/>
  <c r="Q833"/>
  <c r="Q834"/>
  <c r="Q835"/>
  <c r="Q836"/>
  <c r="Q837"/>
  <c r="Q838"/>
  <c r="Q839"/>
  <c r="Q840"/>
  <c r="Q841"/>
  <c r="Q842"/>
  <c r="Q843"/>
  <c r="Q844"/>
  <c r="Q845"/>
  <c r="Q846"/>
  <c r="Q847"/>
  <c r="Q848"/>
  <c r="Q849"/>
  <c r="Q850"/>
  <c r="Q851"/>
  <c r="Q852"/>
  <c r="Q853"/>
  <c r="Q854"/>
  <c r="Q855"/>
  <c r="Q856"/>
  <c r="Q857"/>
  <c r="Q858"/>
  <c r="Q859"/>
  <c r="Q860"/>
  <c r="Q861"/>
  <c r="Q862"/>
  <c r="Q863"/>
  <c r="Q864"/>
  <c r="Q865"/>
  <c r="Q866"/>
  <c r="Q867"/>
  <c r="Q868"/>
  <c r="Q869"/>
  <c r="Q870"/>
  <c r="Q871"/>
  <c r="Q872"/>
  <c r="Q873"/>
  <c r="Q874"/>
  <c r="Q875"/>
  <c r="Q876"/>
  <c r="Q877"/>
  <c r="Q878"/>
  <c r="Q879"/>
  <c r="Q880"/>
  <c r="Q881"/>
  <c r="Q882"/>
  <c r="Q883"/>
  <c r="Q884"/>
  <c r="Q885"/>
  <c r="Q886"/>
  <c r="Q887"/>
  <c r="Q888"/>
  <c r="Q889"/>
  <c r="Q890"/>
  <c r="Q891"/>
  <c r="Q892"/>
  <c r="Q893"/>
  <c r="Q894"/>
  <c r="Q895"/>
  <c r="Q896"/>
  <c r="Q897"/>
  <c r="Q898"/>
  <c r="Q899"/>
  <c r="Q900"/>
  <c r="Q901"/>
  <c r="Q902"/>
  <c r="Q903"/>
  <c r="Q904"/>
  <c r="Q905"/>
  <c r="Q906"/>
  <c r="Q907"/>
  <c r="Q908"/>
  <c r="Q909"/>
  <c r="Q910"/>
  <c r="Q911"/>
  <c r="Q912"/>
  <c r="Q913"/>
  <c r="Q914"/>
  <c r="Q915"/>
  <c r="Q916"/>
  <c r="Q917"/>
  <c r="Q918"/>
  <c r="Q919"/>
  <c r="Q920"/>
  <c r="Q921"/>
  <c r="Q922"/>
  <c r="Q923"/>
  <c r="Q924"/>
  <c r="Q925"/>
  <c r="Q926"/>
  <c r="Q927"/>
  <c r="Q928"/>
  <c r="Q929"/>
  <c r="Q930"/>
  <c r="Q931"/>
  <c r="Q932"/>
  <c r="Q933"/>
  <c r="Q934"/>
  <c r="Q935"/>
  <c r="Q936"/>
  <c r="Q937"/>
  <c r="Q938"/>
  <c r="Q939"/>
  <c r="Q940"/>
  <c r="Q941"/>
  <c r="Q942"/>
  <c r="Q943"/>
  <c r="Q944"/>
  <c r="Q945"/>
  <c r="Q946"/>
  <c r="Q947"/>
  <c r="Q948"/>
  <c r="Q949"/>
  <c r="Q950"/>
  <c r="Q951"/>
  <c r="Q952"/>
  <c r="Q953"/>
  <c r="Q954"/>
  <c r="Q955"/>
  <c r="Q956"/>
  <c r="Q957"/>
  <c r="Q958"/>
  <c r="Q959"/>
  <c r="Q960"/>
  <c r="Q961"/>
  <c r="Q962"/>
  <c r="Q963"/>
  <c r="Q964"/>
  <c r="Q965"/>
  <c r="Q966"/>
  <c r="Q967"/>
  <c r="Q968"/>
  <c r="Q969"/>
  <c r="Q970"/>
  <c r="Q971"/>
  <c r="Q972"/>
  <c r="Q973"/>
  <c r="Q974"/>
  <c r="Q975"/>
  <c r="Q976"/>
  <c r="Q977"/>
  <c r="Q978"/>
  <c r="Q979"/>
  <c r="Q980"/>
  <c r="Q981"/>
  <c r="Q982"/>
  <c r="Q983"/>
  <c r="Q984"/>
  <c r="Q985"/>
  <c r="Q986"/>
  <c r="Q987"/>
  <c r="Q988"/>
  <c r="Q989"/>
  <c r="Q990"/>
  <c r="Q991"/>
  <c r="Q992"/>
  <c r="Q993"/>
  <c r="Q994"/>
  <c r="Q995"/>
  <c r="Q996"/>
  <c r="Q997"/>
  <c r="Q998"/>
  <c r="Q999"/>
  <c r="Q1000"/>
  <c r="Q1001"/>
  <c r="Q1002"/>
  <c r="Q1003"/>
  <c r="Q1004"/>
  <c r="Q1005"/>
  <c r="Q1006"/>
  <c r="Q1007"/>
  <c r="Q1008"/>
  <c r="Q1009"/>
  <c r="Q1010"/>
  <c r="Q1011"/>
  <c r="Q1012"/>
  <c r="Q1013"/>
  <c r="Q1014"/>
  <c r="Q1015"/>
  <c r="Q1016"/>
  <c r="Q1017"/>
  <c r="Q1018"/>
  <c r="Q1019"/>
  <c r="Q1020"/>
  <c r="Q1021"/>
  <c r="Q1022"/>
  <c r="Q1023"/>
  <c r="Q1024"/>
  <c r="Q1025"/>
  <c r="Q1026"/>
  <c r="Q1027"/>
  <c r="Q1028"/>
  <c r="Q1029"/>
  <c r="Q1030"/>
  <c r="Q1031"/>
  <c r="Q1032"/>
  <c r="Q1033"/>
  <c r="Q1034"/>
  <c r="Q1035"/>
  <c r="Q1036"/>
  <c r="Q1037"/>
  <c r="Q1038"/>
  <c r="Q1039"/>
  <c r="Q1040"/>
  <c r="Q1041"/>
  <c r="Q1042"/>
  <c r="Q1043"/>
  <c r="Q1044"/>
  <c r="Q1045"/>
  <c r="Q1046"/>
  <c r="Q1047"/>
  <c r="Q1048"/>
  <c r="Q1049"/>
  <c r="Q1050"/>
  <c r="Q1051"/>
  <c r="Q1052"/>
  <c r="Q1053"/>
  <c r="Q1054"/>
  <c r="Q1055"/>
  <c r="Q1056"/>
  <c r="Q1057"/>
  <c r="Q1058"/>
  <c r="Q1059"/>
  <c r="Q1060"/>
  <c r="Q1061"/>
  <c r="Q1062"/>
  <c r="Q1063"/>
  <c r="Q1064"/>
  <c r="Q1065"/>
  <c r="Q1066"/>
  <c r="Q1067"/>
  <c r="Q1068"/>
  <c r="Q1069"/>
  <c r="Q1070"/>
  <c r="Q1071"/>
  <c r="Q1072"/>
  <c r="Q1073"/>
  <c r="Q1074"/>
  <c r="Q1075"/>
  <c r="Q1076"/>
  <c r="Q1077"/>
  <c r="Q1078"/>
  <c r="Q1079"/>
  <c r="Q1080"/>
  <c r="Q1081"/>
  <c r="Q1082"/>
  <c r="Q1083"/>
  <c r="Q1084"/>
  <c r="Q1085"/>
  <c r="Q1086"/>
  <c r="Q1087"/>
  <c r="Q1088"/>
  <c r="Q1089"/>
  <c r="Q1090"/>
  <c r="Q1091"/>
  <c r="Q1092"/>
  <c r="Q1093"/>
  <c r="Q1094"/>
  <c r="Q1095"/>
  <c r="Q1096"/>
  <c r="Q1097"/>
  <c r="Q1098"/>
  <c r="Q1099"/>
  <c r="Q1100"/>
  <c r="Q1101"/>
  <c r="Q1102"/>
  <c r="Q1103"/>
  <c r="Q1104"/>
  <c r="Q1105"/>
  <c r="Q1106"/>
  <c r="Q1107"/>
  <c r="Q1108"/>
  <c r="Q1109"/>
  <c r="Q1110"/>
  <c r="Q1111"/>
  <c r="Q1112"/>
  <c r="Q1113"/>
  <c r="Q1114"/>
  <c r="Q1115"/>
  <c r="Q1116"/>
  <c r="Q1117"/>
  <c r="Q1118"/>
  <c r="Q1119"/>
  <c r="Q1120"/>
  <c r="Q1121"/>
  <c r="Q1122"/>
  <c r="Q1123"/>
  <c r="Q1124"/>
  <c r="Q1125"/>
  <c r="Q1126"/>
  <c r="Q1127"/>
  <c r="Q1128"/>
  <c r="Q1129"/>
  <c r="Q1130"/>
  <c r="Q1131"/>
  <c r="Q1132"/>
  <c r="Q1133"/>
  <c r="Q1134"/>
  <c r="Q1135"/>
  <c r="Q1136"/>
  <c r="Q1137"/>
  <c r="Q1138"/>
  <c r="Q1139"/>
  <c r="Q1140"/>
  <c r="Q1141"/>
  <c r="Q1142"/>
  <c r="Q1143"/>
  <c r="Q1144"/>
  <c r="Q1145"/>
  <c r="Q1146"/>
  <c r="Q1147"/>
  <c r="Q1148"/>
  <c r="Q1149"/>
  <c r="Q1150"/>
  <c r="Q1151"/>
  <c r="Q1152"/>
  <c r="Q1153"/>
  <c r="Q1154"/>
  <c r="Q1155"/>
  <c r="Q1156"/>
  <c r="Q1157"/>
  <c r="Q1158"/>
  <c r="Q1159"/>
  <c r="Q1160"/>
  <c r="Q1161"/>
  <c r="Q1162"/>
  <c r="Q1163"/>
  <c r="Q1164"/>
  <c r="Q1165"/>
  <c r="Q1166"/>
  <c r="Q1167"/>
  <c r="Q1168"/>
  <c r="Q1169"/>
  <c r="Q1170"/>
  <c r="Q1171"/>
  <c r="Q1172"/>
  <c r="Q1173"/>
  <c r="Q1174"/>
  <c r="Q1175"/>
  <c r="Q1176"/>
  <c r="Q1177"/>
  <c r="Q1178"/>
  <c r="Q1179"/>
  <c r="Q1180"/>
  <c r="Q1181"/>
  <c r="Q1182"/>
  <c r="Q1183"/>
  <c r="Q1184"/>
  <c r="Q1185"/>
  <c r="Q1186"/>
  <c r="Q1187"/>
  <c r="Q1188"/>
  <c r="Q1189"/>
  <c r="Q1190"/>
  <c r="Q1191"/>
  <c r="Q1192"/>
  <c r="Q1193"/>
  <c r="Q1194"/>
  <c r="Q1195"/>
  <c r="Q1196"/>
  <c r="Q1197"/>
  <c r="Q1198"/>
  <c r="Q1199"/>
  <c r="Q1200"/>
  <c r="Q1201"/>
  <c r="Q1202"/>
  <c r="Q1203"/>
  <c r="Q1204"/>
  <c r="Q1205"/>
  <c r="Q1206"/>
  <c r="Q1207"/>
  <c r="Q1208"/>
  <c r="Q1209"/>
  <c r="Q1210"/>
  <c r="Q1211"/>
  <c r="Q1212"/>
  <c r="Q1213"/>
  <c r="Q1214"/>
  <c r="Q1215"/>
  <c r="Q1216"/>
  <c r="Q1217"/>
  <c r="Q1218"/>
  <c r="Q1219"/>
  <c r="Q1220"/>
  <c r="Q1221"/>
  <c r="Q1222"/>
  <c r="Q1223"/>
  <c r="Q1224"/>
  <c r="Q1225"/>
  <c r="Q1226"/>
  <c r="Q1227"/>
  <c r="Q1228"/>
  <c r="Q1229"/>
  <c r="Q1230"/>
  <c r="Q1231"/>
  <c r="Q1232"/>
  <c r="Q1233"/>
  <c r="Q1234"/>
  <c r="Q1235"/>
  <c r="Q1236"/>
  <c r="Q1237"/>
  <c r="Q1238"/>
  <c r="Q1239"/>
  <c r="Q1240"/>
  <c r="Q1241"/>
  <c r="Q1242"/>
  <c r="Q1243"/>
  <c r="Q1244"/>
  <c r="Q1245"/>
  <c r="Q1246"/>
  <c r="Q1247"/>
  <c r="Q1248"/>
  <c r="Q1249"/>
  <c r="Q1250"/>
  <c r="Q1251"/>
  <c r="Q1252"/>
  <c r="Q1253"/>
  <c r="Q1254"/>
  <c r="Q1255"/>
  <c r="Q1256"/>
  <c r="Q1257"/>
  <c r="Q1258"/>
  <c r="Q1259"/>
  <c r="Q1260"/>
  <c r="Q1261"/>
  <c r="Q1262"/>
  <c r="Q1263"/>
  <c r="Q1264"/>
  <c r="Q1265"/>
  <c r="Q1266"/>
  <c r="Q1267"/>
  <c r="Q1268"/>
  <c r="Q1269"/>
  <c r="Q1270"/>
  <c r="Q1271"/>
  <c r="Q1272"/>
  <c r="Q1273"/>
  <c r="Q1274"/>
  <c r="Q1275"/>
  <c r="Q1276"/>
  <c r="Q1277"/>
  <c r="Q1278"/>
  <c r="Q1279"/>
  <c r="Q1280"/>
  <c r="Q1281"/>
  <c r="Q1282"/>
  <c r="Q1283"/>
  <c r="Q1284"/>
  <c r="Q1285"/>
  <c r="Q1286"/>
  <c r="Q1287"/>
  <c r="Q1288"/>
  <c r="Q1289"/>
  <c r="Q1290"/>
  <c r="Q1291"/>
  <c r="Q1292"/>
  <c r="Q1293"/>
  <c r="Q1294"/>
  <c r="Q1295"/>
  <c r="Q1296"/>
  <c r="Q1297"/>
  <c r="Q1298"/>
  <c r="Q1299"/>
  <c r="Q1300"/>
  <c r="Q1301"/>
  <c r="Q1302"/>
  <c r="Q1303"/>
  <c r="Q1304"/>
  <c r="Q1305"/>
  <c r="Q1306"/>
  <c r="Q1307"/>
  <c r="Q1308"/>
  <c r="Q1309"/>
  <c r="Q1310"/>
  <c r="Q1311"/>
  <c r="Q1312"/>
  <c r="Q1313"/>
  <c r="Q1314"/>
  <c r="Q1315"/>
  <c r="Q1316"/>
  <c r="Q1317"/>
  <c r="Q1318"/>
  <c r="Q1319"/>
  <c r="Q1320"/>
  <c r="Q1321"/>
  <c r="Q1322"/>
  <c r="Q1323"/>
  <c r="Q1324"/>
  <c r="Q1325"/>
  <c r="Q1326"/>
  <c r="Q1327"/>
  <c r="Q1328"/>
  <c r="Q1329"/>
  <c r="Q1330"/>
  <c r="Q1331"/>
  <c r="Q1332"/>
  <c r="Q1333"/>
  <c r="Q1334"/>
  <c r="Q1335"/>
  <c r="Q1336"/>
  <c r="Q1337"/>
  <c r="Q1338"/>
  <c r="Q1339"/>
  <c r="Q1340"/>
  <c r="Q1341"/>
  <c r="Q1342"/>
  <c r="Q1343"/>
  <c r="Q1344"/>
  <c r="Q1345"/>
  <c r="Q1346"/>
  <c r="Q1347"/>
  <c r="Q1348"/>
  <c r="Q1349"/>
  <c r="Q1350"/>
  <c r="Q1351"/>
  <c r="Q1352"/>
  <c r="Q1353"/>
  <c r="Q1354"/>
  <c r="Q1355"/>
  <c r="Q1356"/>
  <c r="Q1357"/>
  <c r="Q1358"/>
  <c r="Q1359"/>
  <c r="Q1360"/>
  <c r="Q1361"/>
  <c r="Q1362"/>
  <c r="Q1363"/>
  <c r="Q1364"/>
  <c r="Q1365"/>
  <c r="Q1366"/>
  <c r="Q1367"/>
  <c r="Q1368"/>
  <c r="Q1369"/>
  <c r="Q1370"/>
  <c r="Q1371"/>
  <c r="Q1372"/>
  <c r="Q1373"/>
  <c r="Q1374"/>
  <c r="Q1375"/>
  <c r="Q1376"/>
  <c r="Q1377"/>
  <c r="Q1378"/>
  <c r="Q1379"/>
  <c r="Q1380"/>
  <c r="Q1381"/>
  <c r="Q1382"/>
  <c r="Q1383"/>
  <c r="Q1384"/>
  <c r="Q1385"/>
  <c r="Q1386"/>
  <c r="Q1387"/>
  <c r="Q1388"/>
  <c r="Q1389"/>
  <c r="Q1390"/>
  <c r="Q1391"/>
  <c r="Q1392"/>
  <c r="Q1393"/>
  <c r="Q1394"/>
  <c r="Q1395"/>
  <c r="Q1396"/>
  <c r="Q1397"/>
  <c r="Q1398"/>
  <c r="Q1399"/>
  <c r="Q1400"/>
  <c r="Q1401"/>
  <c r="Q1402"/>
  <c r="Q1403"/>
  <c r="Q1404"/>
  <c r="Q1405"/>
  <c r="Q1406"/>
  <c r="Q1407"/>
  <c r="Q1408"/>
  <c r="Q1409"/>
  <c r="Q1410"/>
  <c r="Q1411"/>
  <c r="Q1412"/>
  <c r="Q1413"/>
  <c r="Q1414"/>
  <c r="Q1415"/>
  <c r="Q1416"/>
  <c r="Q1417"/>
  <c r="Q1418"/>
  <c r="Q1419"/>
  <c r="Q1420"/>
  <c r="Q1421"/>
  <c r="Q1422"/>
  <c r="Q1423"/>
  <c r="Q1424"/>
  <c r="Q1425"/>
  <c r="Q1426"/>
  <c r="Q1427"/>
  <c r="Q1428"/>
  <c r="Q1429"/>
  <c r="Q1430"/>
  <c r="Q1431"/>
  <c r="Q1432"/>
  <c r="Q1433"/>
  <c r="Q1434"/>
  <c r="Q1435"/>
  <c r="Q1436"/>
  <c r="Q1437"/>
  <c r="Q1438"/>
  <c r="Q1439"/>
  <c r="Q1440"/>
  <c r="Q1441"/>
  <c r="Q1442"/>
  <c r="Q1443"/>
  <c r="Q1444"/>
  <c r="Q1445"/>
  <c r="Q1446"/>
  <c r="Q1447"/>
  <c r="Q1448"/>
  <c r="Q1449"/>
  <c r="Q1450"/>
  <c r="Q1451"/>
  <c r="Q1452"/>
  <c r="Q1453"/>
  <c r="Q1454"/>
  <c r="Q1455"/>
  <c r="Q1456"/>
  <c r="Q1457"/>
  <c r="Q1458"/>
  <c r="Q1459"/>
  <c r="Q1460"/>
  <c r="Q1461"/>
  <c r="Q1462"/>
  <c r="Q1463"/>
  <c r="Q1464"/>
  <c r="Q1465"/>
  <c r="Q1466"/>
  <c r="Q1467"/>
  <c r="Q1468"/>
  <c r="Q1469"/>
  <c r="Q1470"/>
  <c r="Q1471"/>
  <c r="Q1472"/>
  <c r="Q1473"/>
  <c r="Q1474"/>
  <c r="Q1475"/>
  <c r="Q1476"/>
  <c r="Q1477"/>
  <c r="Q1478"/>
  <c r="Q1479"/>
  <c r="Q1480"/>
  <c r="Q1481"/>
  <c r="Q1482"/>
  <c r="Q1483"/>
  <c r="Q1484"/>
  <c r="Q1485"/>
  <c r="Q1486"/>
  <c r="Q1487"/>
  <c r="Q1488"/>
  <c r="Q1489"/>
  <c r="Q1490"/>
  <c r="Q1491"/>
  <c r="Q1492"/>
  <c r="Q1493"/>
  <c r="Q1494"/>
  <c r="Q1495"/>
  <c r="Q1496"/>
  <c r="Q1497"/>
  <c r="Q1498"/>
  <c r="Q1499"/>
  <c r="Q1500"/>
  <c r="Q1501"/>
  <c r="Q1502"/>
  <c r="Q1503"/>
  <c r="Q1504"/>
  <c r="Q1505"/>
  <c r="Q1506"/>
  <c r="Q1507"/>
  <c r="Q1508"/>
  <c r="Q1509"/>
  <c r="Q1510"/>
  <c r="Q1511"/>
  <c r="Q1512"/>
  <c r="Q1513"/>
  <c r="Q1514"/>
  <c r="Q1515"/>
  <c r="Q1516"/>
  <c r="Q1517"/>
  <c r="Q1518"/>
  <c r="Q1519"/>
  <c r="Q1520"/>
  <c r="Q1521"/>
  <c r="Q1522"/>
  <c r="Q1523"/>
  <c r="Q1524"/>
  <c r="Q1525"/>
  <c r="Q1526"/>
  <c r="Q1527"/>
  <c r="Q1528"/>
  <c r="Q1529"/>
  <c r="Q1530"/>
  <c r="Q1531"/>
  <c r="Q1532"/>
  <c r="Q1533"/>
  <c r="Q1534"/>
  <c r="Q1535"/>
  <c r="Q1536"/>
  <c r="Q1537"/>
  <c r="Q1538"/>
  <c r="Q1539"/>
  <c r="Q1540"/>
  <c r="Q1541"/>
  <c r="Q1542"/>
  <c r="Q1543"/>
  <c r="Q1544"/>
  <c r="Q1545"/>
  <c r="Q1546"/>
  <c r="Q1547"/>
  <c r="Q1548"/>
  <c r="Q1549"/>
  <c r="Q1550"/>
  <c r="Q1551"/>
  <c r="Q1552"/>
  <c r="Q1553"/>
  <c r="Q1554"/>
  <c r="Q1555"/>
  <c r="Q1556"/>
  <c r="Q1557"/>
  <c r="Q1558"/>
  <c r="Q1559"/>
  <c r="Q1560"/>
  <c r="Q1561"/>
  <c r="Q1562"/>
  <c r="Q1563"/>
  <c r="Q1564"/>
  <c r="Q1565"/>
  <c r="Q1566"/>
  <c r="Q1567"/>
  <c r="Q1568"/>
  <c r="Q1569"/>
  <c r="Q1570"/>
  <c r="Q1571"/>
  <c r="Q1572"/>
  <c r="Q1573"/>
  <c r="Q1574"/>
  <c r="Q1575"/>
  <c r="Q1576"/>
  <c r="Q1577"/>
  <c r="Q1578"/>
  <c r="Q1579"/>
  <c r="Q1580"/>
  <c r="Q1581"/>
  <c r="Q1582"/>
  <c r="Q1583"/>
  <c r="Q1584"/>
  <c r="Q1585"/>
  <c r="Q1586"/>
  <c r="Q1587"/>
  <c r="Q1588"/>
  <c r="Q1589"/>
  <c r="Q1590"/>
  <c r="Q1591"/>
  <c r="Q1592"/>
  <c r="Q1593"/>
  <c r="Q1594"/>
  <c r="Q1595"/>
  <c r="Q1596"/>
  <c r="Q1597"/>
  <c r="Q1598"/>
  <c r="Q1599"/>
  <c r="Q1600"/>
  <c r="Q1601"/>
  <c r="Q1602"/>
  <c r="Q1603"/>
  <c r="Q1604"/>
  <c r="Q1605"/>
  <c r="Q1606"/>
  <c r="Q1607"/>
  <c r="Q1608"/>
  <c r="Q1609"/>
  <c r="Q1610"/>
  <c r="Q1611"/>
  <c r="Q1612"/>
  <c r="Q1613"/>
  <c r="Q1614"/>
  <c r="Q1615"/>
  <c r="Q1616"/>
  <c r="Q1617"/>
  <c r="Q1618"/>
  <c r="Q1619"/>
  <c r="Q1620"/>
  <c r="Q1621"/>
  <c r="Q1622"/>
  <c r="Q1623"/>
  <c r="Q1624"/>
  <c r="Q1625"/>
  <c r="Q1626"/>
  <c r="Q1627"/>
  <c r="Q1628"/>
  <c r="Q1629"/>
  <c r="Q1630"/>
  <c r="Q1631"/>
  <c r="Q1632"/>
  <c r="Q1633"/>
  <c r="Q1634"/>
  <c r="Q1635"/>
  <c r="Q1636"/>
  <c r="Q1637"/>
  <c r="Q1638"/>
  <c r="Q1639"/>
  <c r="Q1640"/>
  <c r="Q1641"/>
  <c r="Q1642"/>
  <c r="Q1643"/>
  <c r="Q1644"/>
  <c r="Q1645"/>
  <c r="Q1646"/>
  <c r="Q1647"/>
  <c r="Q1648"/>
  <c r="Q1649"/>
  <c r="Q1650"/>
  <c r="Q1651"/>
  <c r="Q1652"/>
  <c r="Q1653"/>
  <c r="Q1654"/>
  <c r="Q1655"/>
  <c r="Q1656"/>
  <c r="Q1657"/>
  <c r="Q1658"/>
  <c r="Q1659"/>
  <c r="Q1660"/>
  <c r="Q1661"/>
  <c r="Q1662"/>
  <c r="Q1663"/>
  <c r="Q1664"/>
  <c r="Q1665"/>
  <c r="Q1666"/>
  <c r="Q1667"/>
  <c r="Q1668"/>
  <c r="Q1669"/>
  <c r="Q1670"/>
  <c r="Q1671"/>
  <c r="Q1672"/>
  <c r="Q1673"/>
  <c r="Q1674"/>
  <c r="Q1675"/>
  <c r="Q1676"/>
  <c r="Q1677"/>
  <c r="Q1678"/>
  <c r="Q1679"/>
  <c r="Q1680"/>
  <c r="Q1681"/>
  <c r="Q1682"/>
  <c r="Q1683"/>
  <c r="Q1684"/>
  <c r="Q1685"/>
  <c r="Q1686"/>
  <c r="Q1687"/>
  <c r="Q1688"/>
  <c r="Q1689"/>
  <c r="Q1690"/>
  <c r="Q1691"/>
  <c r="Q1692"/>
  <c r="Q1693"/>
  <c r="Q1694"/>
  <c r="Q1695"/>
  <c r="Q1696"/>
  <c r="Q1697"/>
  <c r="Q1698"/>
  <c r="Q1699"/>
  <c r="Q1700"/>
  <c r="Q1701"/>
  <c r="Q1702"/>
  <c r="Q1703"/>
  <c r="Q1704"/>
  <c r="Q1705"/>
  <c r="Q1706"/>
  <c r="Q1707"/>
  <c r="Q1708"/>
  <c r="Q1709"/>
  <c r="Q1710"/>
  <c r="Q1711"/>
  <c r="Q1712"/>
  <c r="Q1713"/>
  <c r="Q1714"/>
  <c r="Q1715"/>
  <c r="Q1716"/>
  <c r="Q1717"/>
  <c r="Q1718"/>
  <c r="Q1719"/>
  <c r="Q1720"/>
  <c r="Q1721"/>
  <c r="Q1722"/>
  <c r="Q1723"/>
  <c r="Q1724"/>
  <c r="Q1725"/>
  <c r="Q1726"/>
  <c r="Q1727"/>
  <c r="Q1728"/>
  <c r="Q1729"/>
  <c r="Q1730"/>
  <c r="Q1731"/>
  <c r="Q1732"/>
  <c r="Q1733"/>
  <c r="Q1734"/>
  <c r="Q1735"/>
  <c r="Q1736"/>
  <c r="Q1737"/>
  <c r="Q1738"/>
  <c r="Q1739"/>
  <c r="Q1740"/>
  <c r="Q1741"/>
  <c r="Q1742"/>
  <c r="Q1743"/>
  <c r="Q1744"/>
  <c r="Q1745"/>
  <c r="Q1746"/>
  <c r="Q1747"/>
  <c r="Q1748"/>
  <c r="Q1749"/>
  <c r="Q1750"/>
  <c r="Q1751"/>
  <c r="Q1752"/>
  <c r="Q1753"/>
  <c r="Q1754"/>
  <c r="Q1755"/>
  <c r="Q1756"/>
  <c r="Q1757"/>
  <c r="Q1758"/>
  <c r="Q1759"/>
  <c r="Q1760"/>
  <c r="Q1761"/>
  <c r="Q1762"/>
  <c r="Q1763"/>
  <c r="Q1764"/>
  <c r="Q1765"/>
  <c r="Q1766"/>
  <c r="Q1767"/>
  <c r="Q1768"/>
  <c r="Q1769"/>
  <c r="Q1770"/>
  <c r="Q1771"/>
  <c r="Q1772"/>
  <c r="Q1773"/>
  <c r="Q1774"/>
  <c r="Q1775"/>
  <c r="Q1776"/>
  <c r="Q1777"/>
  <c r="Q1778"/>
  <c r="Q1779"/>
  <c r="Q1780"/>
  <c r="Q1781"/>
  <c r="Q1782"/>
  <c r="Q1783"/>
  <c r="Q1784"/>
  <c r="Q1785"/>
  <c r="Q1786"/>
  <c r="Q1787"/>
  <c r="Q1788"/>
  <c r="Q1789"/>
  <c r="Q1790"/>
  <c r="Q1791"/>
  <c r="Q1792"/>
  <c r="Q1793"/>
  <c r="Q1794"/>
  <c r="Q1795"/>
  <c r="Q1796"/>
  <c r="Q1797"/>
  <c r="Q1798"/>
  <c r="Q1799"/>
  <c r="Q1800"/>
  <c r="Q1801"/>
  <c r="Q1802"/>
  <c r="Q1803"/>
  <c r="Q1804"/>
  <c r="Q1805"/>
  <c r="Q1806"/>
  <c r="Q1807"/>
  <c r="Q1808"/>
  <c r="Q1809"/>
  <c r="Q1810"/>
  <c r="Q1811"/>
  <c r="Q1812"/>
  <c r="Q1813"/>
  <c r="Q1814"/>
  <c r="Q1815"/>
  <c r="Q1816"/>
  <c r="Q1817"/>
  <c r="Q1818"/>
  <c r="Q1819"/>
  <c r="Q1820"/>
  <c r="Q1821"/>
  <c r="Q1822"/>
  <c r="Q1823"/>
  <c r="Q1824"/>
  <c r="Q1825"/>
  <c r="Q1826"/>
  <c r="Q1827"/>
  <c r="Q1828"/>
  <c r="Q1829"/>
  <c r="Q1830"/>
  <c r="Q1831"/>
  <c r="Q1832"/>
  <c r="Q1833"/>
  <c r="Q1834"/>
  <c r="Q1835"/>
  <c r="Q1836"/>
  <c r="Q1837"/>
  <c r="Q1838"/>
  <c r="Q1839"/>
  <c r="Q1840"/>
  <c r="Q1841"/>
  <c r="Q1842"/>
  <c r="Q1843"/>
  <c r="Q1844"/>
  <c r="Q1845"/>
  <c r="Q1846"/>
  <c r="Q1847"/>
  <c r="Q1848"/>
  <c r="Q1849"/>
  <c r="Q1850"/>
  <c r="Q1851"/>
  <c r="Q1852"/>
  <c r="Q1853"/>
  <c r="Q1854"/>
  <c r="Q1855"/>
  <c r="Q1856"/>
  <c r="Q1857"/>
  <c r="Q1858"/>
  <c r="Q1859"/>
  <c r="Q1860"/>
  <c r="Q1861"/>
  <c r="Q1862"/>
  <c r="Q1863"/>
  <c r="Q1864"/>
  <c r="Q1865"/>
  <c r="Q1866"/>
  <c r="Q1867"/>
  <c r="Q1868"/>
  <c r="Q1869"/>
  <c r="Q1870"/>
  <c r="Q1871"/>
  <c r="Q1872"/>
  <c r="Q1873"/>
  <c r="Q1874"/>
  <c r="Q1875"/>
  <c r="Q1876"/>
  <c r="Q1877"/>
  <c r="Q1878"/>
  <c r="Q1879"/>
  <c r="Q1880"/>
  <c r="Q1881"/>
  <c r="Q1882"/>
  <c r="Q1883"/>
  <c r="Q1884"/>
  <c r="Q1885"/>
  <c r="Q1886"/>
  <c r="Q1887"/>
  <c r="Q1888"/>
  <c r="Q1889"/>
  <c r="Q1890"/>
  <c r="Q1891"/>
  <c r="Q1892"/>
  <c r="Q1893"/>
  <c r="Q1894"/>
  <c r="Q1895"/>
  <c r="Q1896"/>
  <c r="Q1897"/>
  <c r="Q1898"/>
  <c r="Q1899"/>
  <c r="Q1900"/>
  <c r="Q1901"/>
  <c r="Q1902"/>
  <c r="Q1903"/>
  <c r="Q1904"/>
  <c r="Q1905"/>
  <c r="Q1906"/>
  <c r="Q1907"/>
  <c r="Q1908"/>
  <c r="Q1909"/>
  <c r="Q1910"/>
  <c r="Q1911"/>
  <c r="Q1912"/>
  <c r="Q1913"/>
  <c r="Q1914"/>
  <c r="Q1915"/>
  <c r="Q1916"/>
  <c r="Q1917"/>
  <c r="Q1918"/>
  <c r="Q1919"/>
  <c r="Q1920"/>
  <c r="Q1921"/>
  <c r="Q1922"/>
  <c r="Q1923"/>
  <c r="Q1924"/>
  <c r="Q1925"/>
  <c r="Q1926"/>
  <c r="Q1927"/>
  <c r="Q1928"/>
  <c r="Q1929"/>
  <c r="Q1930"/>
  <c r="Q1931"/>
  <c r="Q1932"/>
  <c r="Q1933"/>
  <c r="Q1934"/>
  <c r="Q1935"/>
  <c r="Q1936"/>
  <c r="Q1937"/>
  <c r="Q1938"/>
  <c r="Q1939"/>
  <c r="Q1940"/>
  <c r="Q1941"/>
  <c r="Q1942"/>
  <c r="Q1943"/>
  <c r="Q1944"/>
  <c r="Q1945"/>
  <c r="Q1946"/>
  <c r="Q1947"/>
  <c r="Q1948"/>
  <c r="Q1949"/>
  <c r="Q1950"/>
  <c r="Q1951"/>
  <c r="Q1952"/>
  <c r="Q1953"/>
  <c r="Q1954"/>
  <c r="Q1955"/>
  <c r="Q1956"/>
  <c r="Q1957"/>
  <c r="Q1958"/>
  <c r="Q1959"/>
  <c r="Q1960"/>
  <c r="Q1961"/>
  <c r="Q1962"/>
  <c r="Q1963"/>
  <c r="Q1964"/>
  <c r="Q1965"/>
  <c r="Q1966"/>
  <c r="Q1967"/>
  <c r="Q1968"/>
  <c r="Q1969"/>
  <c r="Q1970"/>
  <c r="Q1971"/>
  <c r="Q1972"/>
  <c r="Q1973"/>
  <c r="Q1974"/>
  <c r="Q1975"/>
  <c r="Q1976"/>
  <c r="Q1977"/>
  <c r="Q1978"/>
  <c r="Q1979"/>
  <c r="Q1980"/>
  <c r="Q1981"/>
  <c r="Q1982"/>
  <c r="Q1983"/>
  <c r="Q1984"/>
  <c r="Q1985"/>
  <c r="Q1986"/>
  <c r="Q1987"/>
  <c r="Q1988"/>
  <c r="Q1989"/>
  <c r="Q1990"/>
  <c r="Q1991"/>
  <c r="Q1992"/>
  <c r="Q1993"/>
  <c r="Q1994"/>
  <c r="Q1995"/>
  <c r="Q1996"/>
  <c r="Q1997"/>
  <c r="Q1998"/>
  <c r="Q1999"/>
  <c r="Q2000"/>
  <c r="Q2001"/>
  <c r="Q2002"/>
  <c r="Q2003"/>
  <c r="Q2004"/>
  <c r="Q2005"/>
  <c r="Q2006"/>
  <c r="Q2007"/>
  <c r="Q2008"/>
  <c r="Q2009"/>
  <c r="Q2010"/>
  <c r="Q2011"/>
  <c r="Q2012"/>
  <c r="Q2013"/>
  <c r="Q2014"/>
  <c r="Q2015"/>
  <c r="Q2016"/>
  <c r="Q2017"/>
  <c r="Q2018"/>
  <c r="Q2019"/>
  <c r="Q2020"/>
  <c r="Q2021"/>
  <c r="Q2022"/>
  <c r="Q2023"/>
  <c r="Q2024"/>
  <c r="Q2025"/>
  <c r="Q2026"/>
  <c r="Q2027"/>
  <c r="Q2028"/>
  <c r="Q2029"/>
  <c r="Q2030"/>
  <c r="Q2031"/>
  <c r="Q2032"/>
  <c r="Q2033"/>
  <c r="Q2034"/>
  <c r="Q2035"/>
  <c r="Q2036"/>
  <c r="Q2037"/>
  <c r="Q2038"/>
  <c r="Q2039"/>
  <c r="Q2040"/>
  <c r="Q2041"/>
  <c r="Q2042"/>
  <c r="Q2043"/>
  <c r="Q2044"/>
  <c r="Q2045"/>
  <c r="Q2046"/>
  <c r="Q2047"/>
  <c r="Q2048"/>
  <c r="Q2049"/>
  <c r="Q2050"/>
  <c r="Q2051"/>
  <c r="Q2052"/>
  <c r="Q2053"/>
  <c r="Q2054"/>
  <c r="Q2055"/>
  <c r="Q2056"/>
  <c r="Q2057"/>
  <c r="Q2058"/>
  <c r="Q2059"/>
  <c r="Q2060"/>
  <c r="Q2061"/>
  <c r="Q2062"/>
  <c r="Q2063"/>
  <c r="Q2064"/>
  <c r="Q2065"/>
  <c r="Q2066"/>
  <c r="Q2067"/>
  <c r="Q2068"/>
  <c r="Q2069"/>
  <c r="Q2070"/>
  <c r="Q2071"/>
  <c r="Q2072"/>
  <c r="Q2073"/>
  <c r="Q2074"/>
  <c r="Q2075"/>
  <c r="Q2076"/>
  <c r="Q2077"/>
  <c r="Q2078"/>
  <c r="Q2079"/>
  <c r="Q2080"/>
  <c r="Q2081"/>
  <c r="Q2082"/>
  <c r="Q2083"/>
  <c r="Q2084"/>
  <c r="Q2085"/>
  <c r="Q2086"/>
  <c r="Q2087"/>
  <c r="Q2088"/>
  <c r="Q2089"/>
  <c r="Q2090"/>
  <c r="Q2091"/>
  <c r="Q2092"/>
  <c r="Q2093"/>
  <c r="Q2094"/>
  <c r="Q2095"/>
  <c r="Q2096"/>
  <c r="Q2097"/>
  <c r="Q2098"/>
  <c r="Q2099"/>
  <c r="Q2100"/>
  <c r="Q2101"/>
  <c r="Q2102"/>
  <c r="Q2103"/>
  <c r="Q2104"/>
  <c r="Q2105"/>
  <c r="Q2106"/>
  <c r="Q2107"/>
  <c r="Q2108"/>
  <c r="Q2109"/>
  <c r="Q2110"/>
  <c r="Q2111"/>
  <c r="Q2112"/>
  <c r="Q2113"/>
  <c r="Q2114"/>
  <c r="Q2115"/>
  <c r="Q2116"/>
  <c r="Q2117"/>
  <c r="Q2118"/>
  <c r="Q2119"/>
  <c r="Q2120"/>
  <c r="Q2121"/>
  <c r="Q2122"/>
  <c r="Q2123"/>
  <c r="Q2124"/>
  <c r="Q2125"/>
  <c r="Q2126"/>
  <c r="Q2127"/>
  <c r="Q2128"/>
  <c r="Q2129"/>
  <c r="Q2130"/>
  <c r="Q2131"/>
  <c r="Q2132"/>
  <c r="Q2133"/>
  <c r="Q2134"/>
  <c r="Q2135"/>
  <c r="Q2136"/>
  <c r="Q2137"/>
  <c r="Q2138"/>
  <c r="Q2139"/>
  <c r="Q2140"/>
  <c r="Q2141"/>
  <c r="Q2142"/>
  <c r="Q2143"/>
  <c r="Q2144"/>
  <c r="Q2145"/>
  <c r="Q2146"/>
  <c r="Q2147"/>
  <c r="Q2148"/>
  <c r="Q2149"/>
  <c r="Q2150"/>
  <c r="Q2151"/>
  <c r="Q2152"/>
  <c r="Q2153"/>
  <c r="Q2154"/>
  <c r="Q2155"/>
  <c r="Q2156"/>
  <c r="Q2157"/>
  <c r="Q2158"/>
  <c r="Q2159"/>
  <c r="Q2160"/>
  <c r="Q2161"/>
  <c r="Q2162"/>
  <c r="Q2163"/>
  <c r="Q2164"/>
  <c r="Q2165"/>
  <c r="Q2166"/>
  <c r="Q2167"/>
  <c r="Q2168"/>
  <c r="Q2169"/>
  <c r="Q2170"/>
  <c r="Q2171"/>
  <c r="Q2172"/>
  <c r="Q2173"/>
  <c r="Q2174"/>
  <c r="Q2175"/>
  <c r="Q2176"/>
  <c r="Q2177"/>
  <c r="Q2178"/>
  <c r="Q2179"/>
  <c r="Q2180"/>
  <c r="Q2181"/>
  <c r="Q2182"/>
  <c r="Q2183"/>
  <c r="Q2184"/>
  <c r="Q2185"/>
  <c r="Q2186"/>
  <c r="Q2187"/>
  <c r="Q2188"/>
  <c r="Q2189"/>
  <c r="Q2190"/>
  <c r="Q2191"/>
  <c r="Q2192"/>
  <c r="Q2193"/>
  <c r="Q2194"/>
  <c r="Q2195"/>
  <c r="Q2196"/>
  <c r="Q2197"/>
  <c r="Q2198"/>
  <c r="Q2199"/>
  <c r="Q2200"/>
  <c r="Q2201"/>
  <c r="Q2202"/>
  <c r="Q2203"/>
  <c r="Q2204"/>
  <c r="Q2205"/>
  <c r="Q2206"/>
  <c r="Q2207"/>
  <c r="Q2208"/>
  <c r="Q2209"/>
  <c r="Q2210"/>
  <c r="Q2211"/>
  <c r="Q2212"/>
  <c r="Q2213"/>
  <c r="Q2214"/>
  <c r="Q2215"/>
  <c r="Q2216"/>
  <c r="Q2217"/>
  <c r="Q2218"/>
  <c r="Q2219"/>
  <c r="Q2220"/>
  <c r="Q2221"/>
  <c r="Q2222"/>
  <c r="Q2223"/>
  <c r="Q2224"/>
  <c r="Q2225"/>
  <c r="Q2226"/>
  <c r="Q2227"/>
  <c r="Q2228"/>
  <c r="Q2229"/>
  <c r="Q2230"/>
  <c r="Q2231"/>
  <c r="Q2232"/>
  <c r="Q2233"/>
  <c r="Q2234"/>
  <c r="Q2235"/>
  <c r="Q2236"/>
  <c r="Q2237"/>
  <c r="Q2238"/>
  <c r="Q2239"/>
  <c r="Q2240"/>
  <c r="Q2241"/>
  <c r="Q2242"/>
  <c r="Q2243"/>
  <c r="Q2244"/>
  <c r="Q2245"/>
  <c r="Q2246"/>
  <c r="Q2247"/>
  <c r="Q2248"/>
  <c r="Q2249"/>
  <c r="Q2250"/>
  <c r="Q2251"/>
  <c r="Q2252"/>
  <c r="Q2253"/>
  <c r="Q2254"/>
  <c r="Q2255"/>
  <c r="Q2256"/>
  <c r="Q2257"/>
  <c r="Q2258"/>
  <c r="Q2259"/>
  <c r="Q2260"/>
  <c r="Q2261"/>
  <c r="Q2262"/>
  <c r="Q2263"/>
  <c r="Q2264"/>
  <c r="Q2265"/>
  <c r="Q2266"/>
  <c r="Q2267"/>
  <c r="Q2268"/>
  <c r="Q2269"/>
  <c r="Q2270"/>
  <c r="Q2271"/>
  <c r="Q2272"/>
  <c r="Q2273"/>
  <c r="Q2274"/>
  <c r="Q2275"/>
  <c r="Q2276"/>
  <c r="Q2277"/>
  <c r="Q2278"/>
  <c r="Q2279"/>
  <c r="Q2280"/>
  <c r="Q2281"/>
  <c r="Q2282"/>
  <c r="Q2283"/>
  <c r="Q2284"/>
  <c r="Q2285"/>
  <c r="Q2286"/>
  <c r="Q2287"/>
  <c r="Q2288"/>
  <c r="Q2289"/>
  <c r="Q2290"/>
  <c r="Q2291"/>
  <c r="Q2292"/>
  <c r="Q2293"/>
  <c r="Q2294"/>
  <c r="Q2295"/>
  <c r="Q2296"/>
  <c r="Q2297"/>
  <c r="Q2298"/>
  <c r="Q2299"/>
  <c r="Q2300"/>
  <c r="Q2301"/>
  <c r="Q2302"/>
  <c r="Q2303"/>
  <c r="Q2304"/>
  <c r="Q2305"/>
  <c r="Q2306"/>
  <c r="Q2307"/>
  <c r="Q2308"/>
  <c r="Q2309"/>
  <c r="Q2310"/>
  <c r="Q2311"/>
  <c r="Q2312"/>
  <c r="Q2313"/>
  <c r="Q2314"/>
  <c r="Q2315"/>
  <c r="Q2316"/>
  <c r="Q2317"/>
  <c r="Q2318"/>
  <c r="Q2319"/>
  <c r="Q2320"/>
  <c r="Q2321"/>
  <c r="Q2322"/>
  <c r="Q2323"/>
  <c r="Q2324"/>
  <c r="Q2325"/>
  <c r="Q2326"/>
  <c r="Q2327"/>
  <c r="Q2328"/>
  <c r="Q2329"/>
  <c r="Q2330"/>
  <c r="Q2331"/>
  <c r="Q2332"/>
  <c r="Q2333"/>
  <c r="Q2334"/>
  <c r="Q2335"/>
  <c r="Q2336"/>
  <c r="Q2337"/>
  <c r="Q2338"/>
  <c r="Q2339"/>
  <c r="Q2340"/>
  <c r="Q2341"/>
  <c r="Q2342"/>
  <c r="Q2343"/>
  <c r="Q2344"/>
  <c r="Q2345"/>
  <c r="Q2346"/>
  <c r="Q2347"/>
  <c r="Q2348"/>
  <c r="Q2349"/>
  <c r="Q2350"/>
  <c r="Q2351"/>
  <c r="Q2352"/>
  <c r="Q2353"/>
  <c r="Q2354"/>
  <c r="Q2355"/>
  <c r="Q2356"/>
  <c r="Q2357"/>
  <c r="Q2358"/>
  <c r="Q2359"/>
  <c r="Q2360"/>
  <c r="Q2361"/>
  <c r="Q2362"/>
  <c r="Q2363"/>
  <c r="Q2364"/>
  <c r="Q2365"/>
  <c r="Q2366"/>
  <c r="Q2367"/>
  <c r="Q2368"/>
  <c r="Q2369"/>
  <c r="Q2370"/>
  <c r="Q2371"/>
  <c r="Q2372"/>
  <c r="Q2373"/>
  <c r="Q2374"/>
  <c r="Q2375"/>
  <c r="Q2376"/>
  <c r="Q2377"/>
  <c r="Q2378"/>
  <c r="Q2379"/>
  <c r="Q2380"/>
  <c r="Q2381"/>
  <c r="Q2382"/>
  <c r="Q2383"/>
  <c r="Q2384"/>
  <c r="Q2385"/>
  <c r="Q2386"/>
  <c r="Q2387"/>
  <c r="Q2388"/>
  <c r="Q2389"/>
  <c r="Q2390"/>
  <c r="Q2391"/>
  <c r="Q2392"/>
  <c r="Q2393"/>
  <c r="Q2394"/>
  <c r="Q2395"/>
  <c r="Q2396"/>
  <c r="Q2397"/>
  <c r="Q2398"/>
  <c r="Q2399"/>
  <c r="Q2400"/>
  <c r="Q2401"/>
  <c r="Q2402"/>
  <c r="Q2403"/>
  <c r="Q2404"/>
  <c r="Q2405"/>
  <c r="Q2406"/>
  <c r="Q2407"/>
  <c r="Q2408"/>
  <c r="Q2409"/>
  <c r="Q2410"/>
  <c r="Q2411"/>
  <c r="Q2412"/>
  <c r="Q2413"/>
  <c r="Q2414"/>
  <c r="Q2415"/>
  <c r="Q2416"/>
  <c r="Q2417"/>
  <c r="Q2418"/>
  <c r="Q2419"/>
  <c r="Q2420"/>
  <c r="Q2421"/>
  <c r="Q2422"/>
  <c r="Q2423"/>
  <c r="Q2424"/>
  <c r="Q2425"/>
  <c r="Q2426"/>
  <c r="Q2427"/>
  <c r="Q2428"/>
  <c r="Q2429"/>
  <c r="Q2430"/>
  <c r="Q2431"/>
  <c r="Q2432"/>
  <c r="Q2433"/>
  <c r="Q2434"/>
  <c r="Q2435"/>
  <c r="Q2436"/>
  <c r="Q2437"/>
  <c r="Q2438"/>
  <c r="Q2439"/>
  <c r="Q2440"/>
  <c r="Q2441"/>
  <c r="Q2442"/>
  <c r="Q2443"/>
  <c r="Q2444"/>
  <c r="Q2445"/>
  <c r="Q2446"/>
  <c r="Q2447"/>
  <c r="Q2448"/>
  <c r="Q2449"/>
  <c r="Q2450"/>
  <c r="Q2451"/>
  <c r="Q2452"/>
  <c r="Q2453"/>
  <c r="Q2454"/>
  <c r="Q2455"/>
  <c r="Q2456"/>
  <c r="Q2457"/>
  <c r="Q2458"/>
  <c r="Q2459"/>
  <c r="Q2460"/>
  <c r="Q2461"/>
  <c r="Q2462"/>
  <c r="Q2463"/>
  <c r="Q2464"/>
  <c r="Q2465"/>
  <c r="Q2466"/>
  <c r="Q2467"/>
  <c r="Q2468"/>
  <c r="Q2469"/>
  <c r="Q2470"/>
  <c r="Q2471"/>
  <c r="Q2472"/>
  <c r="Q2473"/>
  <c r="Q2474"/>
  <c r="Q2475"/>
  <c r="Q2476"/>
  <c r="Q2477"/>
  <c r="Q2478"/>
  <c r="Q2479"/>
  <c r="Q2480"/>
  <c r="Q2481"/>
  <c r="Q2482"/>
  <c r="Q2483"/>
  <c r="Q2484"/>
  <c r="Q2485"/>
  <c r="Q2486"/>
  <c r="Q2487"/>
  <c r="Q2488"/>
  <c r="Q2489"/>
  <c r="Q2490"/>
  <c r="Q2491"/>
  <c r="Q2492"/>
  <c r="Q2493"/>
  <c r="Q2494"/>
  <c r="Q2495"/>
  <c r="Q2496"/>
  <c r="Q2497"/>
  <c r="Q2498"/>
  <c r="Q2499"/>
  <c r="Q2500"/>
  <c r="Q2501"/>
  <c r="Q2502"/>
  <c r="Q2503"/>
  <c r="Q2504"/>
  <c r="Q2505"/>
  <c r="Q2506"/>
  <c r="Q2507"/>
  <c r="Q2508"/>
  <c r="Q2509"/>
  <c r="Q2510"/>
  <c r="Q2511"/>
  <c r="Q2512"/>
  <c r="Q2513"/>
  <c r="Q2514"/>
  <c r="Q2515"/>
  <c r="Q2516"/>
  <c r="Q2517"/>
  <c r="Q2518"/>
  <c r="Q2519"/>
  <c r="Q2520"/>
  <c r="Q2521"/>
  <c r="Q2522"/>
  <c r="Q2523"/>
  <c r="Q2524"/>
  <c r="Q2525"/>
  <c r="Q2526"/>
  <c r="Q2527"/>
  <c r="Q2528"/>
  <c r="Q2529"/>
  <c r="Q2530"/>
  <c r="Q2531"/>
  <c r="Q2532"/>
  <c r="Q2533"/>
  <c r="Q2534"/>
  <c r="Q2535"/>
  <c r="Q2536"/>
  <c r="Q2537"/>
  <c r="Q2538"/>
  <c r="Q2539"/>
  <c r="Q2540"/>
  <c r="Q2541"/>
  <c r="Q2542"/>
  <c r="Q2543"/>
  <c r="Q2544"/>
  <c r="Q2545"/>
  <c r="Q2546"/>
  <c r="Q2547"/>
  <c r="Q2548"/>
  <c r="Q2549"/>
  <c r="Q2550"/>
  <c r="Q2551"/>
  <c r="Q2552"/>
  <c r="Q2553"/>
  <c r="Q2554"/>
  <c r="Q2555"/>
  <c r="Q2556"/>
  <c r="Q2557"/>
  <c r="Q2558"/>
  <c r="Q2559"/>
  <c r="Q2560"/>
  <c r="Q2561"/>
  <c r="Q2562"/>
  <c r="Q2563"/>
  <c r="Q2564"/>
  <c r="Q2565"/>
  <c r="Q2566"/>
  <c r="Q2567"/>
  <c r="Q2568"/>
  <c r="Q2569"/>
  <c r="Q2570"/>
  <c r="Q2571"/>
  <c r="Q2572"/>
  <c r="Q2573"/>
  <c r="Q2574"/>
  <c r="Q2575"/>
  <c r="Q2576"/>
  <c r="Q2577"/>
  <c r="Q2578"/>
  <c r="Q2579"/>
  <c r="Q2580"/>
  <c r="Q2581"/>
  <c r="Q2582"/>
  <c r="Q2583"/>
  <c r="Q2584"/>
  <c r="Q2585"/>
  <c r="Q2586"/>
  <c r="Q2587"/>
  <c r="Q2588"/>
  <c r="Q2589"/>
  <c r="Q2590"/>
  <c r="Q2591"/>
  <c r="Q2592"/>
  <c r="Q2593"/>
  <c r="Q2594"/>
  <c r="Q2595"/>
  <c r="Q2596"/>
  <c r="Q2597"/>
  <c r="Q2598"/>
  <c r="Q2599"/>
  <c r="Q2600"/>
  <c r="Q2601"/>
  <c r="Q2602"/>
  <c r="Q2603"/>
  <c r="Q2604"/>
  <c r="Q2605"/>
  <c r="Q2606"/>
  <c r="Q2607"/>
  <c r="Q2608"/>
  <c r="Q2609"/>
  <c r="Q2610"/>
  <c r="Q2611"/>
  <c r="Q2612"/>
  <c r="Q2613"/>
  <c r="Q2614"/>
  <c r="Q2615"/>
  <c r="Q2616"/>
  <c r="Q2617"/>
  <c r="Q2618"/>
  <c r="Q2619"/>
  <c r="Q2620"/>
  <c r="Q2621"/>
  <c r="Q2622"/>
  <c r="Q2623"/>
  <c r="Q2624"/>
  <c r="Q2625"/>
  <c r="Q2626"/>
  <c r="Q2627"/>
  <c r="Q2628"/>
  <c r="Q2629"/>
  <c r="Q2630"/>
  <c r="Q2631"/>
  <c r="Q2632"/>
  <c r="Q2633"/>
  <c r="Q2634"/>
  <c r="Q2635"/>
  <c r="Q2636"/>
  <c r="Q2637"/>
  <c r="Q2638"/>
  <c r="Q2639"/>
  <c r="Q2640"/>
  <c r="Q2641"/>
  <c r="Q2642"/>
  <c r="Q2643"/>
  <c r="Q2644"/>
  <c r="Q2645"/>
  <c r="Q2646"/>
  <c r="Q2647"/>
  <c r="Q2648"/>
  <c r="Q2649"/>
  <c r="Q2650"/>
  <c r="Q2651"/>
  <c r="Q2652"/>
  <c r="Q2653"/>
  <c r="Q2654"/>
  <c r="Q2655"/>
  <c r="Q2656"/>
  <c r="Q2657"/>
  <c r="Q2658"/>
  <c r="Q2659"/>
  <c r="Q2660"/>
  <c r="Q2661"/>
  <c r="Q2662"/>
  <c r="Q2663"/>
  <c r="Q2664"/>
  <c r="Q2665"/>
  <c r="Q2666"/>
  <c r="Q2667"/>
  <c r="Q2668"/>
  <c r="Q2669"/>
  <c r="Q2670"/>
  <c r="Q2671"/>
  <c r="Q2672"/>
  <c r="Q2673"/>
  <c r="Q2674"/>
  <c r="Q2675"/>
  <c r="Q2676"/>
  <c r="Q2677"/>
  <c r="Q2678"/>
  <c r="Q2679"/>
  <c r="Q2680"/>
  <c r="Q2681"/>
  <c r="Q2682"/>
  <c r="Q2683"/>
  <c r="Q2684"/>
  <c r="Q2685"/>
  <c r="Q2686"/>
  <c r="Q2687"/>
  <c r="Q2688"/>
  <c r="Q2689"/>
  <c r="Q2690"/>
  <c r="Q2691"/>
  <c r="Q2692"/>
  <c r="Q2693"/>
  <c r="Q2694"/>
  <c r="Q2695"/>
  <c r="Q2696"/>
  <c r="Q2697"/>
  <c r="Q2698"/>
  <c r="Q2699"/>
  <c r="Q2700"/>
  <c r="Q2701"/>
  <c r="Q2702"/>
  <c r="Q2703"/>
  <c r="Q2704"/>
  <c r="Q2705"/>
  <c r="Q2706"/>
  <c r="Q2707"/>
  <c r="Q2708"/>
  <c r="Q2709"/>
  <c r="Q2710"/>
  <c r="Q2711"/>
  <c r="Q2712"/>
  <c r="Q2713"/>
  <c r="Q2714"/>
  <c r="Q2715"/>
  <c r="Q2716"/>
  <c r="Q2717"/>
  <c r="Q2718"/>
  <c r="Q2719"/>
  <c r="Q2720"/>
  <c r="Q2721"/>
  <c r="Q2722"/>
  <c r="Q2723"/>
  <c r="Q2724"/>
  <c r="Q2725"/>
  <c r="Q2726"/>
  <c r="Q2727"/>
  <c r="Q2728"/>
  <c r="Q2729"/>
  <c r="Q2730"/>
  <c r="Q2731"/>
  <c r="Q2732"/>
  <c r="Q2733"/>
  <c r="Q2734"/>
  <c r="Q2735"/>
  <c r="Q2736"/>
  <c r="Q2737"/>
  <c r="Q2738"/>
  <c r="Q2739"/>
  <c r="Q2740"/>
  <c r="Q2741"/>
  <c r="Q2742"/>
  <c r="Q2743"/>
  <c r="Q2744"/>
  <c r="Q2745"/>
  <c r="Q2746"/>
  <c r="Q2747"/>
  <c r="Q2748"/>
  <c r="Q2749"/>
  <c r="Q2750"/>
  <c r="Q2751"/>
  <c r="Q2752"/>
  <c r="Q2753"/>
  <c r="Q2754"/>
  <c r="Q2755"/>
  <c r="Q2756"/>
  <c r="Q2757"/>
  <c r="Q2758"/>
  <c r="Q2759"/>
  <c r="Q2760"/>
  <c r="Q2761"/>
  <c r="Q2762"/>
  <c r="Q2763"/>
  <c r="Q2764"/>
  <c r="Q2765"/>
  <c r="Q2766"/>
  <c r="Q2767"/>
  <c r="Q2768"/>
  <c r="Q2769"/>
  <c r="Q2770"/>
  <c r="Q2771"/>
  <c r="Q2772"/>
  <c r="Q2773"/>
  <c r="Q2774"/>
  <c r="Q2775"/>
  <c r="Q2776"/>
  <c r="Q2777"/>
  <c r="Q2778"/>
  <c r="Q2779"/>
  <c r="Q2780"/>
  <c r="Q2781"/>
  <c r="Q2782"/>
  <c r="Q2783"/>
  <c r="Q2784"/>
  <c r="Q2785"/>
  <c r="Q2786"/>
  <c r="Q2787"/>
  <c r="Q2788"/>
  <c r="Q2789"/>
  <c r="Q2790"/>
  <c r="Q2791"/>
  <c r="Q2792"/>
  <c r="Q2793"/>
  <c r="Q2794"/>
  <c r="Q2795"/>
  <c r="Q2796"/>
  <c r="Q2797"/>
  <c r="Q2798"/>
  <c r="Q2799"/>
  <c r="Q2800"/>
  <c r="Q2801"/>
  <c r="Q2802"/>
  <c r="Q2803"/>
  <c r="Q2804"/>
  <c r="Q2805"/>
  <c r="Q2806"/>
  <c r="Q2807"/>
  <c r="Q2808"/>
  <c r="Q2809"/>
  <c r="Q2810"/>
  <c r="Q2811"/>
  <c r="Q2812"/>
  <c r="Q2813"/>
  <c r="Q2814"/>
  <c r="Q2815"/>
  <c r="Q2816"/>
  <c r="Q2817"/>
  <c r="Q2818"/>
  <c r="Q2819"/>
  <c r="Q2820"/>
  <c r="Q2821"/>
  <c r="Q2822"/>
  <c r="Q2823"/>
  <c r="Q2824"/>
  <c r="Q2825"/>
  <c r="Q2826"/>
  <c r="Q2827"/>
  <c r="Q2828"/>
  <c r="Q2829"/>
  <c r="Q2830"/>
  <c r="Q2831"/>
  <c r="Q2832"/>
  <c r="Q2833"/>
  <c r="Q2834"/>
  <c r="Q2835"/>
  <c r="Q2836"/>
  <c r="Q2837"/>
  <c r="Q2838"/>
  <c r="Q2839"/>
  <c r="Q2840"/>
  <c r="Q2841"/>
  <c r="Q2842"/>
  <c r="Q2843"/>
  <c r="Q2844"/>
  <c r="Q2845"/>
  <c r="Q2846"/>
  <c r="Q2847"/>
  <c r="Q2848"/>
  <c r="Q2849"/>
  <c r="Q2850"/>
  <c r="Q2851"/>
  <c r="Q2852"/>
  <c r="Q2853"/>
  <c r="Q2854"/>
  <c r="Q2855"/>
  <c r="Q2856"/>
  <c r="Q2857"/>
  <c r="Q2858"/>
  <c r="Q2859"/>
  <c r="Q2860"/>
  <c r="Q2861"/>
  <c r="Q2862"/>
  <c r="Q2863"/>
  <c r="Q2864"/>
  <c r="Q2865"/>
  <c r="Q2866"/>
  <c r="Q2867"/>
  <c r="Q2868"/>
  <c r="Q2869"/>
  <c r="Q2870"/>
  <c r="Q2871"/>
  <c r="Q2872"/>
  <c r="Q2873"/>
  <c r="Q2874"/>
  <c r="Q2875"/>
  <c r="Q2876"/>
  <c r="Q2877"/>
  <c r="Q2878"/>
  <c r="Q2879"/>
  <c r="Q2880"/>
  <c r="Q2881"/>
  <c r="Q2882"/>
  <c r="Q2883"/>
  <c r="Q2884"/>
  <c r="Q2885"/>
  <c r="Q2886"/>
  <c r="Q2887"/>
  <c r="Q2888"/>
  <c r="Q2889"/>
  <c r="Q2890"/>
  <c r="Q2891"/>
  <c r="Q2892"/>
  <c r="Q2893"/>
  <c r="Q2894"/>
  <c r="Q2895"/>
  <c r="Q2896"/>
  <c r="Q2897"/>
  <c r="Q2898"/>
  <c r="Q2899"/>
  <c r="Q2900"/>
  <c r="Q2901"/>
  <c r="Q2902"/>
  <c r="Q2903"/>
  <c r="Q2904"/>
  <c r="Q2905"/>
  <c r="Q2906"/>
  <c r="Q2907"/>
  <c r="Q2908"/>
  <c r="Q2909"/>
  <c r="Q2910"/>
  <c r="Q2911"/>
  <c r="Q2912"/>
  <c r="Q2913"/>
  <c r="Q2914"/>
  <c r="Q2915"/>
  <c r="Q2916"/>
  <c r="Q2917"/>
  <c r="Q2918"/>
  <c r="Q2919"/>
  <c r="Q2920"/>
  <c r="Q2921"/>
  <c r="Q2922"/>
  <c r="Q2923"/>
  <c r="Q2924"/>
  <c r="Q2925"/>
  <c r="Q2926"/>
  <c r="Q2927"/>
  <c r="Q2928"/>
  <c r="Q2929"/>
  <c r="Q2930"/>
  <c r="Q2931"/>
  <c r="Q2932"/>
  <c r="Q2933"/>
  <c r="Q2934"/>
  <c r="Q2935"/>
  <c r="Q2936"/>
  <c r="Q2937"/>
  <c r="Q2938"/>
  <c r="Q2939"/>
  <c r="Q2940"/>
  <c r="Q2941"/>
  <c r="Q2942"/>
  <c r="Q2943"/>
  <c r="Q2944"/>
  <c r="Q2945"/>
  <c r="Q2946"/>
  <c r="Q2947"/>
  <c r="Q2948"/>
  <c r="Q2949"/>
  <c r="Q2950"/>
  <c r="Q2951"/>
  <c r="Q2952"/>
  <c r="Q2953"/>
  <c r="Q2954"/>
  <c r="Q2955"/>
  <c r="Q2956"/>
  <c r="Q2957"/>
  <c r="Q2958"/>
  <c r="Q2959"/>
  <c r="Q2960"/>
  <c r="Q2961"/>
  <c r="Q2962"/>
  <c r="Q2963"/>
  <c r="Q2964"/>
  <c r="Q2965"/>
  <c r="Q2966"/>
  <c r="Q2967"/>
  <c r="Q2968"/>
  <c r="Q2969"/>
  <c r="Q2970"/>
  <c r="Q2971"/>
  <c r="Q2972"/>
  <c r="Q2973"/>
  <c r="Q2974"/>
  <c r="Q2975"/>
  <c r="Q2976"/>
  <c r="Q2977"/>
  <c r="Q2978"/>
  <c r="Q2979"/>
  <c r="Q2980"/>
  <c r="Q2981"/>
  <c r="Q2982"/>
  <c r="Q2983"/>
  <c r="Q2984"/>
  <c r="Q2985"/>
  <c r="Q2986"/>
  <c r="Q2987"/>
  <c r="Q2988"/>
  <c r="Q2989"/>
  <c r="Q2990"/>
  <c r="Q2991"/>
  <c r="Q2992"/>
  <c r="Q2993"/>
  <c r="Q2994"/>
  <c r="Q2995"/>
  <c r="Q2996"/>
  <c r="Q2997"/>
  <c r="Q2998"/>
  <c r="Q2999"/>
  <c r="Q3000"/>
  <c r="Q3001"/>
  <c r="Q3002"/>
  <c r="Q3003"/>
  <c r="Q3004"/>
  <c r="Q3005"/>
  <c r="Q3006"/>
  <c r="Q3007"/>
  <c r="Q3008"/>
  <c r="Q3009"/>
  <c r="Q3010"/>
  <c r="Q3011"/>
  <c r="Q3012"/>
  <c r="Q3013"/>
  <c r="Q3014"/>
  <c r="Q3015"/>
  <c r="Q3016"/>
  <c r="Q3017"/>
  <c r="Q3018"/>
  <c r="Q3019"/>
  <c r="Q3020"/>
  <c r="Q3021"/>
  <c r="Q3022"/>
  <c r="Q3023"/>
  <c r="Q3024"/>
  <c r="Q3025"/>
  <c r="Q3026"/>
  <c r="Q3027"/>
  <c r="Q3028"/>
  <c r="Q3029"/>
  <c r="Q3030"/>
  <c r="Q3031"/>
  <c r="Q3032"/>
  <c r="Q3033"/>
  <c r="Q3034"/>
  <c r="Q3035"/>
  <c r="Q3036"/>
  <c r="Q3037"/>
  <c r="Q3038"/>
  <c r="Q3039"/>
  <c r="Q3040"/>
  <c r="Q3041"/>
  <c r="Q3042"/>
  <c r="Q3043"/>
  <c r="Q3044"/>
  <c r="Q3045"/>
  <c r="Q3046"/>
  <c r="Q3047"/>
  <c r="Q3048"/>
  <c r="Q3049"/>
  <c r="Q3050"/>
  <c r="Q3051"/>
  <c r="Q3052"/>
  <c r="Q3053"/>
  <c r="Q3054"/>
  <c r="Q3055"/>
  <c r="Q3056"/>
  <c r="Q3057"/>
  <c r="Q3058"/>
  <c r="Q3059"/>
  <c r="Q3060"/>
  <c r="Q3061"/>
  <c r="Q3062"/>
  <c r="Q3063"/>
  <c r="Q3064"/>
  <c r="Q3065"/>
  <c r="Q3066"/>
  <c r="Q3067"/>
  <c r="Q3068"/>
  <c r="Q3069"/>
  <c r="Q3070"/>
  <c r="Q3071"/>
  <c r="Q3072"/>
  <c r="Q3073"/>
  <c r="Q3074"/>
  <c r="Q3075"/>
  <c r="Q3076"/>
  <c r="Q3077"/>
  <c r="Q3078"/>
  <c r="Q3079"/>
  <c r="Q3080"/>
  <c r="Q3081"/>
  <c r="Q3082"/>
  <c r="Q3083"/>
  <c r="Q3084"/>
  <c r="Q3085"/>
  <c r="Q3086"/>
  <c r="Q3087"/>
  <c r="Q3088"/>
  <c r="Q3089"/>
  <c r="Q3090"/>
  <c r="Q3091"/>
  <c r="Q3092"/>
  <c r="Q3093"/>
  <c r="Q3094"/>
  <c r="Q3095"/>
  <c r="Q3096"/>
  <c r="Q3097"/>
  <c r="Q3098"/>
  <c r="Q3099"/>
  <c r="Q3100"/>
  <c r="Q3101"/>
  <c r="Q3102"/>
  <c r="Q3103"/>
  <c r="Q3104"/>
  <c r="Q3105"/>
  <c r="Q3106"/>
  <c r="Q3107"/>
  <c r="Q3108"/>
  <c r="Q3109"/>
  <c r="Q3110"/>
  <c r="Q3111"/>
  <c r="Q3112"/>
  <c r="Q3113"/>
  <c r="Q3114"/>
  <c r="Q3115"/>
  <c r="Q3116"/>
  <c r="Q3117"/>
  <c r="Q3118"/>
  <c r="Q3119"/>
  <c r="Q3120"/>
  <c r="Q3121"/>
  <c r="Q3122"/>
  <c r="Q3123"/>
  <c r="Q3124"/>
  <c r="Q3125"/>
  <c r="Q3126"/>
  <c r="Q3127"/>
  <c r="Q3128"/>
  <c r="Q3129"/>
  <c r="Q3130"/>
  <c r="Q3131"/>
  <c r="Q3132"/>
  <c r="Q3133"/>
  <c r="Q3134"/>
  <c r="Q3135"/>
  <c r="Q3136"/>
  <c r="Q3137"/>
  <c r="Q3138"/>
  <c r="Q3139"/>
  <c r="Q3140"/>
  <c r="Q3141"/>
  <c r="Q3142"/>
  <c r="Q3143"/>
  <c r="Q3144"/>
  <c r="Q3145"/>
  <c r="Q3146"/>
  <c r="Q3147"/>
  <c r="Q3148"/>
  <c r="Q3149"/>
  <c r="Q3150"/>
  <c r="Q3151"/>
  <c r="Q3152"/>
  <c r="Q3153"/>
  <c r="Q3154"/>
  <c r="Q3155"/>
  <c r="Q3156"/>
  <c r="Q3157"/>
  <c r="Q3158"/>
  <c r="Q3159"/>
  <c r="Q3160"/>
  <c r="Q3161"/>
  <c r="Q3162"/>
  <c r="Q3163"/>
  <c r="Q3164"/>
  <c r="Q3165"/>
  <c r="Q3166"/>
  <c r="Q3167"/>
  <c r="Q3168"/>
  <c r="Q3169"/>
  <c r="Q3170"/>
  <c r="Q3171"/>
  <c r="Q3172"/>
  <c r="Q3173"/>
  <c r="Q3174"/>
  <c r="Q3175"/>
  <c r="Q3176"/>
  <c r="Q3177"/>
  <c r="Q3178"/>
  <c r="Q3179"/>
  <c r="Q3180"/>
  <c r="Q3181"/>
  <c r="Q3182"/>
  <c r="Q3183"/>
  <c r="Q3184"/>
  <c r="Q3185"/>
  <c r="Q3186"/>
  <c r="Q3187"/>
  <c r="Q3188"/>
  <c r="Q3189"/>
  <c r="Q3190"/>
  <c r="Q3191"/>
  <c r="Q3192"/>
  <c r="Q3193"/>
  <c r="Q3194"/>
  <c r="Q3195"/>
  <c r="Q3196"/>
  <c r="Q3197"/>
  <c r="Q3198"/>
  <c r="Q3199"/>
  <c r="Q3200"/>
  <c r="Q3201"/>
  <c r="Q3202"/>
  <c r="Q3203"/>
  <c r="Q3204"/>
  <c r="Q3205"/>
  <c r="Q3206"/>
  <c r="Q3207"/>
  <c r="Q3208"/>
  <c r="Q3209"/>
  <c r="Q3210"/>
  <c r="Q3211"/>
  <c r="Q3212"/>
  <c r="Q3213"/>
  <c r="Q3214"/>
  <c r="Q3215"/>
  <c r="Q3216"/>
  <c r="Q3217"/>
  <c r="Q3218"/>
  <c r="Q3219"/>
  <c r="Q3220"/>
  <c r="Q3221"/>
  <c r="Q3222"/>
  <c r="Q3223"/>
  <c r="Q3224"/>
  <c r="Q3225"/>
  <c r="Q3226"/>
  <c r="Q3227"/>
  <c r="Q3228"/>
  <c r="Q3229"/>
  <c r="Q3230"/>
  <c r="Q3231"/>
  <c r="Q3232"/>
  <c r="Q3233"/>
  <c r="Q3234"/>
  <c r="Q3235"/>
  <c r="Q3236"/>
  <c r="Q3237"/>
  <c r="Q3238"/>
  <c r="Q3239"/>
  <c r="Q3240"/>
  <c r="Q3241"/>
  <c r="Q3242"/>
  <c r="Q3243"/>
  <c r="Q3244"/>
  <c r="Q3245"/>
  <c r="Q3246"/>
  <c r="Q3247"/>
  <c r="Q3248"/>
  <c r="Q3249"/>
  <c r="Q3250"/>
  <c r="Q3251"/>
  <c r="Q3252"/>
  <c r="Q3253"/>
  <c r="Q3254"/>
  <c r="Q3255"/>
  <c r="Q3256"/>
  <c r="Q3257"/>
  <c r="Q3258"/>
  <c r="Q3259"/>
  <c r="Q3260"/>
  <c r="Q3261"/>
  <c r="Q3262"/>
  <c r="Q3263"/>
  <c r="Q3264"/>
  <c r="Q3265"/>
  <c r="Q3266"/>
  <c r="Q3267"/>
  <c r="Q3268"/>
  <c r="Q3269"/>
  <c r="Q3270"/>
  <c r="Q3271"/>
  <c r="Q3272"/>
  <c r="Q3273"/>
  <c r="Q3274"/>
  <c r="Q3275"/>
  <c r="Q3276"/>
  <c r="Q3277"/>
  <c r="Q3278"/>
  <c r="Q3279"/>
  <c r="Q3280"/>
  <c r="Q3281"/>
  <c r="Q3282"/>
  <c r="Q3283"/>
  <c r="Q3284"/>
  <c r="Q3285"/>
  <c r="Q3286"/>
  <c r="Q3287"/>
  <c r="Q3288"/>
  <c r="Q3289"/>
  <c r="Q3290"/>
  <c r="Q3291"/>
  <c r="Q3292"/>
  <c r="Q3293"/>
  <c r="Q3294"/>
  <c r="Q3295"/>
  <c r="Q3296"/>
  <c r="Q3297"/>
  <c r="Q3298"/>
  <c r="Q3299"/>
  <c r="Q3300"/>
  <c r="Q3301"/>
  <c r="Q3302"/>
  <c r="Q3303"/>
  <c r="Q3304"/>
  <c r="Q3305"/>
  <c r="Q3306"/>
  <c r="Q3307"/>
  <c r="Q3308"/>
  <c r="Q3309"/>
  <c r="Q3310"/>
  <c r="Q3311"/>
  <c r="Q3312"/>
  <c r="Q3313"/>
  <c r="Q3314"/>
  <c r="Q3315"/>
  <c r="Q3316"/>
  <c r="Q3317"/>
  <c r="Q3318"/>
  <c r="Q3319"/>
  <c r="Q3320"/>
  <c r="Q3321"/>
  <c r="Q3322"/>
  <c r="Q3323"/>
  <c r="Q3324"/>
  <c r="Q3325"/>
  <c r="Q3326"/>
  <c r="Q3327"/>
  <c r="Q3328"/>
  <c r="Q3329"/>
  <c r="Q3330"/>
  <c r="Q3331"/>
  <c r="Q3332"/>
  <c r="Q3333"/>
  <c r="Q3334"/>
  <c r="Q3335"/>
  <c r="Q3336"/>
  <c r="Q3337"/>
  <c r="Q3338"/>
  <c r="Q3339"/>
  <c r="Q3340"/>
  <c r="Q3341"/>
  <c r="Q3342"/>
  <c r="Q3343"/>
  <c r="Q3344"/>
  <c r="Q3345"/>
  <c r="Q3346"/>
  <c r="Q3347"/>
  <c r="Q3348"/>
  <c r="Q3349"/>
  <c r="Q3350"/>
  <c r="Q3351"/>
  <c r="Q3352"/>
  <c r="Q3353"/>
  <c r="Q3354"/>
  <c r="Q3355"/>
  <c r="Q3356"/>
  <c r="Q3357"/>
  <c r="Q3358"/>
  <c r="Q3359"/>
  <c r="Q3360"/>
  <c r="Q3361"/>
  <c r="Q3362"/>
  <c r="Q3363"/>
  <c r="Q3364"/>
  <c r="Q3365"/>
  <c r="Q3366"/>
  <c r="Q3367"/>
  <c r="Q3368"/>
  <c r="Q3369"/>
  <c r="Q3370"/>
  <c r="Q3371"/>
  <c r="Q3372"/>
  <c r="Q3373"/>
  <c r="Q3374"/>
  <c r="Q3375"/>
  <c r="Q3376"/>
  <c r="Q3377"/>
  <c r="Q3378"/>
  <c r="Q3379"/>
  <c r="Q3380"/>
  <c r="Q3381"/>
  <c r="Q3382"/>
  <c r="Q3383"/>
  <c r="Q3384"/>
  <c r="Q3385"/>
  <c r="Q3386"/>
  <c r="Q3387"/>
  <c r="Q3388"/>
  <c r="Q3389"/>
  <c r="Q3390"/>
  <c r="Q3391"/>
  <c r="Q3392"/>
  <c r="Q3393"/>
  <c r="Q3394"/>
  <c r="Q3395"/>
  <c r="Q3396"/>
  <c r="Q3397"/>
  <c r="Q3398"/>
  <c r="Q3399"/>
  <c r="Q3400"/>
  <c r="Q3401"/>
  <c r="Q3402"/>
  <c r="Q3403"/>
  <c r="Q3404"/>
  <c r="Q3405"/>
  <c r="Q3406"/>
  <c r="Q3407"/>
  <c r="Q3408"/>
  <c r="Q3409"/>
  <c r="Q3410"/>
  <c r="Q3411"/>
  <c r="Q3412"/>
  <c r="Q3413"/>
  <c r="Q3414"/>
  <c r="Q3415"/>
  <c r="Q3416"/>
  <c r="Q3417"/>
  <c r="Q3418"/>
  <c r="Q3419"/>
  <c r="Q3420"/>
  <c r="Q3421"/>
  <c r="Q3422"/>
  <c r="Q3423"/>
  <c r="Q3424"/>
  <c r="Q3425"/>
  <c r="Q3426"/>
  <c r="Q3427"/>
  <c r="Q3428"/>
  <c r="Q3429"/>
  <c r="Q3430"/>
  <c r="Q3431"/>
  <c r="Q3432"/>
  <c r="Q3433"/>
  <c r="Q3434"/>
  <c r="Q3435"/>
  <c r="Q3436"/>
  <c r="Q3437"/>
  <c r="Q3438"/>
  <c r="Q3439"/>
  <c r="Q3440"/>
  <c r="Q3441"/>
  <c r="Q3442"/>
  <c r="Q3443"/>
  <c r="Q3444"/>
  <c r="Q3445"/>
  <c r="Q3446"/>
  <c r="Q3447"/>
  <c r="Q3448"/>
  <c r="Q3449"/>
  <c r="Q3450"/>
  <c r="Q3451"/>
  <c r="Q3452"/>
  <c r="Q3453"/>
  <c r="Q3454"/>
  <c r="Q3455"/>
  <c r="Q3456"/>
  <c r="Q3457"/>
  <c r="Q3458"/>
  <c r="Q3459"/>
  <c r="Q3460"/>
  <c r="Q3461"/>
  <c r="Q3462"/>
  <c r="Q3463"/>
  <c r="Q3464"/>
  <c r="Q3465"/>
  <c r="Q3466"/>
  <c r="Q3467"/>
  <c r="Q3468"/>
  <c r="Q3469"/>
  <c r="Q3470"/>
  <c r="Q3471"/>
  <c r="Q3472"/>
  <c r="Q3473"/>
  <c r="Q3474"/>
  <c r="Q3475"/>
  <c r="Q3476"/>
  <c r="Q3477"/>
  <c r="Q3478"/>
  <c r="Q3479"/>
  <c r="Q3480"/>
  <c r="Q3481"/>
  <c r="Q3482"/>
  <c r="Q3483"/>
  <c r="Q3484"/>
  <c r="Q3485"/>
  <c r="Q3486"/>
  <c r="Q3487"/>
  <c r="Q3488"/>
  <c r="Q3489"/>
  <c r="Q3490"/>
  <c r="Q3491"/>
  <c r="Q3492"/>
  <c r="Q3493"/>
  <c r="Q3494"/>
  <c r="Q3495"/>
  <c r="Q3496"/>
  <c r="Q3497"/>
  <c r="Q3498"/>
  <c r="Q3499"/>
  <c r="Q3500"/>
  <c r="Q3501"/>
  <c r="Q3502"/>
  <c r="Q3503"/>
  <c r="Q3504"/>
  <c r="Q3505"/>
  <c r="Q3506"/>
  <c r="Q3507"/>
  <c r="Q3508"/>
  <c r="Q3509"/>
  <c r="Q3510"/>
  <c r="Q3511"/>
  <c r="Q3512"/>
  <c r="Q3513"/>
  <c r="Q3514"/>
  <c r="Q3515"/>
  <c r="Q3516"/>
  <c r="Q3517"/>
  <c r="Q3518"/>
  <c r="Q3519"/>
  <c r="Q3520"/>
  <c r="Q3521"/>
  <c r="Q3522"/>
  <c r="Q3523"/>
  <c r="Q3524"/>
  <c r="Q3525"/>
  <c r="Q3526"/>
  <c r="Q3527"/>
  <c r="Q3528"/>
  <c r="Q3529"/>
  <c r="Q3530"/>
  <c r="Q3531"/>
  <c r="Q3532"/>
  <c r="Q3533"/>
  <c r="Q3534"/>
  <c r="Q3535"/>
  <c r="Q3536"/>
  <c r="Q3537"/>
  <c r="Q3538"/>
  <c r="Q3539"/>
  <c r="Q3540"/>
  <c r="Q3541"/>
  <c r="Q3542"/>
  <c r="Q3543"/>
  <c r="Q3544"/>
  <c r="Q3545"/>
  <c r="Q3546"/>
  <c r="Q3547"/>
  <c r="Q3548"/>
  <c r="Q3549"/>
  <c r="Q3550"/>
  <c r="Q3551"/>
  <c r="Q3552"/>
  <c r="Q3553"/>
  <c r="Q3554"/>
  <c r="Q3555"/>
  <c r="Q3556"/>
  <c r="Q3557"/>
  <c r="Q3558"/>
  <c r="Q3559"/>
  <c r="Q3560"/>
  <c r="Q3561"/>
  <c r="Q3562"/>
  <c r="Q3563"/>
  <c r="Q3564"/>
  <c r="Q3565"/>
  <c r="Q3566"/>
  <c r="Q3567"/>
  <c r="Q3568"/>
  <c r="Q3569"/>
  <c r="Q3570"/>
  <c r="Q3571"/>
  <c r="Q3572"/>
  <c r="Q3573"/>
  <c r="Q3574"/>
  <c r="Q3575"/>
  <c r="Q3576"/>
  <c r="Q3577"/>
  <c r="Q3578"/>
  <c r="Q3579"/>
  <c r="Q3580"/>
  <c r="Q3581"/>
  <c r="Q3582"/>
  <c r="Q3583"/>
  <c r="Q3584"/>
  <c r="Q3585"/>
  <c r="Q3586"/>
  <c r="Q3587"/>
  <c r="Q3588"/>
  <c r="Q3589"/>
  <c r="Q3590"/>
  <c r="Q3591"/>
  <c r="Q3592"/>
  <c r="Q3593"/>
  <c r="Q3594"/>
  <c r="Q3595"/>
  <c r="Q3596"/>
  <c r="Q3597"/>
  <c r="Q3598"/>
  <c r="Q3599"/>
  <c r="Q3600"/>
  <c r="Q3601"/>
  <c r="Q3602"/>
  <c r="Q3603"/>
  <c r="Q3604"/>
  <c r="Q3605"/>
  <c r="Q3606"/>
  <c r="Q3607"/>
  <c r="Q3608"/>
  <c r="Q3609"/>
  <c r="Q3610"/>
  <c r="Q3611"/>
  <c r="Q3612"/>
  <c r="Q3613"/>
  <c r="Q3614"/>
  <c r="Q3615"/>
  <c r="Q3616"/>
  <c r="Q3617"/>
  <c r="Q3618"/>
  <c r="Q3619"/>
  <c r="Q3620"/>
  <c r="Q3621"/>
  <c r="Q3622"/>
  <c r="Q3623"/>
  <c r="Q3624"/>
  <c r="Q3625"/>
  <c r="Q3626"/>
  <c r="Q3627"/>
  <c r="Q3628"/>
  <c r="Q3629"/>
  <c r="Q3630"/>
  <c r="Q3631"/>
  <c r="Q3632"/>
  <c r="Q3633"/>
  <c r="Q3634"/>
  <c r="Q3635"/>
  <c r="Q3636"/>
  <c r="Q3637"/>
  <c r="Q3638"/>
  <c r="Q3639"/>
  <c r="Q3640"/>
  <c r="Q3641"/>
  <c r="Q3642"/>
  <c r="Q3643"/>
  <c r="Q3644"/>
  <c r="Q3645"/>
  <c r="Q3646"/>
  <c r="Q3647"/>
  <c r="Q3648"/>
  <c r="Q3649"/>
  <c r="Q3650"/>
  <c r="Q3651"/>
  <c r="Q3652"/>
  <c r="Q3653"/>
  <c r="Q3654"/>
  <c r="Q3655"/>
  <c r="Q3656"/>
  <c r="Q3657"/>
  <c r="Q2"/>
  <c r="P3"/>
  <c r="R3" s="1"/>
  <c r="P4"/>
  <c r="R4" s="1"/>
  <c r="P5"/>
  <c r="R5" s="1"/>
  <c r="P6"/>
  <c r="R6" s="1"/>
  <c r="P7"/>
  <c r="R7" s="1"/>
  <c r="P8"/>
  <c r="R8" s="1"/>
  <c r="P9"/>
  <c r="R9" s="1"/>
  <c r="P10"/>
  <c r="R10" s="1"/>
  <c r="P11"/>
  <c r="R11" s="1"/>
  <c r="P12"/>
  <c r="R12" s="1"/>
  <c r="P13"/>
  <c r="R13" s="1"/>
  <c r="P14"/>
  <c r="R14" s="1"/>
  <c r="P15"/>
  <c r="R15" s="1"/>
  <c r="P16"/>
  <c r="R16" s="1"/>
  <c r="P17"/>
  <c r="R17" s="1"/>
  <c r="P18"/>
  <c r="R18" s="1"/>
  <c r="P19"/>
  <c r="R19" s="1"/>
  <c r="P20"/>
  <c r="R20" s="1"/>
  <c r="P21"/>
  <c r="R21" s="1"/>
  <c r="P22"/>
  <c r="R22" s="1"/>
  <c r="P23"/>
  <c r="R23" s="1"/>
  <c r="P24"/>
  <c r="R24" s="1"/>
  <c r="P25"/>
  <c r="R25" s="1"/>
  <c r="P26"/>
  <c r="R26" s="1"/>
  <c r="P27"/>
  <c r="R27" s="1"/>
  <c r="P28"/>
  <c r="R28" s="1"/>
  <c r="P29"/>
  <c r="R29" s="1"/>
  <c r="P30"/>
  <c r="R30" s="1"/>
  <c r="P31"/>
  <c r="R31" s="1"/>
  <c r="P32"/>
  <c r="R32" s="1"/>
  <c r="P33"/>
  <c r="R33" s="1"/>
  <c r="P34"/>
  <c r="R34" s="1"/>
  <c r="P35"/>
  <c r="R35" s="1"/>
  <c r="P36"/>
  <c r="R36" s="1"/>
  <c r="P37"/>
  <c r="R37" s="1"/>
  <c r="P38"/>
  <c r="R38" s="1"/>
  <c r="P39"/>
  <c r="R39" s="1"/>
  <c r="P40"/>
  <c r="R40" s="1"/>
  <c r="P41"/>
  <c r="R41" s="1"/>
  <c r="P42"/>
  <c r="R42" s="1"/>
  <c r="P43"/>
  <c r="R43" s="1"/>
  <c r="P44"/>
  <c r="R44" s="1"/>
  <c r="P45"/>
  <c r="R45" s="1"/>
  <c r="P46"/>
  <c r="R46" s="1"/>
  <c r="P47"/>
  <c r="R47" s="1"/>
  <c r="P48"/>
  <c r="R48" s="1"/>
  <c r="P49"/>
  <c r="R49" s="1"/>
  <c r="P50"/>
  <c r="R50" s="1"/>
  <c r="P51"/>
  <c r="R51" s="1"/>
  <c r="P52"/>
  <c r="R52" s="1"/>
  <c r="P53"/>
  <c r="R53" s="1"/>
  <c r="P54"/>
  <c r="R54" s="1"/>
  <c r="P55"/>
  <c r="R55" s="1"/>
  <c r="P56"/>
  <c r="R56" s="1"/>
  <c r="P57"/>
  <c r="R57" s="1"/>
  <c r="P58"/>
  <c r="R58" s="1"/>
  <c r="P59"/>
  <c r="R59" s="1"/>
  <c r="P60"/>
  <c r="R60" s="1"/>
  <c r="P61"/>
  <c r="R61" s="1"/>
  <c r="P62"/>
  <c r="R62" s="1"/>
  <c r="P63"/>
  <c r="R63" s="1"/>
  <c r="P64"/>
  <c r="R64" s="1"/>
  <c r="P65"/>
  <c r="R65" s="1"/>
  <c r="P66"/>
  <c r="R66" s="1"/>
  <c r="P67"/>
  <c r="R67" s="1"/>
  <c r="P68"/>
  <c r="R68" s="1"/>
  <c r="P69"/>
  <c r="R69" s="1"/>
  <c r="P70"/>
  <c r="R70" s="1"/>
  <c r="P71"/>
  <c r="R71" s="1"/>
  <c r="P72"/>
  <c r="R72" s="1"/>
  <c r="P73"/>
  <c r="R73" s="1"/>
  <c r="P74"/>
  <c r="R74" s="1"/>
  <c r="P75"/>
  <c r="R75" s="1"/>
  <c r="P76"/>
  <c r="R76" s="1"/>
  <c r="P77"/>
  <c r="R77" s="1"/>
  <c r="P78"/>
  <c r="R78" s="1"/>
  <c r="P79"/>
  <c r="R79" s="1"/>
  <c r="P80"/>
  <c r="R80" s="1"/>
  <c r="P81"/>
  <c r="R81" s="1"/>
  <c r="P82"/>
  <c r="R82" s="1"/>
  <c r="P83"/>
  <c r="R83" s="1"/>
  <c r="P84"/>
  <c r="R84" s="1"/>
  <c r="P85"/>
  <c r="R85" s="1"/>
  <c r="P86"/>
  <c r="R86" s="1"/>
  <c r="P87"/>
  <c r="R87" s="1"/>
  <c r="P88"/>
  <c r="R88" s="1"/>
  <c r="P89"/>
  <c r="R89" s="1"/>
  <c r="P90"/>
  <c r="R90" s="1"/>
  <c r="P91"/>
  <c r="R91" s="1"/>
  <c r="P92"/>
  <c r="R92" s="1"/>
  <c r="P93"/>
  <c r="R93" s="1"/>
  <c r="P94"/>
  <c r="R94" s="1"/>
  <c r="P95"/>
  <c r="R95" s="1"/>
  <c r="P96"/>
  <c r="R96" s="1"/>
  <c r="P97"/>
  <c r="R97" s="1"/>
  <c r="P98"/>
  <c r="R98" s="1"/>
  <c r="P99"/>
  <c r="R99" s="1"/>
  <c r="P100"/>
  <c r="R100" s="1"/>
  <c r="P101"/>
  <c r="R101" s="1"/>
  <c r="P102"/>
  <c r="R102" s="1"/>
  <c r="P103"/>
  <c r="R103" s="1"/>
  <c r="P104"/>
  <c r="R104" s="1"/>
  <c r="P105"/>
  <c r="R105" s="1"/>
  <c r="P106"/>
  <c r="R106" s="1"/>
  <c r="P107"/>
  <c r="R107" s="1"/>
  <c r="P108"/>
  <c r="R108" s="1"/>
  <c r="P109"/>
  <c r="R109" s="1"/>
  <c r="P110"/>
  <c r="R110" s="1"/>
  <c r="P111"/>
  <c r="R111" s="1"/>
  <c r="P112"/>
  <c r="R112" s="1"/>
  <c r="P113"/>
  <c r="R113" s="1"/>
  <c r="P114"/>
  <c r="R114" s="1"/>
  <c r="P115"/>
  <c r="R115" s="1"/>
  <c r="P116"/>
  <c r="R116" s="1"/>
  <c r="P117"/>
  <c r="R117" s="1"/>
  <c r="P118"/>
  <c r="R118" s="1"/>
  <c r="P119"/>
  <c r="R119" s="1"/>
  <c r="P120"/>
  <c r="R120" s="1"/>
  <c r="P121"/>
  <c r="R121" s="1"/>
  <c r="P122"/>
  <c r="R122" s="1"/>
  <c r="P123"/>
  <c r="R123" s="1"/>
  <c r="P124"/>
  <c r="R124" s="1"/>
  <c r="P125"/>
  <c r="R125" s="1"/>
  <c r="P126"/>
  <c r="R126" s="1"/>
  <c r="P127"/>
  <c r="R127" s="1"/>
  <c r="P128"/>
  <c r="R128" s="1"/>
  <c r="P129"/>
  <c r="R129" s="1"/>
  <c r="P130"/>
  <c r="R130" s="1"/>
  <c r="P131"/>
  <c r="R131" s="1"/>
  <c r="P132"/>
  <c r="R132" s="1"/>
  <c r="P133"/>
  <c r="R133" s="1"/>
  <c r="P134"/>
  <c r="R134" s="1"/>
  <c r="P135"/>
  <c r="R135" s="1"/>
  <c r="P136"/>
  <c r="R136" s="1"/>
  <c r="P137"/>
  <c r="R137" s="1"/>
  <c r="P138"/>
  <c r="R138" s="1"/>
  <c r="P139"/>
  <c r="R139" s="1"/>
  <c r="P140"/>
  <c r="R140" s="1"/>
  <c r="P141"/>
  <c r="R141" s="1"/>
  <c r="P142"/>
  <c r="R142" s="1"/>
  <c r="P143"/>
  <c r="R143" s="1"/>
  <c r="P144"/>
  <c r="R144" s="1"/>
  <c r="P145"/>
  <c r="R145" s="1"/>
  <c r="P146"/>
  <c r="R146" s="1"/>
  <c r="P147"/>
  <c r="R147" s="1"/>
  <c r="P148"/>
  <c r="R148" s="1"/>
  <c r="P149"/>
  <c r="R149" s="1"/>
  <c r="P150"/>
  <c r="R150" s="1"/>
  <c r="P151"/>
  <c r="R151" s="1"/>
  <c r="P152"/>
  <c r="R152" s="1"/>
  <c r="P153"/>
  <c r="R153" s="1"/>
  <c r="P154"/>
  <c r="R154" s="1"/>
  <c r="P155"/>
  <c r="R155" s="1"/>
  <c r="P156"/>
  <c r="R156" s="1"/>
  <c r="P157"/>
  <c r="R157" s="1"/>
  <c r="P158"/>
  <c r="R158" s="1"/>
  <c r="P159"/>
  <c r="R159" s="1"/>
  <c r="P160"/>
  <c r="R160" s="1"/>
  <c r="P161"/>
  <c r="R161" s="1"/>
  <c r="P162"/>
  <c r="R162" s="1"/>
  <c r="P163"/>
  <c r="R163" s="1"/>
  <c r="P164"/>
  <c r="R164" s="1"/>
  <c r="P165"/>
  <c r="R165" s="1"/>
  <c r="P166"/>
  <c r="R166" s="1"/>
  <c r="P167"/>
  <c r="R167" s="1"/>
  <c r="P168"/>
  <c r="R168" s="1"/>
  <c r="P169"/>
  <c r="R169" s="1"/>
  <c r="P170"/>
  <c r="R170" s="1"/>
  <c r="P171"/>
  <c r="R171" s="1"/>
  <c r="P172"/>
  <c r="R172" s="1"/>
  <c r="P173"/>
  <c r="R173" s="1"/>
  <c r="P174"/>
  <c r="R174" s="1"/>
  <c r="P175"/>
  <c r="R175" s="1"/>
  <c r="P176"/>
  <c r="R176" s="1"/>
  <c r="P177"/>
  <c r="R177" s="1"/>
  <c r="P178"/>
  <c r="R178" s="1"/>
  <c r="P179"/>
  <c r="R179" s="1"/>
  <c r="P180"/>
  <c r="R180" s="1"/>
  <c r="P181"/>
  <c r="R181" s="1"/>
  <c r="P182"/>
  <c r="R182" s="1"/>
  <c r="P183"/>
  <c r="R183" s="1"/>
  <c r="P184"/>
  <c r="R184" s="1"/>
  <c r="P185"/>
  <c r="R185" s="1"/>
  <c r="P186"/>
  <c r="R186" s="1"/>
  <c r="P187"/>
  <c r="R187" s="1"/>
  <c r="P188"/>
  <c r="R188" s="1"/>
  <c r="P189"/>
  <c r="R189" s="1"/>
  <c r="P190"/>
  <c r="R190" s="1"/>
  <c r="P191"/>
  <c r="R191" s="1"/>
  <c r="P192"/>
  <c r="R192" s="1"/>
  <c r="P193"/>
  <c r="R193" s="1"/>
  <c r="P194"/>
  <c r="R194" s="1"/>
  <c r="P195"/>
  <c r="R195" s="1"/>
  <c r="P196"/>
  <c r="R196" s="1"/>
  <c r="P197"/>
  <c r="R197" s="1"/>
  <c r="P198"/>
  <c r="R198" s="1"/>
  <c r="P199"/>
  <c r="R199" s="1"/>
  <c r="P200"/>
  <c r="R200" s="1"/>
  <c r="P201"/>
  <c r="R201" s="1"/>
  <c r="P202"/>
  <c r="R202" s="1"/>
  <c r="P203"/>
  <c r="R203" s="1"/>
  <c r="P204"/>
  <c r="R204" s="1"/>
  <c r="P205"/>
  <c r="R205" s="1"/>
  <c r="P206"/>
  <c r="R206" s="1"/>
  <c r="P207"/>
  <c r="R207" s="1"/>
  <c r="P208"/>
  <c r="R208" s="1"/>
  <c r="P209"/>
  <c r="R209" s="1"/>
  <c r="P210"/>
  <c r="R210" s="1"/>
  <c r="P211"/>
  <c r="R211" s="1"/>
  <c r="P212"/>
  <c r="R212" s="1"/>
  <c r="P213"/>
  <c r="R213" s="1"/>
  <c r="P214"/>
  <c r="R214" s="1"/>
  <c r="P215"/>
  <c r="R215" s="1"/>
  <c r="P216"/>
  <c r="R216" s="1"/>
  <c r="P217"/>
  <c r="R217" s="1"/>
  <c r="P218"/>
  <c r="R218" s="1"/>
  <c r="P219"/>
  <c r="R219" s="1"/>
  <c r="P220"/>
  <c r="R220" s="1"/>
  <c r="P221"/>
  <c r="R221" s="1"/>
  <c r="P222"/>
  <c r="R222" s="1"/>
  <c r="P223"/>
  <c r="R223" s="1"/>
  <c r="P224"/>
  <c r="R224" s="1"/>
  <c r="P225"/>
  <c r="R225" s="1"/>
  <c r="P226"/>
  <c r="R226" s="1"/>
  <c r="P227"/>
  <c r="R227" s="1"/>
  <c r="P228"/>
  <c r="R228" s="1"/>
  <c r="P229"/>
  <c r="R229" s="1"/>
  <c r="P230"/>
  <c r="R230" s="1"/>
  <c r="P231"/>
  <c r="R231" s="1"/>
  <c r="P232"/>
  <c r="R232" s="1"/>
  <c r="P233"/>
  <c r="R233" s="1"/>
  <c r="P234"/>
  <c r="R234" s="1"/>
  <c r="P235"/>
  <c r="R235" s="1"/>
  <c r="P236"/>
  <c r="R236" s="1"/>
  <c r="P237"/>
  <c r="R237" s="1"/>
  <c r="P238"/>
  <c r="R238" s="1"/>
  <c r="P239"/>
  <c r="R239" s="1"/>
  <c r="P240"/>
  <c r="R240" s="1"/>
  <c r="P241"/>
  <c r="R241" s="1"/>
  <c r="P242"/>
  <c r="R242" s="1"/>
  <c r="P243"/>
  <c r="R243" s="1"/>
  <c r="P244"/>
  <c r="R244" s="1"/>
  <c r="P245"/>
  <c r="R245" s="1"/>
  <c r="P246"/>
  <c r="R246" s="1"/>
  <c r="P247"/>
  <c r="R247" s="1"/>
  <c r="P248"/>
  <c r="R248" s="1"/>
  <c r="P249"/>
  <c r="R249" s="1"/>
  <c r="P250"/>
  <c r="R250" s="1"/>
  <c r="P251"/>
  <c r="R251" s="1"/>
  <c r="P252"/>
  <c r="R252" s="1"/>
  <c r="P253"/>
  <c r="R253" s="1"/>
  <c r="P254"/>
  <c r="R254" s="1"/>
  <c r="P255"/>
  <c r="R255" s="1"/>
  <c r="P256"/>
  <c r="R256" s="1"/>
  <c r="P257"/>
  <c r="R257" s="1"/>
  <c r="P258"/>
  <c r="R258" s="1"/>
  <c r="P259"/>
  <c r="R259" s="1"/>
  <c r="P260"/>
  <c r="R260" s="1"/>
  <c r="P261"/>
  <c r="R261" s="1"/>
  <c r="P262"/>
  <c r="R262" s="1"/>
  <c r="P263"/>
  <c r="R263" s="1"/>
  <c r="P264"/>
  <c r="R264" s="1"/>
  <c r="P265"/>
  <c r="R265" s="1"/>
  <c r="P266"/>
  <c r="R266" s="1"/>
  <c r="P267"/>
  <c r="R267" s="1"/>
  <c r="P268"/>
  <c r="R268" s="1"/>
  <c r="P269"/>
  <c r="R269" s="1"/>
  <c r="P270"/>
  <c r="R270" s="1"/>
  <c r="P271"/>
  <c r="R271" s="1"/>
  <c r="P272"/>
  <c r="R272" s="1"/>
  <c r="P273"/>
  <c r="R273" s="1"/>
  <c r="P274"/>
  <c r="R274" s="1"/>
  <c r="P275"/>
  <c r="R275" s="1"/>
  <c r="P276"/>
  <c r="R276" s="1"/>
  <c r="P277"/>
  <c r="R277" s="1"/>
  <c r="P278"/>
  <c r="R278" s="1"/>
  <c r="P279"/>
  <c r="R279" s="1"/>
  <c r="P280"/>
  <c r="R280" s="1"/>
  <c r="P281"/>
  <c r="R281" s="1"/>
  <c r="P282"/>
  <c r="R282" s="1"/>
  <c r="P283"/>
  <c r="R283" s="1"/>
  <c r="P284"/>
  <c r="R284" s="1"/>
  <c r="P285"/>
  <c r="R285" s="1"/>
  <c r="P286"/>
  <c r="R286" s="1"/>
  <c r="P287"/>
  <c r="R287" s="1"/>
  <c r="P288"/>
  <c r="R288" s="1"/>
  <c r="P289"/>
  <c r="R289" s="1"/>
  <c r="P290"/>
  <c r="R290" s="1"/>
  <c r="P291"/>
  <c r="R291" s="1"/>
  <c r="P292"/>
  <c r="R292" s="1"/>
  <c r="P293"/>
  <c r="R293" s="1"/>
  <c r="P294"/>
  <c r="R294" s="1"/>
  <c r="P295"/>
  <c r="R295" s="1"/>
  <c r="P296"/>
  <c r="R296" s="1"/>
  <c r="P297"/>
  <c r="R297" s="1"/>
  <c r="P298"/>
  <c r="R298" s="1"/>
  <c r="P299"/>
  <c r="R299" s="1"/>
  <c r="P300"/>
  <c r="R300" s="1"/>
  <c r="P301"/>
  <c r="R301" s="1"/>
  <c r="P302"/>
  <c r="R302" s="1"/>
  <c r="P303"/>
  <c r="R303" s="1"/>
  <c r="P304"/>
  <c r="R304" s="1"/>
  <c r="P305"/>
  <c r="R305" s="1"/>
  <c r="P306"/>
  <c r="R306" s="1"/>
  <c r="P307"/>
  <c r="R307" s="1"/>
  <c r="P308"/>
  <c r="R308" s="1"/>
  <c r="P309"/>
  <c r="R309" s="1"/>
  <c r="P310"/>
  <c r="R310" s="1"/>
  <c r="P311"/>
  <c r="R311" s="1"/>
  <c r="P312"/>
  <c r="R312" s="1"/>
  <c r="P313"/>
  <c r="R313" s="1"/>
  <c r="P314"/>
  <c r="R314" s="1"/>
  <c r="P315"/>
  <c r="R315" s="1"/>
  <c r="P316"/>
  <c r="R316" s="1"/>
  <c r="P317"/>
  <c r="R317" s="1"/>
  <c r="P318"/>
  <c r="R318" s="1"/>
  <c r="P319"/>
  <c r="R319" s="1"/>
  <c r="P320"/>
  <c r="R320" s="1"/>
  <c r="P321"/>
  <c r="R321" s="1"/>
  <c r="P322"/>
  <c r="R322" s="1"/>
  <c r="P323"/>
  <c r="R323" s="1"/>
  <c r="P324"/>
  <c r="R324" s="1"/>
  <c r="P325"/>
  <c r="R325" s="1"/>
  <c r="P326"/>
  <c r="R326" s="1"/>
  <c r="P327"/>
  <c r="R327" s="1"/>
  <c r="P328"/>
  <c r="R328" s="1"/>
  <c r="P329"/>
  <c r="R329" s="1"/>
  <c r="P330"/>
  <c r="R330" s="1"/>
  <c r="P331"/>
  <c r="R331" s="1"/>
  <c r="P332"/>
  <c r="R332" s="1"/>
  <c r="P333"/>
  <c r="R333" s="1"/>
  <c r="P334"/>
  <c r="R334" s="1"/>
  <c r="P335"/>
  <c r="R335" s="1"/>
  <c r="P336"/>
  <c r="R336" s="1"/>
  <c r="P337"/>
  <c r="R337" s="1"/>
  <c r="P338"/>
  <c r="R338" s="1"/>
  <c r="P339"/>
  <c r="R339" s="1"/>
  <c r="P340"/>
  <c r="R340" s="1"/>
  <c r="P341"/>
  <c r="R341" s="1"/>
  <c r="P342"/>
  <c r="R342" s="1"/>
  <c r="P343"/>
  <c r="R343" s="1"/>
  <c r="P344"/>
  <c r="R344" s="1"/>
  <c r="P345"/>
  <c r="R345" s="1"/>
  <c r="P346"/>
  <c r="R346" s="1"/>
  <c r="P347"/>
  <c r="R347" s="1"/>
  <c r="P348"/>
  <c r="R348" s="1"/>
  <c r="P349"/>
  <c r="R349" s="1"/>
  <c r="P350"/>
  <c r="R350" s="1"/>
  <c r="P351"/>
  <c r="R351" s="1"/>
  <c r="P352"/>
  <c r="R352" s="1"/>
  <c r="P353"/>
  <c r="R353" s="1"/>
  <c r="P354"/>
  <c r="R354" s="1"/>
  <c r="P355"/>
  <c r="R355" s="1"/>
  <c r="P356"/>
  <c r="R356" s="1"/>
  <c r="P357"/>
  <c r="R357" s="1"/>
  <c r="P358"/>
  <c r="R358" s="1"/>
  <c r="P359"/>
  <c r="R359" s="1"/>
  <c r="P360"/>
  <c r="R360" s="1"/>
  <c r="P361"/>
  <c r="R361" s="1"/>
  <c r="P362"/>
  <c r="R362" s="1"/>
  <c r="P363"/>
  <c r="R363" s="1"/>
  <c r="P364"/>
  <c r="R364" s="1"/>
  <c r="P365"/>
  <c r="R365" s="1"/>
  <c r="P366"/>
  <c r="R366" s="1"/>
  <c r="P367"/>
  <c r="R367" s="1"/>
  <c r="P368"/>
  <c r="R368" s="1"/>
  <c r="P369"/>
  <c r="R369" s="1"/>
  <c r="P370"/>
  <c r="R370" s="1"/>
  <c r="P371"/>
  <c r="R371" s="1"/>
  <c r="P372"/>
  <c r="R372" s="1"/>
  <c r="P373"/>
  <c r="R373" s="1"/>
  <c r="P374"/>
  <c r="R374" s="1"/>
  <c r="P375"/>
  <c r="R375" s="1"/>
  <c r="P376"/>
  <c r="R376" s="1"/>
  <c r="P377"/>
  <c r="R377" s="1"/>
  <c r="P378"/>
  <c r="R378" s="1"/>
  <c r="P379"/>
  <c r="R379" s="1"/>
  <c r="P380"/>
  <c r="R380" s="1"/>
  <c r="P381"/>
  <c r="R381" s="1"/>
  <c r="P382"/>
  <c r="R382" s="1"/>
  <c r="P383"/>
  <c r="R383" s="1"/>
  <c r="P384"/>
  <c r="R384" s="1"/>
  <c r="P385"/>
  <c r="R385" s="1"/>
  <c r="P386"/>
  <c r="R386" s="1"/>
  <c r="P387"/>
  <c r="R387" s="1"/>
  <c r="P388"/>
  <c r="R388" s="1"/>
  <c r="P389"/>
  <c r="R389" s="1"/>
  <c r="P390"/>
  <c r="R390" s="1"/>
  <c r="P391"/>
  <c r="R391" s="1"/>
  <c r="P392"/>
  <c r="R392" s="1"/>
  <c r="P393"/>
  <c r="R393" s="1"/>
  <c r="P394"/>
  <c r="R394" s="1"/>
  <c r="P395"/>
  <c r="R395" s="1"/>
  <c r="P396"/>
  <c r="R396" s="1"/>
  <c r="P397"/>
  <c r="R397" s="1"/>
  <c r="P398"/>
  <c r="R398" s="1"/>
  <c r="P399"/>
  <c r="R399" s="1"/>
  <c r="P400"/>
  <c r="R400" s="1"/>
  <c r="P401"/>
  <c r="R401" s="1"/>
  <c r="P402"/>
  <c r="R402" s="1"/>
  <c r="P403"/>
  <c r="R403" s="1"/>
  <c r="P404"/>
  <c r="R404" s="1"/>
  <c r="P405"/>
  <c r="R405" s="1"/>
  <c r="P406"/>
  <c r="R406" s="1"/>
  <c r="P407"/>
  <c r="R407" s="1"/>
  <c r="P408"/>
  <c r="R408" s="1"/>
  <c r="P409"/>
  <c r="R409" s="1"/>
  <c r="P410"/>
  <c r="R410" s="1"/>
  <c r="P411"/>
  <c r="R411" s="1"/>
  <c r="P412"/>
  <c r="R412" s="1"/>
  <c r="P413"/>
  <c r="R413" s="1"/>
  <c r="P414"/>
  <c r="R414" s="1"/>
  <c r="P415"/>
  <c r="R415" s="1"/>
  <c r="P416"/>
  <c r="R416" s="1"/>
  <c r="P417"/>
  <c r="R417" s="1"/>
  <c r="P418"/>
  <c r="R418" s="1"/>
  <c r="P419"/>
  <c r="R419" s="1"/>
  <c r="P420"/>
  <c r="R420" s="1"/>
  <c r="P421"/>
  <c r="R421" s="1"/>
  <c r="P422"/>
  <c r="R422" s="1"/>
  <c r="P423"/>
  <c r="R423" s="1"/>
  <c r="P424"/>
  <c r="R424" s="1"/>
  <c r="P425"/>
  <c r="R425" s="1"/>
  <c r="P426"/>
  <c r="R426" s="1"/>
  <c r="P427"/>
  <c r="R427" s="1"/>
  <c r="P428"/>
  <c r="R428" s="1"/>
  <c r="P429"/>
  <c r="R429" s="1"/>
  <c r="P430"/>
  <c r="R430" s="1"/>
  <c r="P431"/>
  <c r="R431" s="1"/>
  <c r="P432"/>
  <c r="R432" s="1"/>
  <c r="P433"/>
  <c r="R433" s="1"/>
  <c r="P434"/>
  <c r="R434" s="1"/>
  <c r="P435"/>
  <c r="R435" s="1"/>
  <c r="P436"/>
  <c r="R436" s="1"/>
  <c r="P437"/>
  <c r="R437" s="1"/>
  <c r="P438"/>
  <c r="R438" s="1"/>
  <c r="P439"/>
  <c r="R439" s="1"/>
  <c r="P440"/>
  <c r="R440" s="1"/>
  <c r="P441"/>
  <c r="R441" s="1"/>
  <c r="P442"/>
  <c r="R442" s="1"/>
  <c r="P443"/>
  <c r="R443" s="1"/>
  <c r="P444"/>
  <c r="R444" s="1"/>
  <c r="P445"/>
  <c r="R445" s="1"/>
  <c r="P446"/>
  <c r="R446" s="1"/>
  <c r="P447"/>
  <c r="R447" s="1"/>
  <c r="P448"/>
  <c r="R448" s="1"/>
  <c r="P449"/>
  <c r="R449" s="1"/>
  <c r="P450"/>
  <c r="R450" s="1"/>
  <c r="P451"/>
  <c r="R451" s="1"/>
  <c r="P452"/>
  <c r="R452" s="1"/>
  <c r="P453"/>
  <c r="R453" s="1"/>
  <c r="P454"/>
  <c r="R454" s="1"/>
  <c r="P455"/>
  <c r="R455" s="1"/>
  <c r="P456"/>
  <c r="R456" s="1"/>
  <c r="P457"/>
  <c r="R457" s="1"/>
  <c r="P458"/>
  <c r="R458" s="1"/>
  <c r="P459"/>
  <c r="R459" s="1"/>
  <c r="P460"/>
  <c r="R460" s="1"/>
  <c r="P461"/>
  <c r="R461" s="1"/>
  <c r="P462"/>
  <c r="R462" s="1"/>
  <c r="P463"/>
  <c r="R463" s="1"/>
  <c r="P464"/>
  <c r="R464" s="1"/>
  <c r="P465"/>
  <c r="R465" s="1"/>
  <c r="P466"/>
  <c r="R466" s="1"/>
  <c r="P467"/>
  <c r="R467" s="1"/>
  <c r="P468"/>
  <c r="R468" s="1"/>
  <c r="P469"/>
  <c r="R469" s="1"/>
  <c r="P470"/>
  <c r="R470" s="1"/>
  <c r="P471"/>
  <c r="R471" s="1"/>
  <c r="P472"/>
  <c r="R472" s="1"/>
  <c r="P473"/>
  <c r="R473" s="1"/>
  <c r="P474"/>
  <c r="R474" s="1"/>
  <c r="P475"/>
  <c r="R475" s="1"/>
  <c r="P476"/>
  <c r="R476" s="1"/>
  <c r="P477"/>
  <c r="R477" s="1"/>
  <c r="P478"/>
  <c r="R478" s="1"/>
  <c r="P479"/>
  <c r="R479" s="1"/>
  <c r="P480"/>
  <c r="R480" s="1"/>
  <c r="P481"/>
  <c r="R481" s="1"/>
  <c r="P482"/>
  <c r="R482" s="1"/>
  <c r="P483"/>
  <c r="R483" s="1"/>
  <c r="P484"/>
  <c r="R484" s="1"/>
  <c r="P485"/>
  <c r="R485" s="1"/>
  <c r="P486"/>
  <c r="R486" s="1"/>
  <c r="P487"/>
  <c r="R487" s="1"/>
  <c r="P488"/>
  <c r="R488" s="1"/>
  <c r="P489"/>
  <c r="R489" s="1"/>
  <c r="P490"/>
  <c r="R490" s="1"/>
  <c r="P491"/>
  <c r="R491" s="1"/>
  <c r="P492"/>
  <c r="R492" s="1"/>
  <c r="P493"/>
  <c r="R493" s="1"/>
  <c r="P494"/>
  <c r="R494" s="1"/>
  <c r="P495"/>
  <c r="R495" s="1"/>
  <c r="P496"/>
  <c r="R496" s="1"/>
  <c r="P497"/>
  <c r="R497" s="1"/>
  <c r="P498"/>
  <c r="R498" s="1"/>
  <c r="P499"/>
  <c r="R499" s="1"/>
  <c r="P500"/>
  <c r="R500" s="1"/>
  <c r="P501"/>
  <c r="R501" s="1"/>
  <c r="P502"/>
  <c r="R502" s="1"/>
  <c r="P503"/>
  <c r="R503" s="1"/>
  <c r="P504"/>
  <c r="R504" s="1"/>
  <c r="P505"/>
  <c r="R505" s="1"/>
  <c r="P506"/>
  <c r="R506" s="1"/>
  <c r="P507"/>
  <c r="R507" s="1"/>
  <c r="P508"/>
  <c r="R508" s="1"/>
  <c r="P509"/>
  <c r="R509" s="1"/>
  <c r="P510"/>
  <c r="R510" s="1"/>
  <c r="P511"/>
  <c r="R511" s="1"/>
  <c r="P512"/>
  <c r="R512" s="1"/>
  <c r="P513"/>
  <c r="R513" s="1"/>
  <c r="P514"/>
  <c r="R514" s="1"/>
  <c r="P515"/>
  <c r="R515" s="1"/>
  <c r="P516"/>
  <c r="R516" s="1"/>
  <c r="P517"/>
  <c r="R517" s="1"/>
  <c r="P518"/>
  <c r="R518" s="1"/>
  <c r="P519"/>
  <c r="R519" s="1"/>
  <c r="P520"/>
  <c r="R520" s="1"/>
  <c r="P521"/>
  <c r="R521" s="1"/>
  <c r="P522"/>
  <c r="R522" s="1"/>
  <c r="P523"/>
  <c r="R523" s="1"/>
  <c r="P524"/>
  <c r="R524" s="1"/>
  <c r="P525"/>
  <c r="R525" s="1"/>
  <c r="P526"/>
  <c r="R526" s="1"/>
  <c r="P527"/>
  <c r="R527" s="1"/>
  <c r="P528"/>
  <c r="R528" s="1"/>
  <c r="P529"/>
  <c r="R529" s="1"/>
  <c r="P530"/>
  <c r="R530" s="1"/>
  <c r="P531"/>
  <c r="R531" s="1"/>
  <c r="P532"/>
  <c r="R532" s="1"/>
  <c r="P533"/>
  <c r="R533" s="1"/>
  <c r="P534"/>
  <c r="R534" s="1"/>
  <c r="P535"/>
  <c r="R535" s="1"/>
  <c r="P536"/>
  <c r="R536" s="1"/>
  <c r="P537"/>
  <c r="R537" s="1"/>
  <c r="P538"/>
  <c r="R538" s="1"/>
  <c r="P539"/>
  <c r="R539" s="1"/>
  <c r="P540"/>
  <c r="R540" s="1"/>
  <c r="P541"/>
  <c r="R541" s="1"/>
  <c r="P542"/>
  <c r="R542" s="1"/>
  <c r="P543"/>
  <c r="R543" s="1"/>
  <c r="P544"/>
  <c r="R544" s="1"/>
  <c r="P545"/>
  <c r="R545" s="1"/>
  <c r="P546"/>
  <c r="R546" s="1"/>
  <c r="P547"/>
  <c r="R547" s="1"/>
  <c r="P548"/>
  <c r="R548" s="1"/>
  <c r="P549"/>
  <c r="R549" s="1"/>
  <c r="P550"/>
  <c r="R550" s="1"/>
  <c r="P551"/>
  <c r="R551" s="1"/>
  <c r="P552"/>
  <c r="R552" s="1"/>
  <c r="P553"/>
  <c r="R553" s="1"/>
  <c r="P554"/>
  <c r="R554" s="1"/>
  <c r="P555"/>
  <c r="R555" s="1"/>
  <c r="P556"/>
  <c r="R556" s="1"/>
  <c r="P557"/>
  <c r="R557" s="1"/>
  <c r="P558"/>
  <c r="R558" s="1"/>
  <c r="P559"/>
  <c r="R559" s="1"/>
  <c r="P560"/>
  <c r="R560" s="1"/>
  <c r="P561"/>
  <c r="R561" s="1"/>
  <c r="P562"/>
  <c r="R562" s="1"/>
  <c r="P563"/>
  <c r="R563" s="1"/>
  <c r="P564"/>
  <c r="R564" s="1"/>
  <c r="P565"/>
  <c r="R565" s="1"/>
  <c r="P566"/>
  <c r="R566" s="1"/>
  <c r="P567"/>
  <c r="R567" s="1"/>
  <c r="P568"/>
  <c r="R568" s="1"/>
  <c r="P569"/>
  <c r="R569" s="1"/>
  <c r="P570"/>
  <c r="R570" s="1"/>
  <c r="P571"/>
  <c r="R571" s="1"/>
  <c r="P572"/>
  <c r="R572" s="1"/>
  <c r="P573"/>
  <c r="R573" s="1"/>
  <c r="P574"/>
  <c r="R574" s="1"/>
  <c r="P575"/>
  <c r="R575" s="1"/>
  <c r="P576"/>
  <c r="R576" s="1"/>
  <c r="P577"/>
  <c r="R577" s="1"/>
  <c r="P578"/>
  <c r="R578" s="1"/>
  <c r="P579"/>
  <c r="R579" s="1"/>
  <c r="P580"/>
  <c r="R580" s="1"/>
  <c r="P581"/>
  <c r="R581" s="1"/>
  <c r="P582"/>
  <c r="R582" s="1"/>
  <c r="P583"/>
  <c r="R583" s="1"/>
  <c r="P584"/>
  <c r="R584" s="1"/>
  <c r="P585"/>
  <c r="R585" s="1"/>
  <c r="P586"/>
  <c r="R586" s="1"/>
  <c r="P587"/>
  <c r="R587" s="1"/>
  <c r="P588"/>
  <c r="R588" s="1"/>
  <c r="P589"/>
  <c r="R589" s="1"/>
  <c r="P590"/>
  <c r="R590" s="1"/>
  <c r="P591"/>
  <c r="R591" s="1"/>
  <c r="P592"/>
  <c r="R592" s="1"/>
  <c r="P593"/>
  <c r="R593" s="1"/>
  <c r="P594"/>
  <c r="R594" s="1"/>
  <c r="P595"/>
  <c r="R595" s="1"/>
  <c r="P596"/>
  <c r="R596" s="1"/>
  <c r="P597"/>
  <c r="R597" s="1"/>
  <c r="P598"/>
  <c r="R598" s="1"/>
  <c r="P599"/>
  <c r="R599" s="1"/>
  <c r="P600"/>
  <c r="R600" s="1"/>
  <c r="P601"/>
  <c r="R601" s="1"/>
  <c r="P602"/>
  <c r="R602" s="1"/>
  <c r="P603"/>
  <c r="R603" s="1"/>
  <c r="P604"/>
  <c r="R604" s="1"/>
  <c r="P605"/>
  <c r="R605" s="1"/>
  <c r="P606"/>
  <c r="R606" s="1"/>
  <c r="P607"/>
  <c r="R607" s="1"/>
  <c r="P608"/>
  <c r="R608" s="1"/>
  <c r="P609"/>
  <c r="R609" s="1"/>
  <c r="P610"/>
  <c r="R610" s="1"/>
  <c r="P611"/>
  <c r="R611" s="1"/>
  <c r="P612"/>
  <c r="R612" s="1"/>
  <c r="P613"/>
  <c r="R613" s="1"/>
  <c r="P614"/>
  <c r="R614" s="1"/>
  <c r="P615"/>
  <c r="R615" s="1"/>
  <c r="P616"/>
  <c r="R616" s="1"/>
  <c r="P617"/>
  <c r="R617" s="1"/>
  <c r="P618"/>
  <c r="R618" s="1"/>
  <c r="P619"/>
  <c r="R619" s="1"/>
  <c r="P620"/>
  <c r="R620" s="1"/>
  <c r="P621"/>
  <c r="R621" s="1"/>
  <c r="P622"/>
  <c r="R622" s="1"/>
  <c r="P623"/>
  <c r="R623" s="1"/>
  <c r="P624"/>
  <c r="R624" s="1"/>
  <c r="P625"/>
  <c r="R625" s="1"/>
  <c r="P626"/>
  <c r="R626" s="1"/>
  <c r="P627"/>
  <c r="R627" s="1"/>
  <c r="P628"/>
  <c r="R628" s="1"/>
  <c r="P629"/>
  <c r="R629" s="1"/>
  <c r="P630"/>
  <c r="R630" s="1"/>
  <c r="P631"/>
  <c r="R631" s="1"/>
  <c r="P632"/>
  <c r="R632" s="1"/>
  <c r="P633"/>
  <c r="R633" s="1"/>
  <c r="P634"/>
  <c r="R634" s="1"/>
  <c r="P635"/>
  <c r="R635" s="1"/>
  <c r="P636"/>
  <c r="R636" s="1"/>
  <c r="P637"/>
  <c r="R637" s="1"/>
  <c r="P638"/>
  <c r="R638" s="1"/>
  <c r="P639"/>
  <c r="R639" s="1"/>
  <c r="P640"/>
  <c r="R640" s="1"/>
  <c r="P641"/>
  <c r="R641" s="1"/>
  <c r="P642"/>
  <c r="R642" s="1"/>
  <c r="P643"/>
  <c r="R643" s="1"/>
  <c r="P644"/>
  <c r="R644" s="1"/>
  <c r="P645"/>
  <c r="R645" s="1"/>
  <c r="P646"/>
  <c r="R646" s="1"/>
  <c r="P647"/>
  <c r="R647" s="1"/>
  <c r="P648"/>
  <c r="R648" s="1"/>
  <c r="P649"/>
  <c r="R649" s="1"/>
  <c r="P650"/>
  <c r="R650" s="1"/>
  <c r="P651"/>
  <c r="R651" s="1"/>
  <c r="P652"/>
  <c r="R652" s="1"/>
  <c r="P653"/>
  <c r="R653" s="1"/>
  <c r="P654"/>
  <c r="R654" s="1"/>
  <c r="P655"/>
  <c r="R655" s="1"/>
  <c r="P656"/>
  <c r="R656" s="1"/>
  <c r="P657"/>
  <c r="R657" s="1"/>
  <c r="P658"/>
  <c r="R658" s="1"/>
  <c r="P659"/>
  <c r="R659" s="1"/>
  <c r="P660"/>
  <c r="R660" s="1"/>
  <c r="P661"/>
  <c r="R661" s="1"/>
  <c r="P662"/>
  <c r="R662" s="1"/>
  <c r="P663"/>
  <c r="R663" s="1"/>
  <c r="P664"/>
  <c r="R664" s="1"/>
  <c r="P665"/>
  <c r="R665" s="1"/>
  <c r="P666"/>
  <c r="R666" s="1"/>
  <c r="P667"/>
  <c r="R667" s="1"/>
  <c r="P668"/>
  <c r="R668" s="1"/>
  <c r="P669"/>
  <c r="R669" s="1"/>
  <c r="P670"/>
  <c r="R670" s="1"/>
  <c r="P671"/>
  <c r="R671" s="1"/>
  <c r="P672"/>
  <c r="R672" s="1"/>
  <c r="P673"/>
  <c r="R673" s="1"/>
  <c r="P674"/>
  <c r="R674" s="1"/>
  <c r="P675"/>
  <c r="R675" s="1"/>
  <c r="P676"/>
  <c r="R676" s="1"/>
  <c r="P677"/>
  <c r="R677" s="1"/>
  <c r="P678"/>
  <c r="R678" s="1"/>
  <c r="P679"/>
  <c r="R679" s="1"/>
  <c r="P680"/>
  <c r="R680" s="1"/>
  <c r="P681"/>
  <c r="R681" s="1"/>
  <c r="P682"/>
  <c r="R682" s="1"/>
  <c r="P683"/>
  <c r="R683" s="1"/>
  <c r="P684"/>
  <c r="R684" s="1"/>
  <c r="P685"/>
  <c r="R685" s="1"/>
  <c r="P686"/>
  <c r="R686" s="1"/>
  <c r="P687"/>
  <c r="R687" s="1"/>
  <c r="P688"/>
  <c r="R688" s="1"/>
  <c r="P689"/>
  <c r="R689" s="1"/>
  <c r="P690"/>
  <c r="R690" s="1"/>
  <c r="P691"/>
  <c r="R691" s="1"/>
  <c r="P692"/>
  <c r="R692" s="1"/>
  <c r="P693"/>
  <c r="R693" s="1"/>
  <c r="P694"/>
  <c r="R694" s="1"/>
  <c r="P695"/>
  <c r="R695" s="1"/>
  <c r="P696"/>
  <c r="R696" s="1"/>
  <c r="P697"/>
  <c r="R697" s="1"/>
  <c r="P698"/>
  <c r="R698" s="1"/>
  <c r="P699"/>
  <c r="R699" s="1"/>
  <c r="P700"/>
  <c r="R700" s="1"/>
  <c r="P701"/>
  <c r="R701" s="1"/>
  <c r="P702"/>
  <c r="R702" s="1"/>
  <c r="P703"/>
  <c r="R703" s="1"/>
  <c r="P704"/>
  <c r="R704" s="1"/>
  <c r="P705"/>
  <c r="R705" s="1"/>
  <c r="P706"/>
  <c r="R706" s="1"/>
  <c r="P707"/>
  <c r="R707" s="1"/>
  <c r="P708"/>
  <c r="R708" s="1"/>
  <c r="P709"/>
  <c r="R709" s="1"/>
  <c r="P710"/>
  <c r="R710" s="1"/>
  <c r="P711"/>
  <c r="R711" s="1"/>
  <c r="P712"/>
  <c r="R712" s="1"/>
  <c r="P713"/>
  <c r="R713" s="1"/>
  <c r="P714"/>
  <c r="R714" s="1"/>
  <c r="P715"/>
  <c r="R715" s="1"/>
  <c r="P716"/>
  <c r="R716" s="1"/>
  <c r="P717"/>
  <c r="R717" s="1"/>
  <c r="P718"/>
  <c r="R718" s="1"/>
  <c r="P719"/>
  <c r="R719" s="1"/>
  <c r="P720"/>
  <c r="R720" s="1"/>
  <c r="P721"/>
  <c r="R721" s="1"/>
  <c r="P722"/>
  <c r="R722" s="1"/>
  <c r="P723"/>
  <c r="R723" s="1"/>
  <c r="P724"/>
  <c r="R724" s="1"/>
  <c r="P725"/>
  <c r="R725" s="1"/>
  <c r="P726"/>
  <c r="R726" s="1"/>
  <c r="P727"/>
  <c r="R727" s="1"/>
  <c r="P728"/>
  <c r="R728" s="1"/>
  <c r="P729"/>
  <c r="R729" s="1"/>
  <c r="P730"/>
  <c r="R730" s="1"/>
  <c r="P731"/>
  <c r="R731" s="1"/>
  <c r="P732"/>
  <c r="R732" s="1"/>
  <c r="P733"/>
  <c r="R733" s="1"/>
  <c r="P734"/>
  <c r="R734" s="1"/>
  <c r="P735"/>
  <c r="R735" s="1"/>
  <c r="P736"/>
  <c r="R736" s="1"/>
  <c r="P737"/>
  <c r="R737" s="1"/>
  <c r="P738"/>
  <c r="R738" s="1"/>
  <c r="P739"/>
  <c r="R739" s="1"/>
  <c r="P740"/>
  <c r="R740" s="1"/>
  <c r="P741"/>
  <c r="R741" s="1"/>
  <c r="P742"/>
  <c r="R742" s="1"/>
  <c r="P743"/>
  <c r="R743" s="1"/>
  <c r="P744"/>
  <c r="R744" s="1"/>
  <c r="P745"/>
  <c r="R745" s="1"/>
  <c r="P746"/>
  <c r="R746" s="1"/>
  <c r="P747"/>
  <c r="R747" s="1"/>
  <c r="P748"/>
  <c r="R748" s="1"/>
  <c r="P749"/>
  <c r="R749" s="1"/>
  <c r="P750"/>
  <c r="R750" s="1"/>
  <c r="P751"/>
  <c r="R751" s="1"/>
  <c r="P752"/>
  <c r="R752" s="1"/>
  <c r="P753"/>
  <c r="R753" s="1"/>
  <c r="P754"/>
  <c r="R754" s="1"/>
  <c r="P755"/>
  <c r="R755" s="1"/>
  <c r="P756"/>
  <c r="R756" s="1"/>
  <c r="P757"/>
  <c r="R757" s="1"/>
  <c r="P758"/>
  <c r="R758" s="1"/>
  <c r="P759"/>
  <c r="R759" s="1"/>
  <c r="P760"/>
  <c r="R760" s="1"/>
  <c r="P761"/>
  <c r="R761" s="1"/>
  <c r="P762"/>
  <c r="R762" s="1"/>
  <c r="P763"/>
  <c r="R763" s="1"/>
  <c r="P764"/>
  <c r="R764" s="1"/>
  <c r="P765"/>
  <c r="R765" s="1"/>
  <c r="P766"/>
  <c r="R766" s="1"/>
  <c r="P767"/>
  <c r="R767" s="1"/>
  <c r="P768"/>
  <c r="R768" s="1"/>
  <c r="P769"/>
  <c r="R769" s="1"/>
  <c r="P770"/>
  <c r="R770" s="1"/>
  <c r="P771"/>
  <c r="R771" s="1"/>
  <c r="P772"/>
  <c r="R772" s="1"/>
  <c r="P773"/>
  <c r="R773" s="1"/>
  <c r="P774"/>
  <c r="R774" s="1"/>
  <c r="P775"/>
  <c r="R775" s="1"/>
  <c r="P776"/>
  <c r="R776" s="1"/>
  <c r="P777"/>
  <c r="R777" s="1"/>
  <c r="P778"/>
  <c r="R778" s="1"/>
  <c r="P779"/>
  <c r="R779" s="1"/>
  <c r="P780"/>
  <c r="R780" s="1"/>
  <c r="P781"/>
  <c r="R781" s="1"/>
  <c r="P782"/>
  <c r="R782" s="1"/>
  <c r="P783"/>
  <c r="R783" s="1"/>
  <c r="P784"/>
  <c r="R784" s="1"/>
  <c r="P785"/>
  <c r="R785" s="1"/>
  <c r="P786"/>
  <c r="R786" s="1"/>
  <c r="P787"/>
  <c r="R787" s="1"/>
  <c r="P788"/>
  <c r="R788" s="1"/>
  <c r="P789"/>
  <c r="R789" s="1"/>
  <c r="P790"/>
  <c r="R790" s="1"/>
  <c r="P791"/>
  <c r="R791" s="1"/>
  <c r="P792"/>
  <c r="R792" s="1"/>
  <c r="P793"/>
  <c r="R793" s="1"/>
  <c r="P794"/>
  <c r="R794" s="1"/>
  <c r="P795"/>
  <c r="R795" s="1"/>
  <c r="P796"/>
  <c r="R796" s="1"/>
  <c r="P797"/>
  <c r="R797" s="1"/>
  <c r="P798"/>
  <c r="R798" s="1"/>
  <c r="P799"/>
  <c r="R799" s="1"/>
  <c r="P800"/>
  <c r="R800" s="1"/>
  <c r="P801"/>
  <c r="R801" s="1"/>
  <c r="P802"/>
  <c r="R802" s="1"/>
  <c r="P803"/>
  <c r="R803" s="1"/>
  <c r="P804"/>
  <c r="R804" s="1"/>
  <c r="P805"/>
  <c r="R805" s="1"/>
  <c r="P806"/>
  <c r="R806" s="1"/>
  <c r="P807"/>
  <c r="R807" s="1"/>
  <c r="P808"/>
  <c r="R808" s="1"/>
  <c r="P809"/>
  <c r="R809" s="1"/>
  <c r="P810"/>
  <c r="R810" s="1"/>
  <c r="P811"/>
  <c r="R811" s="1"/>
  <c r="P812"/>
  <c r="R812" s="1"/>
  <c r="P813"/>
  <c r="R813" s="1"/>
  <c r="P814"/>
  <c r="R814" s="1"/>
  <c r="P815"/>
  <c r="R815" s="1"/>
  <c r="P816"/>
  <c r="R816" s="1"/>
  <c r="P817"/>
  <c r="R817" s="1"/>
  <c r="P818"/>
  <c r="R818" s="1"/>
  <c r="P819"/>
  <c r="R819" s="1"/>
  <c r="P820"/>
  <c r="R820" s="1"/>
  <c r="P821"/>
  <c r="R821" s="1"/>
  <c r="P822"/>
  <c r="R822" s="1"/>
  <c r="P823"/>
  <c r="R823" s="1"/>
  <c r="P824"/>
  <c r="R824" s="1"/>
  <c r="P825"/>
  <c r="R825" s="1"/>
  <c r="P826"/>
  <c r="R826" s="1"/>
  <c r="P827"/>
  <c r="R827" s="1"/>
  <c r="P828"/>
  <c r="R828" s="1"/>
  <c r="P829"/>
  <c r="R829" s="1"/>
  <c r="P830"/>
  <c r="R830" s="1"/>
  <c r="P831"/>
  <c r="R831" s="1"/>
  <c r="P832"/>
  <c r="R832" s="1"/>
  <c r="P833"/>
  <c r="R833" s="1"/>
  <c r="P834"/>
  <c r="R834" s="1"/>
  <c r="P835"/>
  <c r="R835" s="1"/>
  <c r="P836"/>
  <c r="R836" s="1"/>
  <c r="P837"/>
  <c r="R837" s="1"/>
  <c r="P838"/>
  <c r="R838" s="1"/>
  <c r="P839"/>
  <c r="R839" s="1"/>
  <c r="P840"/>
  <c r="R840" s="1"/>
  <c r="P841"/>
  <c r="R841" s="1"/>
  <c r="P842"/>
  <c r="R842" s="1"/>
  <c r="P843"/>
  <c r="R843" s="1"/>
  <c r="P844"/>
  <c r="R844" s="1"/>
  <c r="P845"/>
  <c r="R845" s="1"/>
  <c r="P846"/>
  <c r="R846" s="1"/>
  <c r="P847"/>
  <c r="R847" s="1"/>
  <c r="P848"/>
  <c r="R848" s="1"/>
  <c r="P849"/>
  <c r="R849" s="1"/>
  <c r="P850"/>
  <c r="R850" s="1"/>
  <c r="P851"/>
  <c r="R851" s="1"/>
  <c r="P852"/>
  <c r="R852" s="1"/>
  <c r="P853"/>
  <c r="R853" s="1"/>
  <c r="P854"/>
  <c r="R854" s="1"/>
  <c r="P855"/>
  <c r="R855" s="1"/>
  <c r="P856"/>
  <c r="R856" s="1"/>
  <c r="P857"/>
  <c r="R857" s="1"/>
  <c r="P858"/>
  <c r="R858" s="1"/>
  <c r="P859"/>
  <c r="R859" s="1"/>
  <c r="P860"/>
  <c r="R860" s="1"/>
  <c r="P861"/>
  <c r="R861" s="1"/>
  <c r="P862"/>
  <c r="R862" s="1"/>
  <c r="P863"/>
  <c r="R863" s="1"/>
  <c r="P864"/>
  <c r="R864" s="1"/>
  <c r="P865"/>
  <c r="R865" s="1"/>
  <c r="P866"/>
  <c r="R866" s="1"/>
  <c r="P867"/>
  <c r="R867" s="1"/>
  <c r="P868"/>
  <c r="R868" s="1"/>
  <c r="P869"/>
  <c r="R869" s="1"/>
  <c r="P870"/>
  <c r="R870" s="1"/>
  <c r="P871"/>
  <c r="R871" s="1"/>
  <c r="P872"/>
  <c r="R872" s="1"/>
  <c r="P873"/>
  <c r="R873" s="1"/>
  <c r="P874"/>
  <c r="R874" s="1"/>
  <c r="P875"/>
  <c r="R875" s="1"/>
  <c r="P876"/>
  <c r="R876" s="1"/>
  <c r="P877"/>
  <c r="R877" s="1"/>
  <c r="P878"/>
  <c r="R878" s="1"/>
  <c r="P879"/>
  <c r="R879" s="1"/>
  <c r="P880"/>
  <c r="R880" s="1"/>
  <c r="P881"/>
  <c r="R881" s="1"/>
  <c r="P882"/>
  <c r="R882" s="1"/>
  <c r="P883"/>
  <c r="R883" s="1"/>
  <c r="P884"/>
  <c r="R884" s="1"/>
  <c r="P885"/>
  <c r="R885" s="1"/>
  <c r="P886"/>
  <c r="R886" s="1"/>
  <c r="P887"/>
  <c r="R887" s="1"/>
  <c r="P888"/>
  <c r="R888" s="1"/>
  <c r="P889"/>
  <c r="R889" s="1"/>
  <c r="P890"/>
  <c r="R890" s="1"/>
  <c r="P891"/>
  <c r="R891" s="1"/>
  <c r="P892"/>
  <c r="R892" s="1"/>
  <c r="P893"/>
  <c r="R893" s="1"/>
  <c r="P894"/>
  <c r="R894" s="1"/>
  <c r="P895"/>
  <c r="R895" s="1"/>
  <c r="P896"/>
  <c r="R896" s="1"/>
  <c r="P897"/>
  <c r="R897" s="1"/>
  <c r="P898"/>
  <c r="R898" s="1"/>
  <c r="P899"/>
  <c r="R899" s="1"/>
  <c r="P900"/>
  <c r="R900" s="1"/>
  <c r="P901"/>
  <c r="R901" s="1"/>
  <c r="P902"/>
  <c r="R902" s="1"/>
  <c r="P903"/>
  <c r="R903" s="1"/>
  <c r="P904"/>
  <c r="R904" s="1"/>
  <c r="P905"/>
  <c r="R905" s="1"/>
  <c r="P906"/>
  <c r="R906" s="1"/>
  <c r="P907"/>
  <c r="R907" s="1"/>
  <c r="P908"/>
  <c r="R908" s="1"/>
  <c r="P909"/>
  <c r="R909" s="1"/>
  <c r="P910"/>
  <c r="R910" s="1"/>
  <c r="P911"/>
  <c r="R911" s="1"/>
  <c r="P912"/>
  <c r="R912" s="1"/>
  <c r="P913"/>
  <c r="R913" s="1"/>
  <c r="P914"/>
  <c r="R914" s="1"/>
  <c r="P915"/>
  <c r="R915" s="1"/>
  <c r="P916"/>
  <c r="R916" s="1"/>
  <c r="P917"/>
  <c r="R917" s="1"/>
  <c r="P918"/>
  <c r="R918" s="1"/>
  <c r="P919"/>
  <c r="R919" s="1"/>
  <c r="P920"/>
  <c r="R920" s="1"/>
  <c r="P921"/>
  <c r="R921" s="1"/>
  <c r="P922"/>
  <c r="R922" s="1"/>
  <c r="P923"/>
  <c r="R923" s="1"/>
  <c r="P924"/>
  <c r="R924" s="1"/>
  <c r="P925"/>
  <c r="R925" s="1"/>
  <c r="P926"/>
  <c r="R926" s="1"/>
  <c r="P927"/>
  <c r="R927" s="1"/>
  <c r="P928"/>
  <c r="R928" s="1"/>
  <c r="P929"/>
  <c r="R929" s="1"/>
  <c r="P930"/>
  <c r="R930" s="1"/>
  <c r="P931"/>
  <c r="R931" s="1"/>
  <c r="P932"/>
  <c r="R932" s="1"/>
  <c r="P933"/>
  <c r="R933" s="1"/>
  <c r="P934"/>
  <c r="R934" s="1"/>
  <c r="P935"/>
  <c r="R935" s="1"/>
  <c r="P936"/>
  <c r="R936" s="1"/>
  <c r="P937"/>
  <c r="R937" s="1"/>
  <c r="P938"/>
  <c r="R938" s="1"/>
  <c r="P939"/>
  <c r="R939" s="1"/>
  <c r="P940"/>
  <c r="R940" s="1"/>
  <c r="P941"/>
  <c r="R941" s="1"/>
  <c r="P942"/>
  <c r="R942" s="1"/>
  <c r="P943"/>
  <c r="R943" s="1"/>
  <c r="P944"/>
  <c r="R944" s="1"/>
  <c r="P945"/>
  <c r="R945" s="1"/>
  <c r="P946"/>
  <c r="R946" s="1"/>
  <c r="P947"/>
  <c r="R947" s="1"/>
  <c r="P948"/>
  <c r="R948" s="1"/>
  <c r="P949"/>
  <c r="R949" s="1"/>
  <c r="P950"/>
  <c r="R950" s="1"/>
  <c r="P951"/>
  <c r="R951" s="1"/>
  <c r="P952"/>
  <c r="R952" s="1"/>
  <c r="P953"/>
  <c r="R953" s="1"/>
  <c r="P954"/>
  <c r="R954" s="1"/>
  <c r="P955"/>
  <c r="R955" s="1"/>
  <c r="P956"/>
  <c r="R956" s="1"/>
  <c r="P957"/>
  <c r="R957" s="1"/>
  <c r="P958"/>
  <c r="R958" s="1"/>
  <c r="P959"/>
  <c r="R959" s="1"/>
  <c r="P960"/>
  <c r="R960" s="1"/>
  <c r="P961"/>
  <c r="R961" s="1"/>
  <c r="P962"/>
  <c r="R962" s="1"/>
  <c r="P963"/>
  <c r="R963" s="1"/>
  <c r="P964"/>
  <c r="R964" s="1"/>
  <c r="P965"/>
  <c r="R965" s="1"/>
  <c r="P966"/>
  <c r="R966" s="1"/>
  <c r="P967"/>
  <c r="R967" s="1"/>
  <c r="P968"/>
  <c r="R968" s="1"/>
  <c r="P969"/>
  <c r="R969" s="1"/>
  <c r="P970"/>
  <c r="R970" s="1"/>
  <c r="P971"/>
  <c r="R971" s="1"/>
  <c r="P972"/>
  <c r="R972" s="1"/>
  <c r="P973"/>
  <c r="R973" s="1"/>
  <c r="P974"/>
  <c r="R974" s="1"/>
  <c r="P975"/>
  <c r="R975" s="1"/>
  <c r="P976"/>
  <c r="R976" s="1"/>
  <c r="P977"/>
  <c r="R977" s="1"/>
  <c r="P978"/>
  <c r="R978" s="1"/>
  <c r="P979"/>
  <c r="R979" s="1"/>
  <c r="P980"/>
  <c r="R980" s="1"/>
  <c r="P981"/>
  <c r="R981" s="1"/>
  <c r="P982"/>
  <c r="R982" s="1"/>
  <c r="P983"/>
  <c r="R983" s="1"/>
  <c r="P984"/>
  <c r="R984" s="1"/>
  <c r="P985"/>
  <c r="R985" s="1"/>
  <c r="P986"/>
  <c r="R986" s="1"/>
  <c r="P987"/>
  <c r="R987" s="1"/>
  <c r="P988"/>
  <c r="R988" s="1"/>
  <c r="P989"/>
  <c r="R989" s="1"/>
  <c r="P990"/>
  <c r="R990" s="1"/>
  <c r="P991"/>
  <c r="R991" s="1"/>
  <c r="P992"/>
  <c r="R992" s="1"/>
  <c r="P993"/>
  <c r="R993" s="1"/>
  <c r="P994"/>
  <c r="R994" s="1"/>
  <c r="P995"/>
  <c r="R995" s="1"/>
  <c r="P996"/>
  <c r="R996" s="1"/>
  <c r="P997"/>
  <c r="R997" s="1"/>
  <c r="P998"/>
  <c r="R998" s="1"/>
  <c r="P999"/>
  <c r="R999" s="1"/>
  <c r="P1000"/>
  <c r="R1000" s="1"/>
  <c r="P1001"/>
  <c r="R1001" s="1"/>
  <c r="P1002"/>
  <c r="R1002" s="1"/>
  <c r="P1003"/>
  <c r="R1003" s="1"/>
  <c r="P1004"/>
  <c r="R1004" s="1"/>
  <c r="P1005"/>
  <c r="R1005" s="1"/>
  <c r="P1006"/>
  <c r="R1006" s="1"/>
  <c r="P1007"/>
  <c r="R1007" s="1"/>
  <c r="P1008"/>
  <c r="R1008" s="1"/>
  <c r="P1009"/>
  <c r="R1009" s="1"/>
  <c r="P1010"/>
  <c r="R1010" s="1"/>
  <c r="P1011"/>
  <c r="R1011" s="1"/>
  <c r="P1012"/>
  <c r="R1012" s="1"/>
  <c r="P1013"/>
  <c r="R1013" s="1"/>
  <c r="P1014"/>
  <c r="R1014" s="1"/>
  <c r="P1015"/>
  <c r="R1015" s="1"/>
  <c r="P1016"/>
  <c r="R1016" s="1"/>
  <c r="P1017"/>
  <c r="R1017" s="1"/>
  <c r="P1018"/>
  <c r="R1018" s="1"/>
  <c r="P1019"/>
  <c r="R1019" s="1"/>
  <c r="P1020"/>
  <c r="R1020" s="1"/>
  <c r="P1021"/>
  <c r="R1021" s="1"/>
  <c r="P1022"/>
  <c r="R1022" s="1"/>
  <c r="P1023"/>
  <c r="R1023" s="1"/>
  <c r="P1024"/>
  <c r="R1024" s="1"/>
  <c r="P1025"/>
  <c r="R1025" s="1"/>
  <c r="P1026"/>
  <c r="R1026" s="1"/>
  <c r="P1027"/>
  <c r="R1027" s="1"/>
  <c r="P1028"/>
  <c r="R1028" s="1"/>
  <c r="P1029"/>
  <c r="R1029" s="1"/>
  <c r="P1030"/>
  <c r="R1030" s="1"/>
  <c r="P1031"/>
  <c r="R1031" s="1"/>
  <c r="P1032"/>
  <c r="R1032" s="1"/>
  <c r="P1033"/>
  <c r="R1033" s="1"/>
  <c r="P1034"/>
  <c r="R1034" s="1"/>
  <c r="P1035"/>
  <c r="R1035" s="1"/>
  <c r="P1036"/>
  <c r="R1036" s="1"/>
  <c r="P1037"/>
  <c r="R1037" s="1"/>
  <c r="P1038"/>
  <c r="R1038" s="1"/>
  <c r="P1039"/>
  <c r="R1039" s="1"/>
  <c r="P1040"/>
  <c r="R1040" s="1"/>
  <c r="P1041"/>
  <c r="R1041" s="1"/>
  <c r="P1042"/>
  <c r="R1042" s="1"/>
  <c r="P1043"/>
  <c r="R1043" s="1"/>
  <c r="P1044"/>
  <c r="R1044" s="1"/>
  <c r="P1045"/>
  <c r="R1045" s="1"/>
  <c r="P1046"/>
  <c r="R1046" s="1"/>
  <c r="P1047"/>
  <c r="R1047" s="1"/>
  <c r="P1048"/>
  <c r="R1048" s="1"/>
  <c r="P1049"/>
  <c r="R1049" s="1"/>
  <c r="P1050"/>
  <c r="R1050" s="1"/>
  <c r="P1051"/>
  <c r="R1051" s="1"/>
  <c r="P1052"/>
  <c r="R1052" s="1"/>
  <c r="P1053"/>
  <c r="R1053" s="1"/>
  <c r="P1054"/>
  <c r="R1054" s="1"/>
  <c r="P1055"/>
  <c r="R1055" s="1"/>
  <c r="P1056"/>
  <c r="R1056" s="1"/>
  <c r="P1057"/>
  <c r="R1057" s="1"/>
  <c r="P1058"/>
  <c r="R1058" s="1"/>
  <c r="P1059"/>
  <c r="R1059" s="1"/>
  <c r="P1060"/>
  <c r="R1060" s="1"/>
  <c r="P1061"/>
  <c r="R1061" s="1"/>
  <c r="P1062"/>
  <c r="R1062" s="1"/>
  <c r="P1063"/>
  <c r="R1063" s="1"/>
  <c r="P1064"/>
  <c r="R1064" s="1"/>
  <c r="P1065"/>
  <c r="R1065" s="1"/>
  <c r="P1066"/>
  <c r="R1066" s="1"/>
  <c r="P1067"/>
  <c r="R1067" s="1"/>
  <c r="P1068"/>
  <c r="R1068" s="1"/>
  <c r="P1069"/>
  <c r="R1069" s="1"/>
  <c r="P1070"/>
  <c r="R1070" s="1"/>
  <c r="P1071"/>
  <c r="R1071" s="1"/>
  <c r="P1072"/>
  <c r="R1072" s="1"/>
  <c r="P1073"/>
  <c r="R1073" s="1"/>
  <c r="P1074"/>
  <c r="R1074" s="1"/>
  <c r="P1075"/>
  <c r="R1075" s="1"/>
  <c r="P1076"/>
  <c r="R1076" s="1"/>
  <c r="P1077"/>
  <c r="R1077" s="1"/>
  <c r="P1078"/>
  <c r="R1078" s="1"/>
  <c r="P1079"/>
  <c r="R1079" s="1"/>
  <c r="P1080"/>
  <c r="R1080" s="1"/>
  <c r="P1081"/>
  <c r="R1081" s="1"/>
  <c r="P1082"/>
  <c r="R1082" s="1"/>
  <c r="P1083"/>
  <c r="R1083" s="1"/>
  <c r="P1084"/>
  <c r="R1084" s="1"/>
  <c r="P1085"/>
  <c r="R1085" s="1"/>
  <c r="P1086"/>
  <c r="R1086" s="1"/>
  <c r="P1087"/>
  <c r="R1087" s="1"/>
  <c r="P1088"/>
  <c r="R1088" s="1"/>
  <c r="P1089"/>
  <c r="R1089" s="1"/>
  <c r="P1090"/>
  <c r="R1090" s="1"/>
  <c r="P1091"/>
  <c r="R1091" s="1"/>
  <c r="P1092"/>
  <c r="R1092" s="1"/>
  <c r="P1093"/>
  <c r="R1093" s="1"/>
  <c r="P1094"/>
  <c r="R1094" s="1"/>
  <c r="P1095"/>
  <c r="R1095" s="1"/>
  <c r="P1096"/>
  <c r="R1096" s="1"/>
  <c r="P1097"/>
  <c r="R1097" s="1"/>
  <c r="P1098"/>
  <c r="R1098" s="1"/>
  <c r="P1099"/>
  <c r="R1099" s="1"/>
  <c r="P1100"/>
  <c r="R1100" s="1"/>
  <c r="P1101"/>
  <c r="R1101" s="1"/>
  <c r="P1102"/>
  <c r="R1102" s="1"/>
  <c r="P1103"/>
  <c r="R1103" s="1"/>
  <c r="P1104"/>
  <c r="R1104" s="1"/>
  <c r="P1105"/>
  <c r="R1105" s="1"/>
  <c r="P1106"/>
  <c r="R1106" s="1"/>
  <c r="P1107"/>
  <c r="R1107" s="1"/>
  <c r="P1108"/>
  <c r="R1108" s="1"/>
  <c r="P1109"/>
  <c r="R1109" s="1"/>
  <c r="P1110"/>
  <c r="R1110" s="1"/>
  <c r="P1111"/>
  <c r="R1111" s="1"/>
  <c r="P1112"/>
  <c r="R1112" s="1"/>
  <c r="P1113"/>
  <c r="R1113" s="1"/>
  <c r="P1114"/>
  <c r="R1114" s="1"/>
  <c r="P1115"/>
  <c r="R1115" s="1"/>
  <c r="P1116"/>
  <c r="R1116" s="1"/>
  <c r="P1117"/>
  <c r="R1117" s="1"/>
  <c r="P1118"/>
  <c r="R1118" s="1"/>
  <c r="P1119"/>
  <c r="R1119" s="1"/>
  <c r="P1120"/>
  <c r="R1120" s="1"/>
  <c r="P1121"/>
  <c r="R1121" s="1"/>
  <c r="P1122"/>
  <c r="R1122" s="1"/>
  <c r="P1123"/>
  <c r="R1123" s="1"/>
  <c r="P1124"/>
  <c r="R1124" s="1"/>
  <c r="P1125"/>
  <c r="R1125" s="1"/>
  <c r="P1126"/>
  <c r="R1126" s="1"/>
  <c r="P1127"/>
  <c r="R1127" s="1"/>
  <c r="P1128"/>
  <c r="R1128" s="1"/>
  <c r="P1129"/>
  <c r="R1129" s="1"/>
  <c r="P1130"/>
  <c r="R1130" s="1"/>
  <c r="P1131"/>
  <c r="R1131" s="1"/>
  <c r="P1132"/>
  <c r="R1132" s="1"/>
  <c r="P1133"/>
  <c r="R1133" s="1"/>
  <c r="P1134"/>
  <c r="R1134" s="1"/>
  <c r="P1135"/>
  <c r="R1135" s="1"/>
  <c r="P1136"/>
  <c r="R1136" s="1"/>
  <c r="P1137"/>
  <c r="R1137" s="1"/>
  <c r="P1138"/>
  <c r="R1138" s="1"/>
  <c r="P1139"/>
  <c r="R1139" s="1"/>
  <c r="P1140"/>
  <c r="R1140" s="1"/>
  <c r="P1141"/>
  <c r="R1141" s="1"/>
  <c r="P1142"/>
  <c r="R1142" s="1"/>
  <c r="P1143"/>
  <c r="R1143" s="1"/>
  <c r="P1144"/>
  <c r="R1144" s="1"/>
  <c r="P1145"/>
  <c r="R1145" s="1"/>
  <c r="P1146"/>
  <c r="R1146" s="1"/>
  <c r="P1147"/>
  <c r="R1147" s="1"/>
  <c r="P1148"/>
  <c r="R1148" s="1"/>
  <c r="P1149"/>
  <c r="R1149" s="1"/>
  <c r="P1150"/>
  <c r="R1150" s="1"/>
  <c r="P1151"/>
  <c r="R1151" s="1"/>
  <c r="P1152"/>
  <c r="R1152" s="1"/>
  <c r="P1153"/>
  <c r="R1153" s="1"/>
  <c r="P1154"/>
  <c r="R1154" s="1"/>
  <c r="P1155"/>
  <c r="R1155" s="1"/>
  <c r="P1156"/>
  <c r="R1156" s="1"/>
  <c r="P1157"/>
  <c r="R1157" s="1"/>
  <c r="P1158"/>
  <c r="R1158" s="1"/>
  <c r="P1159"/>
  <c r="R1159" s="1"/>
  <c r="P1160"/>
  <c r="R1160" s="1"/>
  <c r="P1161"/>
  <c r="R1161" s="1"/>
  <c r="P1162"/>
  <c r="R1162" s="1"/>
  <c r="P1163"/>
  <c r="R1163" s="1"/>
  <c r="P1164"/>
  <c r="R1164" s="1"/>
  <c r="P1165"/>
  <c r="R1165" s="1"/>
  <c r="P1166"/>
  <c r="R1166" s="1"/>
  <c r="P1167"/>
  <c r="R1167" s="1"/>
  <c r="P1168"/>
  <c r="R1168" s="1"/>
  <c r="P1169"/>
  <c r="R1169" s="1"/>
  <c r="P1170"/>
  <c r="R1170" s="1"/>
  <c r="P1171"/>
  <c r="R1171" s="1"/>
  <c r="P1172"/>
  <c r="R1172" s="1"/>
  <c r="P1173"/>
  <c r="R1173" s="1"/>
  <c r="P1174"/>
  <c r="R1174" s="1"/>
  <c r="P1175"/>
  <c r="R1175" s="1"/>
  <c r="P1176"/>
  <c r="R1176" s="1"/>
  <c r="P1177"/>
  <c r="R1177" s="1"/>
  <c r="P1178"/>
  <c r="R1178" s="1"/>
  <c r="P1179"/>
  <c r="R1179" s="1"/>
  <c r="P1180"/>
  <c r="R1180" s="1"/>
  <c r="P1181"/>
  <c r="R1181" s="1"/>
  <c r="P1182"/>
  <c r="R1182" s="1"/>
  <c r="P1183"/>
  <c r="R1183" s="1"/>
  <c r="P1184"/>
  <c r="R1184" s="1"/>
  <c r="P1185"/>
  <c r="R1185" s="1"/>
  <c r="P1186"/>
  <c r="R1186" s="1"/>
  <c r="P1187"/>
  <c r="R1187" s="1"/>
  <c r="P1188"/>
  <c r="R1188" s="1"/>
  <c r="P1189"/>
  <c r="R1189" s="1"/>
  <c r="P1190"/>
  <c r="R1190" s="1"/>
  <c r="P1191"/>
  <c r="R1191" s="1"/>
  <c r="P1192"/>
  <c r="R1192" s="1"/>
  <c r="P1193"/>
  <c r="R1193" s="1"/>
  <c r="P1194"/>
  <c r="R1194" s="1"/>
  <c r="P1195"/>
  <c r="R1195" s="1"/>
  <c r="P1196"/>
  <c r="R1196" s="1"/>
  <c r="P1197"/>
  <c r="R1197" s="1"/>
  <c r="P1198"/>
  <c r="R1198" s="1"/>
  <c r="P1199"/>
  <c r="R1199" s="1"/>
  <c r="P1200"/>
  <c r="R1200" s="1"/>
  <c r="P1201"/>
  <c r="R1201" s="1"/>
  <c r="P1202"/>
  <c r="R1202" s="1"/>
  <c r="P1203"/>
  <c r="R1203" s="1"/>
  <c r="P1204"/>
  <c r="R1204" s="1"/>
  <c r="P1205"/>
  <c r="R1205" s="1"/>
  <c r="P1206"/>
  <c r="R1206" s="1"/>
  <c r="P1207"/>
  <c r="R1207" s="1"/>
  <c r="P1208"/>
  <c r="R1208" s="1"/>
  <c r="P1209"/>
  <c r="R1209" s="1"/>
  <c r="P1210"/>
  <c r="R1210" s="1"/>
  <c r="P1211"/>
  <c r="R1211" s="1"/>
  <c r="P1212"/>
  <c r="R1212" s="1"/>
  <c r="P1213"/>
  <c r="R1213" s="1"/>
  <c r="P1214"/>
  <c r="R1214" s="1"/>
  <c r="P1215"/>
  <c r="R1215" s="1"/>
  <c r="P1216"/>
  <c r="R1216" s="1"/>
  <c r="P1217"/>
  <c r="R1217" s="1"/>
  <c r="P1218"/>
  <c r="R1218" s="1"/>
  <c r="P1219"/>
  <c r="R1219" s="1"/>
  <c r="P1220"/>
  <c r="R1220" s="1"/>
  <c r="P1221"/>
  <c r="R1221" s="1"/>
  <c r="P1222"/>
  <c r="R1222" s="1"/>
  <c r="P1223"/>
  <c r="R1223" s="1"/>
  <c r="P1224"/>
  <c r="R1224" s="1"/>
  <c r="P1225"/>
  <c r="R1225" s="1"/>
  <c r="P1226"/>
  <c r="R1226" s="1"/>
  <c r="P1227"/>
  <c r="R1227" s="1"/>
  <c r="P1228"/>
  <c r="R1228" s="1"/>
  <c r="P1229"/>
  <c r="R1229" s="1"/>
  <c r="P1230"/>
  <c r="R1230" s="1"/>
  <c r="P1231"/>
  <c r="R1231" s="1"/>
  <c r="P1232"/>
  <c r="R1232" s="1"/>
  <c r="P1233"/>
  <c r="R1233" s="1"/>
  <c r="P1234"/>
  <c r="R1234" s="1"/>
  <c r="P1235"/>
  <c r="R1235" s="1"/>
  <c r="P1236"/>
  <c r="R1236" s="1"/>
  <c r="P1237"/>
  <c r="R1237" s="1"/>
  <c r="P1238"/>
  <c r="R1238" s="1"/>
  <c r="P1239"/>
  <c r="R1239" s="1"/>
  <c r="P1240"/>
  <c r="R1240" s="1"/>
  <c r="P1241"/>
  <c r="R1241" s="1"/>
  <c r="P1242"/>
  <c r="R1242" s="1"/>
  <c r="P1243"/>
  <c r="R1243" s="1"/>
  <c r="P1244"/>
  <c r="R1244" s="1"/>
  <c r="P1245"/>
  <c r="R1245" s="1"/>
  <c r="P1246"/>
  <c r="R1246" s="1"/>
  <c r="P1247"/>
  <c r="R1247" s="1"/>
  <c r="P1248"/>
  <c r="R1248" s="1"/>
  <c r="P1249"/>
  <c r="R1249" s="1"/>
  <c r="P1250"/>
  <c r="R1250" s="1"/>
  <c r="P1251"/>
  <c r="R1251" s="1"/>
  <c r="P1252"/>
  <c r="R1252" s="1"/>
  <c r="P1253"/>
  <c r="R1253" s="1"/>
  <c r="P1254"/>
  <c r="R1254" s="1"/>
  <c r="P1255"/>
  <c r="R1255" s="1"/>
  <c r="P1256"/>
  <c r="R1256" s="1"/>
  <c r="P1257"/>
  <c r="R1257" s="1"/>
  <c r="P1258"/>
  <c r="R1258" s="1"/>
  <c r="P1259"/>
  <c r="R1259" s="1"/>
  <c r="P1260"/>
  <c r="R1260" s="1"/>
  <c r="P1261"/>
  <c r="R1261" s="1"/>
  <c r="P1262"/>
  <c r="R1262" s="1"/>
  <c r="P1263"/>
  <c r="R1263" s="1"/>
  <c r="P1264"/>
  <c r="R1264" s="1"/>
  <c r="P1265"/>
  <c r="R1265" s="1"/>
  <c r="P1266"/>
  <c r="R1266" s="1"/>
  <c r="P1267"/>
  <c r="R1267" s="1"/>
  <c r="P1268"/>
  <c r="R1268" s="1"/>
  <c r="P1269"/>
  <c r="R1269" s="1"/>
  <c r="P1270"/>
  <c r="R1270" s="1"/>
  <c r="P1271"/>
  <c r="R1271" s="1"/>
  <c r="P1272"/>
  <c r="R1272" s="1"/>
  <c r="P1273"/>
  <c r="R1273" s="1"/>
  <c r="P1274"/>
  <c r="R1274" s="1"/>
  <c r="P1275"/>
  <c r="R1275" s="1"/>
  <c r="P1276"/>
  <c r="R1276" s="1"/>
  <c r="P1277"/>
  <c r="R1277" s="1"/>
  <c r="P1278"/>
  <c r="R1278" s="1"/>
  <c r="P1279"/>
  <c r="R1279" s="1"/>
  <c r="P1280"/>
  <c r="R1280" s="1"/>
  <c r="P1281"/>
  <c r="R1281" s="1"/>
  <c r="P1282"/>
  <c r="R1282" s="1"/>
  <c r="P1283"/>
  <c r="R1283" s="1"/>
  <c r="P1284"/>
  <c r="R1284" s="1"/>
  <c r="P1285"/>
  <c r="R1285" s="1"/>
  <c r="P1286"/>
  <c r="R1286" s="1"/>
  <c r="P1287"/>
  <c r="R1287" s="1"/>
  <c r="P1288"/>
  <c r="R1288" s="1"/>
  <c r="P1289"/>
  <c r="R1289" s="1"/>
  <c r="P1290"/>
  <c r="R1290" s="1"/>
  <c r="P1291"/>
  <c r="R1291" s="1"/>
  <c r="P1292"/>
  <c r="R1292" s="1"/>
  <c r="P1293"/>
  <c r="R1293" s="1"/>
  <c r="P1294"/>
  <c r="R1294" s="1"/>
  <c r="P1295"/>
  <c r="R1295" s="1"/>
  <c r="P1296"/>
  <c r="R1296" s="1"/>
  <c r="P1297"/>
  <c r="R1297" s="1"/>
  <c r="P1298"/>
  <c r="R1298" s="1"/>
  <c r="P1299"/>
  <c r="R1299" s="1"/>
  <c r="P1300"/>
  <c r="R1300" s="1"/>
  <c r="P1301"/>
  <c r="R1301" s="1"/>
  <c r="P1302"/>
  <c r="R1302" s="1"/>
  <c r="P1303"/>
  <c r="R1303" s="1"/>
  <c r="P1304"/>
  <c r="R1304" s="1"/>
  <c r="P1305"/>
  <c r="R1305" s="1"/>
  <c r="P1306"/>
  <c r="R1306" s="1"/>
  <c r="P1307"/>
  <c r="R1307" s="1"/>
  <c r="P1308"/>
  <c r="R1308" s="1"/>
  <c r="P1309"/>
  <c r="R1309" s="1"/>
  <c r="P1310"/>
  <c r="R1310" s="1"/>
  <c r="P1311"/>
  <c r="R1311" s="1"/>
  <c r="P1312"/>
  <c r="R1312" s="1"/>
  <c r="P1313"/>
  <c r="R1313" s="1"/>
  <c r="P1314"/>
  <c r="R1314" s="1"/>
  <c r="P1315"/>
  <c r="R1315" s="1"/>
  <c r="P1316"/>
  <c r="R1316" s="1"/>
  <c r="P1317"/>
  <c r="R1317" s="1"/>
  <c r="P1318"/>
  <c r="R1318" s="1"/>
  <c r="P1319"/>
  <c r="R1319" s="1"/>
  <c r="P1320"/>
  <c r="R1320" s="1"/>
  <c r="P1321"/>
  <c r="R1321" s="1"/>
  <c r="P1322"/>
  <c r="R1322" s="1"/>
  <c r="P1323"/>
  <c r="R1323" s="1"/>
  <c r="P1324"/>
  <c r="R1324" s="1"/>
  <c r="P1325"/>
  <c r="R1325" s="1"/>
  <c r="P1326"/>
  <c r="R1326" s="1"/>
  <c r="P1327"/>
  <c r="R1327" s="1"/>
  <c r="P1328"/>
  <c r="R1328" s="1"/>
  <c r="P1329"/>
  <c r="R1329" s="1"/>
  <c r="P1330"/>
  <c r="R1330" s="1"/>
  <c r="P1331"/>
  <c r="R1331" s="1"/>
  <c r="P1332"/>
  <c r="R1332" s="1"/>
  <c r="P1333"/>
  <c r="R1333" s="1"/>
  <c r="P1334"/>
  <c r="R1334" s="1"/>
  <c r="P1335"/>
  <c r="R1335" s="1"/>
  <c r="P1336"/>
  <c r="R1336" s="1"/>
  <c r="P1337"/>
  <c r="R1337" s="1"/>
  <c r="P1338"/>
  <c r="R1338" s="1"/>
  <c r="P1339"/>
  <c r="R1339" s="1"/>
  <c r="P1340"/>
  <c r="R1340" s="1"/>
  <c r="P1341"/>
  <c r="R1341" s="1"/>
  <c r="P1342"/>
  <c r="R1342" s="1"/>
  <c r="P1343"/>
  <c r="R1343" s="1"/>
  <c r="P1344"/>
  <c r="R1344" s="1"/>
  <c r="P1345"/>
  <c r="R1345" s="1"/>
  <c r="P1346"/>
  <c r="R1346" s="1"/>
  <c r="P1347"/>
  <c r="R1347" s="1"/>
  <c r="P1348"/>
  <c r="R1348" s="1"/>
  <c r="P1349"/>
  <c r="R1349" s="1"/>
  <c r="P1350"/>
  <c r="R1350" s="1"/>
  <c r="P1351"/>
  <c r="R1351" s="1"/>
  <c r="P1352"/>
  <c r="R1352" s="1"/>
  <c r="P1353"/>
  <c r="R1353" s="1"/>
  <c r="P1354"/>
  <c r="R1354" s="1"/>
  <c r="P1355"/>
  <c r="R1355" s="1"/>
  <c r="P1356"/>
  <c r="R1356" s="1"/>
  <c r="P1357"/>
  <c r="R1357" s="1"/>
  <c r="P1358"/>
  <c r="R1358" s="1"/>
  <c r="P1359"/>
  <c r="R1359" s="1"/>
  <c r="P1360"/>
  <c r="R1360" s="1"/>
  <c r="P1361"/>
  <c r="R1361" s="1"/>
  <c r="P1362"/>
  <c r="R1362" s="1"/>
  <c r="P1363"/>
  <c r="R1363" s="1"/>
  <c r="P1364"/>
  <c r="R1364" s="1"/>
  <c r="P1365"/>
  <c r="R1365" s="1"/>
  <c r="P1366"/>
  <c r="R1366" s="1"/>
  <c r="P1367"/>
  <c r="R1367" s="1"/>
  <c r="P1368"/>
  <c r="R1368" s="1"/>
  <c r="P1369"/>
  <c r="R1369" s="1"/>
  <c r="P1370"/>
  <c r="R1370" s="1"/>
  <c r="P1371"/>
  <c r="R1371" s="1"/>
  <c r="P1372"/>
  <c r="R1372" s="1"/>
  <c r="P1373"/>
  <c r="R1373" s="1"/>
  <c r="P1374"/>
  <c r="R1374" s="1"/>
  <c r="P1375"/>
  <c r="R1375" s="1"/>
  <c r="P1376"/>
  <c r="R1376" s="1"/>
  <c r="P1377"/>
  <c r="R1377" s="1"/>
  <c r="P1378"/>
  <c r="R1378" s="1"/>
  <c r="P1379"/>
  <c r="R1379" s="1"/>
  <c r="P1380"/>
  <c r="R1380" s="1"/>
  <c r="P1381"/>
  <c r="R1381" s="1"/>
  <c r="P1382"/>
  <c r="R1382" s="1"/>
  <c r="P1383"/>
  <c r="R1383" s="1"/>
  <c r="P1384"/>
  <c r="R1384" s="1"/>
  <c r="P1385"/>
  <c r="R1385" s="1"/>
  <c r="P1386"/>
  <c r="R1386" s="1"/>
  <c r="P1387"/>
  <c r="R1387" s="1"/>
  <c r="P1388"/>
  <c r="R1388" s="1"/>
  <c r="P1389"/>
  <c r="R1389" s="1"/>
  <c r="P1390"/>
  <c r="R1390" s="1"/>
  <c r="P1391"/>
  <c r="R1391" s="1"/>
  <c r="P1392"/>
  <c r="R1392" s="1"/>
  <c r="P1393"/>
  <c r="R1393" s="1"/>
  <c r="P1394"/>
  <c r="R1394" s="1"/>
  <c r="P1395"/>
  <c r="R1395" s="1"/>
  <c r="P1396"/>
  <c r="R1396" s="1"/>
  <c r="P1397"/>
  <c r="R1397" s="1"/>
  <c r="P1398"/>
  <c r="R1398" s="1"/>
  <c r="P1399"/>
  <c r="R1399" s="1"/>
  <c r="P1400"/>
  <c r="R1400" s="1"/>
  <c r="P1401"/>
  <c r="R1401" s="1"/>
  <c r="P1402"/>
  <c r="R1402" s="1"/>
  <c r="P1403"/>
  <c r="R1403" s="1"/>
  <c r="P1404"/>
  <c r="R1404" s="1"/>
  <c r="P1405"/>
  <c r="R1405" s="1"/>
  <c r="P1406"/>
  <c r="R1406" s="1"/>
  <c r="P1407"/>
  <c r="R1407" s="1"/>
  <c r="P1408"/>
  <c r="R1408" s="1"/>
  <c r="P1409"/>
  <c r="R1409" s="1"/>
  <c r="P1410"/>
  <c r="R1410" s="1"/>
  <c r="P1411"/>
  <c r="R1411" s="1"/>
  <c r="P1412"/>
  <c r="R1412" s="1"/>
  <c r="P1413"/>
  <c r="R1413" s="1"/>
  <c r="P1414"/>
  <c r="R1414" s="1"/>
  <c r="P1415"/>
  <c r="R1415" s="1"/>
  <c r="P1416"/>
  <c r="R1416" s="1"/>
  <c r="P1417"/>
  <c r="R1417" s="1"/>
  <c r="P1418"/>
  <c r="R1418" s="1"/>
  <c r="P1419"/>
  <c r="R1419" s="1"/>
  <c r="P1420"/>
  <c r="R1420" s="1"/>
  <c r="P1421"/>
  <c r="R1421" s="1"/>
  <c r="P1422"/>
  <c r="R1422" s="1"/>
  <c r="P1423"/>
  <c r="R1423" s="1"/>
  <c r="P1424"/>
  <c r="R1424" s="1"/>
  <c r="P1425"/>
  <c r="R1425" s="1"/>
  <c r="P1426"/>
  <c r="R1426" s="1"/>
  <c r="P1427"/>
  <c r="R1427" s="1"/>
  <c r="P1428"/>
  <c r="R1428" s="1"/>
  <c r="P1429"/>
  <c r="R1429" s="1"/>
  <c r="P1430"/>
  <c r="R1430" s="1"/>
  <c r="P1431"/>
  <c r="R1431" s="1"/>
  <c r="P1432"/>
  <c r="R1432" s="1"/>
  <c r="P1433"/>
  <c r="R1433" s="1"/>
  <c r="P1434"/>
  <c r="R1434" s="1"/>
  <c r="P1435"/>
  <c r="R1435" s="1"/>
  <c r="P1436"/>
  <c r="R1436" s="1"/>
  <c r="P1437"/>
  <c r="R1437" s="1"/>
  <c r="P1438"/>
  <c r="R1438" s="1"/>
  <c r="P1439"/>
  <c r="R1439" s="1"/>
  <c r="P1440"/>
  <c r="R1440" s="1"/>
  <c r="P1441"/>
  <c r="R1441" s="1"/>
  <c r="P1442"/>
  <c r="R1442" s="1"/>
  <c r="P1443"/>
  <c r="R1443" s="1"/>
  <c r="P1444"/>
  <c r="R1444" s="1"/>
  <c r="P1445"/>
  <c r="R1445" s="1"/>
  <c r="P1446"/>
  <c r="R1446" s="1"/>
  <c r="P1447"/>
  <c r="R1447" s="1"/>
  <c r="P1448"/>
  <c r="R1448" s="1"/>
  <c r="P1449"/>
  <c r="R1449" s="1"/>
  <c r="P1450"/>
  <c r="R1450" s="1"/>
  <c r="P1451"/>
  <c r="R1451" s="1"/>
  <c r="P1452"/>
  <c r="R1452" s="1"/>
  <c r="P1453"/>
  <c r="R1453" s="1"/>
  <c r="P1454"/>
  <c r="R1454" s="1"/>
  <c r="P1455"/>
  <c r="R1455" s="1"/>
  <c r="P1456"/>
  <c r="R1456" s="1"/>
  <c r="P1457"/>
  <c r="R1457" s="1"/>
  <c r="P1458"/>
  <c r="R1458" s="1"/>
  <c r="P1459"/>
  <c r="R1459" s="1"/>
  <c r="P1460"/>
  <c r="R1460" s="1"/>
  <c r="P1461"/>
  <c r="R1461" s="1"/>
  <c r="P1462"/>
  <c r="R1462" s="1"/>
  <c r="P1463"/>
  <c r="R1463" s="1"/>
  <c r="P1464"/>
  <c r="R1464" s="1"/>
  <c r="P1465"/>
  <c r="R1465" s="1"/>
  <c r="P1466"/>
  <c r="R1466" s="1"/>
  <c r="P1467"/>
  <c r="R1467" s="1"/>
  <c r="P1468"/>
  <c r="R1468" s="1"/>
  <c r="P1469"/>
  <c r="R1469" s="1"/>
  <c r="P1470"/>
  <c r="R1470" s="1"/>
  <c r="P1471"/>
  <c r="R1471" s="1"/>
  <c r="P1472"/>
  <c r="R1472" s="1"/>
  <c r="P1473"/>
  <c r="R1473" s="1"/>
  <c r="P1474"/>
  <c r="R1474" s="1"/>
  <c r="P1475"/>
  <c r="R1475" s="1"/>
  <c r="P1476"/>
  <c r="R1476" s="1"/>
  <c r="P1477"/>
  <c r="R1477" s="1"/>
  <c r="P1478"/>
  <c r="R1478" s="1"/>
  <c r="P1479"/>
  <c r="R1479" s="1"/>
  <c r="P1480"/>
  <c r="R1480" s="1"/>
  <c r="P1481"/>
  <c r="R1481" s="1"/>
  <c r="P1482"/>
  <c r="R1482" s="1"/>
  <c r="P1483"/>
  <c r="R1483" s="1"/>
  <c r="P1484"/>
  <c r="R1484" s="1"/>
  <c r="P1485"/>
  <c r="R1485" s="1"/>
  <c r="P1486"/>
  <c r="R1486" s="1"/>
  <c r="P1487"/>
  <c r="R1487" s="1"/>
  <c r="P1488"/>
  <c r="R1488" s="1"/>
  <c r="P1489"/>
  <c r="R1489" s="1"/>
  <c r="P1490"/>
  <c r="R1490" s="1"/>
  <c r="P1491"/>
  <c r="R1491" s="1"/>
  <c r="P1492"/>
  <c r="R1492" s="1"/>
  <c r="P1493"/>
  <c r="R1493" s="1"/>
  <c r="P1494"/>
  <c r="R1494" s="1"/>
  <c r="P1495"/>
  <c r="R1495" s="1"/>
  <c r="P1496"/>
  <c r="R1496" s="1"/>
  <c r="P1497"/>
  <c r="R1497" s="1"/>
  <c r="P1498"/>
  <c r="R1498" s="1"/>
  <c r="P1499"/>
  <c r="R1499" s="1"/>
  <c r="P1500"/>
  <c r="R1500" s="1"/>
  <c r="P1501"/>
  <c r="R1501" s="1"/>
  <c r="P1502"/>
  <c r="R1502" s="1"/>
  <c r="P1503"/>
  <c r="R1503" s="1"/>
  <c r="P1504"/>
  <c r="R1504" s="1"/>
  <c r="P1505"/>
  <c r="R1505" s="1"/>
  <c r="P1506"/>
  <c r="R1506" s="1"/>
  <c r="P1507"/>
  <c r="R1507" s="1"/>
  <c r="P1508"/>
  <c r="R1508" s="1"/>
  <c r="P1509"/>
  <c r="R1509" s="1"/>
  <c r="P1510"/>
  <c r="R1510" s="1"/>
  <c r="P1511"/>
  <c r="R1511" s="1"/>
  <c r="P1512"/>
  <c r="R1512" s="1"/>
  <c r="P1513"/>
  <c r="R1513" s="1"/>
  <c r="P1514"/>
  <c r="R1514" s="1"/>
  <c r="P1515"/>
  <c r="R1515" s="1"/>
  <c r="P1516"/>
  <c r="R1516" s="1"/>
  <c r="P1517"/>
  <c r="R1517" s="1"/>
  <c r="P1518"/>
  <c r="R1518" s="1"/>
  <c r="P1519"/>
  <c r="R1519" s="1"/>
  <c r="P1520"/>
  <c r="R1520" s="1"/>
  <c r="P1521"/>
  <c r="R1521" s="1"/>
  <c r="P1522"/>
  <c r="R1522" s="1"/>
  <c r="P1523"/>
  <c r="R1523" s="1"/>
  <c r="P1524"/>
  <c r="R1524" s="1"/>
  <c r="P1525"/>
  <c r="R1525" s="1"/>
  <c r="P1526"/>
  <c r="R1526" s="1"/>
  <c r="P1527"/>
  <c r="R1527" s="1"/>
  <c r="P1528"/>
  <c r="R1528" s="1"/>
  <c r="P1529"/>
  <c r="R1529" s="1"/>
  <c r="P1530"/>
  <c r="R1530" s="1"/>
  <c r="P1531"/>
  <c r="R1531" s="1"/>
  <c r="P1532"/>
  <c r="R1532" s="1"/>
  <c r="P1533"/>
  <c r="R1533" s="1"/>
  <c r="P1534"/>
  <c r="R1534" s="1"/>
  <c r="P1535"/>
  <c r="R1535" s="1"/>
  <c r="P1536"/>
  <c r="R1536" s="1"/>
  <c r="P1537"/>
  <c r="R1537" s="1"/>
  <c r="P1538"/>
  <c r="R1538" s="1"/>
  <c r="P1539"/>
  <c r="R1539" s="1"/>
  <c r="P1540"/>
  <c r="R1540" s="1"/>
  <c r="P1541"/>
  <c r="R1541" s="1"/>
  <c r="P1542"/>
  <c r="R1542" s="1"/>
  <c r="P1543"/>
  <c r="R1543" s="1"/>
  <c r="P1544"/>
  <c r="R1544" s="1"/>
  <c r="P1545"/>
  <c r="R1545" s="1"/>
  <c r="P1546"/>
  <c r="R1546" s="1"/>
  <c r="P1547"/>
  <c r="R1547" s="1"/>
  <c r="P1548"/>
  <c r="R1548" s="1"/>
  <c r="P1549"/>
  <c r="R1549" s="1"/>
  <c r="P1550"/>
  <c r="R1550" s="1"/>
  <c r="P1551"/>
  <c r="R1551" s="1"/>
  <c r="P1552"/>
  <c r="R1552" s="1"/>
  <c r="P1553"/>
  <c r="R1553" s="1"/>
  <c r="P1554"/>
  <c r="R1554" s="1"/>
  <c r="P1555"/>
  <c r="R1555" s="1"/>
  <c r="P1556"/>
  <c r="R1556" s="1"/>
  <c r="P1557"/>
  <c r="R1557" s="1"/>
  <c r="P1558"/>
  <c r="R1558" s="1"/>
  <c r="P1559"/>
  <c r="R1559" s="1"/>
  <c r="P1560"/>
  <c r="R1560" s="1"/>
  <c r="P1561"/>
  <c r="R1561" s="1"/>
  <c r="P1562"/>
  <c r="R1562" s="1"/>
  <c r="P1563"/>
  <c r="R1563" s="1"/>
  <c r="P1564"/>
  <c r="R1564" s="1"/>
  <c r="P1565"/>
  <c r="R1565" s="1"/>
  <c r="P1566"/>
  <c r="R1566" s="1"/>
  <c r="P1567"/>
  <c r="R1567" s="1"/>
  <c r="P1568"/>
  <c r="R1568" s="1"/>
  <c r="P1569"/>
  <c r="R1569" s="1"/>
  <c r="P1570"/>
  <c r="R1570" s="1"/>
  <c r="P1571"/>
  <c r="R1571" s="1"/>
  <c r="P1572"/>
  <c r="R1572" s="1"/>
  <c r="P1573"/>
  <c r="R1573" s="1"/>
  <c r="P1574"/>
  <c r="R1574" s="1"/>
  <c r="P1575"/>
  <c r="R1575" s="1"/>
  <c r="P1576"/>
  <c r="R1576" s="1"/>
  <c r="P1577"/>
  <c r="R1577" s="1"/>
  <c r="P1578"/>
  <c r="R1578" s="1"/>
  <c r="P1579"/>
  <c r="R1579" s="1"/>
  <c r="P1580"/>
  <c r="R1580" s="1"/>
  <c r="P1581"/>
  <c r="R1581" s="1"/>
  <c r="P1582"/>
  <c r="R1582" s="1"/>
  <c r="P1583"/>
  <c r="R1583" s="1"/>
  <c r="P1584"/>
  <c r="R1584" s="1"/>
  <c r="P1585"/>
  <c r="R1585" s="1"/>
  <c r="P1586"/>
  <c r="R1586" s="1"/>
  <c r="P1587"/>
  <c r="R1587" s="1"/>
  <c r="P1588"/>
  <c r="R1588" s="1"/>
  <c r="P1589"/>
  <c r="R1589" s="1"/>
  <c r="P1590"/>
  <c r="R1590" s="1"/>
  <c r="P1591"/>
  <c r="R1591" s="1"/>
  <c r="P1592"/>
  <c r="R1592" s="1"/>
  <c r="P1593"/>
  <c r="R1593" s="1"/>
  <c r="P1594"/>
  <c r="R1594" s="1"/>
  <c r="P1595"/>
  <c r="R1595" s="1"/>
  <c r="P1596"/>
  <c r="R1596" s="1"/>
  <c r="P1597"/>
  <c r="R1597" s="1"/>
  <c r="P1598"/>
  <c r="R1598" s="1"/>
  <c r="P1599"/>
  <c r="R1599" s="1"/>
  <c r="P1600"/>
  <c r="R1600" s="1"/>
  <c r="P1601"/>
  <c r="R1601" s="1"/>
  <c r="P1602"/>
  <c r="R1602" s="1"/>
  <c r="P1603"/>
  <c r="R1603" s="1"/>
  <c r="P1604"/>
  <c r="R1604" s="1"/>
  <c r="P1605"/>
  <c r="R1605" s="1"/>
  <c r="P1606"/>
  <c r="R1606" s="1"/>
  <c r="P1607"/>
  <c r="R1607" s="1"/>
  <c r="P1608"/>
  <c r="R1608" s="1"/>
  <c r="P1609"/>
  <c r="R1609" s="1"/>
  <c r="P1610"/>
  <c r="R1610" s="1"/>
  <c r="P1611"/>
  <c r="R1611" s="1"/>
  <c r="P1612"/>
  <c r="R1612" s="1"/>
  <c r="P1613"/>
  <c r="R1613" s="1"/>
  <c r="P1614"/>
  <c r="R1614" s="1"/>
  <c r="P1615"/>
  <c r="R1615" s="1"/>
  <c r="P1616"/>
  <c r="R1616" s="1"/>
  <c r="P1617"/>
  <c r="R1617" s="1"/>
  <c r="P1618"/>
  <c r="R1618" s="1"/>
  <c r="P1619"/>
  <c r="R1619" s="1"/>
  <c r="P1620"/>
  <c r="R1620" s="1"/>
  <c r="P1621"/>
  <c r="R1621" s="1"/>
  <c r="P1622"/>
  <c r="R1622" s="1"/>
  <c r="P1623"/>
  <c r="R1623" s="1"/>
  <c r="P1624"/>
  <c r="R1624" s="1"/>
  <c r="P1625"/>
  <c r="R1625" s="1"/>
  <c r="P1626"/>
  <c r="R1626" s="1"/>
  <c r="P1627"/>
  <c r="R1627" s="1"/>
  <c r="P1628"/>
  <c r="R1628" s="1"/>
  <c r="P1629"/>
  <c r="R1629" s="1"/>
  <c r="P1630"/>
  <c r="R1630" s="1"/>
  <c r="P1631"/>
  <c r="R1631" s="1"/>
  <c r="P1632"/>
  <c r="R1632" s="1"/>
  <c r="P1633"/>
  <c r="R1633" s="1"/>
  <c r="P1634"/>
  <c r="R1634" s="1"/>
  <c r="P1635"/>
  <c r="R1635" s="1"/>
  <c r="P1636"/>
  <c r="R1636" s="1"/>
  <c r="P1637"/>
  <c r="R1637" s="1"/>
  <c r="P1638"/>
  <c r="R1638" s="1"/>
  <c r="P1639"/>
  <c r="R1639" s="1"/>
  <c r="P1640"/>
  <c r="R1640" s="1"/>
  <c r="P1641"/>
  <c r="R1641" s="1"/>
  <c r="P1642"/>
  <c r="R1642" s="1"/>
  <c r="P1643"/>
  <c r="R1643" s="1"/>
  <c r="P1644"/>
  <c r="R1644" s="1"/>
  <c r="P1645"/>
  <c r="R1645" s="1"/>
  <c r="P1646"/>
  <c r="R1646" s="1"/>
  <c r="P1647"/>
  <c r="R1647" s="1"/>
  <c r="P1648"/>
  <c r="R1648" s="1"/>
  <c r="P1649"/>
  <c r="R1649" s="1"/>
  <c r="P1650"/>
  <c r="R1650" s="1"/>
  <c r="P1651"/>
  <c r="R1651" s="1"/>
  <c r="P1652"/>
  <c r="R1652" s="1"/>
  <c r="P1653"/>
  <c r="R1653" s="1"/>
  <c r="P1654"/>
  <c r="R1654" s="1"/>
  <c r="P1655"/>
  <c r="R1655" s="1"/>
  <c r="P1656"/>
  <c r="R1656" s="1"/>
  <c r="P1657"/>
  <c r="R1657" s="1"/>
  <c r="P1658"/>
  <c r="R1658" s="1"/>
  <c r="P1659"/>
  <c r="R1659" s="1"/>
  <c r="P1660"/>
  <c r="R1660" s="1"/>
  <c r="P1661"/>
  <c r="R1661" s="1"/>
  <c r="P1662"/>
  <c r="R1662" s="1"/>
  <c r="P1663"/>
  <c r="R1663" s="1"/>
  <c r="P1664"/>
  <c r="R1664" s="1"/>
  <c r="P1665"/>
  <c r="R1665" s="1"/>
  <c r="P1666"/>
  <c r="R1666" s="1"/>
  <c r="P1667"/>
  <c r="R1667" s="1"/>
  <c r="P1668"/>
  <c r="R1668" s="1"/>
  <c r="P1669"/>
  <c r="R1669" s="1"/>
  <c r="P1670"/>
  <c r="R1670" s="1"/>
  <c r="P1671"/>
  <c r="R1671" s="1"/>
  <c r="P1672"/>
  <c r="R1672" s="1"/>
  <c r="P1673"/>
  <c r="R1673" s="1"/>
  <c r="P1674"/>
  <c r="R1674" s="1"/>
  <c r="P1675"/>
  <c r="R1675" s="1"/>
  <c r="P1676"/>
  <c r="R1676" s="1"/>
  <c r="P1677"/>
  <c r="R1677" s="1"/>
  <c r="P1678"/>
  <c r="R1678" s="1"/>
  <c r="P1679"/>
  <c r="R1679" s="1"/>
  <c r="P1680"/>
  <c r="R1680" s="1"/>
  <c r="P1681"/>
  <c r="R1681" s="1"/>
  <c r="P1682"/>
  <c r="R1682" s="1"/>
  <c r="P1683"/>
  <c r="R1683" s="1"/>
  <c r="P1684"/>
  <c r="R1684" s="1"/>
  <c r="P1685"/>
  <c r="R1685" s="1"/>
  <c r="P1686"/>
  <c r="R1686" s="1"/>
  <c r="P1687"/>
  <c r="R1687" s="1"/>
  <c r="P1688"/>
  <c r="R1688" s="1"/>
  <c r="P1689"/>
  <c r="R1689" s="1"/>
  <c r="P1690"/>
  <c r="R1690" s="1"/>
  <c r="P1691"/>
  <c r="R1691" s="1"/>
  <c r="P1692"/>
  <c r="R1692" s="1"/>
  <c r="P1693"/>
  <c r="R1693" s="1"/>
  <c r="P1694"/>
  <c r="R1694" s="1"/>
  <c r="P1695"/>
  <c r="R1695" s="1"/>
  <c r="P1696"/>
  <c r="R1696" s="1"/>
  <c r="P1697"/>
  <c r="R1697" s="1"/>
  <c r="P1698"/>
  <c r="R1698" s="1"/>
  <c r="P1699"/>
  <c r="R1699" s="1"/>
  <c r="P1700"/>
  <c r="R1700" s="1"/>
  <c r="P1701"/>
  <c r="R1701" s="1"/>
  <c r="P1702"/>
  <c r="R1702" s="1"/>
  <c r="P1703"/>
  <c r="R1703" s="1"/>
  <c r="P1704"/>
  <c r="R1704" s="1"/>
  <c r="P1705"/>
  <c r="R1705" s="1"/>
  <c r="P1706"/>
  <c r="R1706" s="1"/>
  <c r="P1707"/>
  <c r="R1707" s="1"/>
  <c r="P1708"/>
  <c r="R1708" s="1"/>
  <c r="P1709"/>
  <c r="R1709" s="1"/>
  <c r="P1710"/>
  <c r="R1710" s="1"/>
  <c r="P1711"/>
  <c r="R1711" s="1"/>
  <c r="P1712"/>
  <c r="R1712" s="1"/>
  <c r="P1713"/>
  <c r="R1713" s="1"/>
  <c r="P1714"/>
  <c r="R1714" s="1"/>
  <c r="P1715"/>
  <c r="R1715" s="1"/>
  <c r="P1716"/>
  <c r="R1716" s="1"/>
  <c r="P1717"/>
  <c r="R1717" s="1"/>
  <c r="P1718"/>
  <c r="R1718" s="1"/>
  <c r="P1719"/>
  <c r="R1719" s="1"/>
  <c r="P1720"/>
  <c r="R1720" s="1"/>
  <c r="P1721"/>
  <c r="R1721" s="1"/>
  <c r="P1722"/>
  <c r="R1722" s="1"/>
  <c r="P1723"/>
  <c r="R1723" s="1"/>
  <c r="P1724"/>
  <c r="R1724" s="1"/>
  <c r="P1725"/>
  <c r="R1725" s="1"/>
  <c r="P1726"/>
  <c r="R1726" s="1"/>
  <c r="P1727"/>
  <c r="R1727" s="1"/>
  <c r="P1728"/>
  <c r="R1728" s="1"/>
  <c r="P1729"/>
  <c r="R1729" s="1"/>
  <c r="P1730"/>
  <c r="R1730" s="1"/>
  <c r="P1731"/>
  <c r="R1731" s="1"/>
  <c r="P1732"/>
  <c r="R1732" s="1"/>
  <c r="P1733"/>
  <c r="R1733" s="1"/>
  <c r="P1734"/>
  <c r="R1734" s="1"/>
  <c r="P1735"/>
  <c r="R1735" s="1"/>
  <c r="P1736"/>
  <c r="R1736" s="1"/>
  <c r="P1737"/>
  <c r="R1737" s="1"/>
  <c r="P1738"/>
  <c r="R1738" s="1"/>
  <c r="P1739"/>
  <c r="R1739" s="1"/>
  <c r="P1740"/>
  <c r="R1740" s="1"/>
  <c r="P1741"/>
  <c r="R1741" s="1"/>
  <c r="P1742"/>
  <c r="R1742" s="1"/>
  <c r="P1743"/>
  <c r="R1743" s="1"/>
  <c r="P1744"/>
  <c r="R1744" s="1"/>
  <c r="P1745"/>
  <c r="R1745" s="1"/>
  <c r="P1746"/>
  <c r="R1746" s="1"/>
  <c r="P1747"/>
  <c r="R1747" s="1"/>
  <c r="P1748"/>
  <c r="R1748" s="1"/>
  <c r="P1749"/>
  <c r="R1749" s="1"/>
  <c r="P1750"/>
  <c r="R1750" s="1"/>
  <c r="P1751"/>
  <c r="R1751" s="1"/>
  <c r="P1752"/>
  <c r="R1752" s="1"/>
  <c r="P1753"/>
  <c r="R1753" s="1"/>
  <c r="P1754"/>
  <c r="R1754" s="1"/>
  <c r="P1755"/>
  <c r="R1755" s="1"/>
  <c r="P1756"/>
  <c r="R1756" s="1"/>
  <c r="P1757"/>
  <c r="R1757" s="1"/>
  <c r="P1758"/>
  <c r="R1758" s="1"/>
  <c r="P1759"/>
  <c r="R1759" s="1"/>
  <c r="P1760"/>
  <c r="R1760" s="1"/>
  <c r="P1761"/>
  <c r="R1761" s="1"/>
  <c r="P1762"/>
  <c r="R1762" s="1"/>
  <c r="P1763"/>
  <c r="R1763" s="1"/>
  <c r="P1764"/>
  <c r="R1764" s="1"/>
  <c r="P1765"/>
  <c r="R1765" s="1"/>
  <c r="P1766"/>
  <c r="R1766" s="1"/>
  <c r="P1767"/>
  <c r="R1767" s="1"/>
  <c r="P1768"/>
  <c r="R1768" s="1"/>
  <c r="P1769"/>
  <c r="R1769" s="1"/>
  <c r="P1770"/>
  <c r="R1770" s="1"/>
  <c r="P1771"/>
  <c r="R1771" s="1"/>
  <c r="P1772"/>
  <c r="R1772" s="1"/>
  <c r="P1773"/>
  <c r="R1773" s="1"/>
  <c r="P1774"/>
  <c r="R1774" s="1"/>
  <c r="P1775"/>
  <c r="R1775" s="1"/>
  <c r="P1776"/>
  <c r="R1776" s="1"/>
  <c r="P1777"/>
  <c r="R1777" s="1"/>
  <c r="P1778"/>
  <c r="R1778" s="1"/>
  <c r="P1779"/>
  <c r="R1779" s="1"/>
  <c r="P1780"/>
  <c r="R1780" s="1"/>
  <c r="P1781"/>
  <c r="R1781" s="1"/>
  <c r="P1782"/>
  <c r="R1782" s="1"/>
  <c r="P1783"/>
  <c r="R1783" s="1"/>
  <c r="P1784"/>
  <c r="R1784" s="1"/>
  <c r="P1785"/>
  <c r="R1785" s="1"/>
  <c r="P1786"/>
  <c r="R1786" s="1"/>
  <c r="P1787"/>
  <c r="R1787" s="1"/>
  <c r="P1788"/>
  <c r="R1788" s="1"/>
  <c r="P1789"/>
  <c r="R1789" s="1"/>
  <c r="P1790"/>
  <c r="R1790" s="1"/>
  <c r="P1791"/>
  <c r="R1791" s="1"/>
  <c r="P1792"/>
  <c r="R1792" s="1"/>
  <c r="P1793"/>
  <c r="R1793" s="1"/>
  <c r="P1794"/>
  <c r="R1794" s="1"/>
  <c r="P1795"/>
  <c r="R1795" s="1"/>
  <c r="P1796"/>
  <c r="R1796" s="1"/>
  <c r="P1797"/>
  <c r="R1797" s="1"/>
  <c r="P1798"/>
  <c r="R1798" s="1"/>
  <c r="P1799"/>
  <c r="R1799" s="1"/>
  <c r="P1800"/>
  <c r="R1800" s="1"/>
  <c r="P1801"/>
  <c r="R1801" s="1"/>
  <c r="P1802"/>
  <c r="R1802" s="1"/>
  <c r="P1803"/>
  <c r="R1803" s="1"/>
  <c r="P1804"/>
  <c r="R1804" s="1"/>
  <c r="P1805"/>
  <c r="R1805" s="1"/>
  <c r="P1806"/>
  <c r="R1806" s="1"/>
  <c r="P1807"/>
  <c r="R1807" s="1"/>
  <c r="P1808"/>
  <c r="R1808" s="1"/>
  <c r="P1809"/>
  <c r="R1809" s="1"/>
  <c r="P1810"/>
  <c r="R1810" s="1"/>
  <c r="P1811"/>
  <c r="R1811" s="1"/>
  <c r="P1812"/>
  <c r="R1812" s="1"/>
  <c r="P1813"/>
  <c r="R1813" s="1"/>
  <c r="P1814"/>
  <c r="R1814" s="1"/>
  <c r="P1815"/>
  <c r="R1815" s="1"/>
  <c r="P1816"/>
  <c r="R1816" s="1"/>
  <c r="P1817"/>
  <c r="R1817" s="1"/>
  <c r="P1818"/>
  <c r="R1818" s="1"/>
  <c r="P1819"/>
  <c r="R1819" s="1"/>
  <c r="P1820"/>
  <c r="R1820" s="1"/>
  <c r="P1821"/>
  <c r="R1821" s="1"/>
  <c r="P1822"/>
  <c r="R1822" s="1"/>
  <c r="P1823"/>
  <c r="R1823" s="1"/>
  <c r="P1824"/>
  <c r="R1824" s="1"/>
  <c r="P1825"/>
  <c r="R1825" s="1"/>
  <c r="P1826"/>
  <c r="R1826" s="1"/>
  <c r="P1827"/>
  <c r="R1827" s="1"/>
  <c r="P1828"/>
  <c r="R1828" s="1"/>
  <c r="P1829"/>
  <c r="R1829" s="1"/>
  <c r="P1830"/>
  <c r="R1830" s="1"/>
  <c r="P1831"/>
  <c r="R1831" s="1"/>
  <c r="P1832"/>
  <c r="R1832" s="1"/>
  <c r="P1833"/>
  <c r="R1833" s="1"/>
  <c r="P1834"/>
  <c r="R1834" s="1"/>
  <c r="P1835"/>
  <c r="R1835" s="1"/>
  <c r="P1836"/>
  <c r="R1836" s="1"/>
  <c r="P1837"/>
  <c r="R1837" s="1"/>
  <c r="P1838"/>
  <c r="R1838" s="1"/>
  <c r="P1839"/>
  <c r="R1839" s="1"/>
  <c r="P1840"/>
  <c r="R1840" s="1"/>
  <c r="P1841"/>
  <c r="R1841" s="1"/>
  <c r="P1842"/>
  <c r="R1842" s="1"/>
  <c r="P1843"/>
  <c r="R1843" s="1"/>
  <c r="P1844"/>
  <c r="R1844" s="1"/>
  <c r="P1845"/>
  <c r="R1845" s="1"/>
  <c r="P1846"/>
  <c r="R1846" s="1"/>
  <c r="P1847"/>
  <c r="R1847" s="1"/>
  <c r="P1848"/>
  <c r="R1848" s="1"/>
  <c r="P1849"/>
  <c r="R1849" s="1"/>
  <c r="P1850"/>
  <c r="R1850" s="1"/>
  <c r="P1851"/>
  <c r="R1851" s="1"/>
  <c r="P1852"/>
  <c r="R1852" s="1"/>
  <c r="P1853"/>
  <c r="R1853" s="1"/>
  <c r="P1854"/>
  <c r="R1854" s="1"/>
  <c r="P1855"/>
  <c r="R1855" s="1"/>
  <c r="P1856"/>
  <c r="R1856" s="1"/>
  <c r="P1857"/>
  <c r="R1857" s="1"/>
  <c r="P1858"/>
  <c r="R1858" s="1"/>
  <c r="P1859"/>
  <c r="R1859" s="1"/>
  <c r="P1860"/>
  <c r="R1860" s="1"/>
  <c r="P1861"/>
  <c r="R1861" s="1"/>
  <c r="P1862"/>
  <c r="R1862" s="1"/>
  <c r="P1863"/>
  <c r="R1863" s="1"/>
  <c r="P1864"/>
  <c r="R1864" s="1"/>
  <c r="P1865"/>
  <c r="R1865" s="1"/>
  <c r="P1866"/>
  <c r="R1866" s="1"/>
  <c r="P1867"/>
  <c r="R1867" s="1"/>
  <c r="P1868"/>
  <c r="R1868" s="1"/>
  <c r="P1869"/>
  <c r="R1869" s="1"/>
  <c r="P1870"/>
  <c r="R1870" s="1"/>
  <c r="P1871"/>
  <c r="R1871" s="1"/>
  <c r="P1872"/>
  <c r="R1872" s="1"/>
  <c r="P1873"/>
  <c r="R1873" s="1"/>
  <c r="P1874"/>
  <c r="R1874" s="1"/>
  <c r="P1875"/>
  <c r="R1875" s="1"/>
  <c r="P1876"/>
  <c r="R1876" s="1"/>
  <c r="P1877"/>
  <c r="R1877" s="1"/>
  <c r="P1878"/>
  <c r="R1878" s="1"/>
  <c r="P1879"/>
  <c r="R1879" s="1"/>
  <c r="P1880"/>
  <c r="R1880" s="1"/>
  <c r="P1881"/>
  <c r="R1881" s="1"/>
  <c r="P1882"/>
  <c r="R1882" s="1"/>
  <c r="P1883"/>
  <c r="R1883" s="1"/>
  <c r="P1884"/>
  <c r="R1884" s="1"/>
  <c r="P1885"/>
  <c r="R1885" s="1"/>
  <c r="P1886"/>
  <c r="R1886" s="1"/>
  <c r="P1887"/>
  <c r="R1887" s="1"/>
  <c r="P1888"/>
  <c r="R1888" s="1"/>
  <c r="P1889"/>
  <c r="R1889" s="1"/>
  <c r="P1890"/>
  <c r="R1890" s="1"/>
  <c r="P1891"/>
  <c r="R1891" s="1"/>
  <c r="P1892"/>
  <c r="R1892" s="1"/>
  <c r="P1893"/>
  <c r="R1893" s="1"/>
  <c r="P1894"/>
  <c r="R1894" s="1"/>
  <c r="P1895"/>
  <c r="R1895" s="1"/>
  <c r="P1896"/>
  <c r="R1896" s="1"/>
  <c r="P1897"/>
  <c r="R1897" s="1"/>
  <c r="P1898"/>
  <c r="R1898" s="1"/>
  <c r="P1899"/>
  <c r="R1899" s="1"/>
  <c r="P1900"/>
  <c r="R1900" s="1"/>
  <c r="P1901"/>
  <c r="R1901" s="1"/>
  <c r="P1902"/>
  <c r="R1902" s="1"/>
  <c r="P1903"/>
  <c r="R1903" s="1"/>
  <c r="P1904"/>
  <c r="R1904" s="1"/>
  <c r="P1905"/>
  <c r="R1905" s="1"/>
  <c r="P1906"/>
  <c r="R1906" s="1"/>
  <c r="P1907"/>
  <c r="R1907" s="1"/>
  <c r="P1908"/>
  <c r="R1908" s="1"/>
  <c r="P1909"/>
  <c r="R1909" s="1"/>
  <c r="P1910"/>
  <c r="R1910" s="1"/>
  <c r="P1911"/>
  <c r="R1911" s="1"/>
  <c r="P1912"/>
  <c r="R1912" s="1"/>
  <c r="P1913"/>
  <c r="R1913" s="1"/>
  <c r="P1914"/>
  <c r="R1914" s="1"/>
  <c r="P1915"/>
  <c r="R1915" s="1"/>
  <c r="P1916"/>
  <c r="R1916" s="1"/>
  <c r="P1917"/>
  <c r="R1917" s="1"/>
  <c r="P1918"/>
  <c r="R1918" s="1"/>
  <c r="P1919"/>
  <c r="R1919" s="1"/>
  <c r="P1920"/>
  <c r="R1920" s="1"/>
  <c r="P1921"/>
  <c r="R1921" s="1"/>
  <c r="P1922"/>
  <c r="R1922" s="1"/>
  <c r="P1923"/>
  <c r="R1923" s="1"/>
  <c r="P1924"/>
  <c r="R1924" s="1"/>
  <c r="P1925"/>
  <c r="R1925" s="1"/>
  <c r="P1926"/>
  <c r="R1926" s="1"/>
  <c r="P1927"/>
  <c r="R1927" s="1"/>
  <c r="P1928"/>
  <c r="R1928" s="1"/>
  <c r="P1929"/>
  <c r="R1929" s="1"/>
  <c r="P1930"/>
  <c r="R1930" s="1"/>
  <c r="P1931"/>
  <c r="R1931" s="1"/>
  <c r="P1932"/>
  <c r="R1932" s="1"/>
  <c r="P1933"/>
  <c r="R1933" s="1"/>
  <c r="P1934"/>
  <c r="R1934" s="1"/>
  <c r="P1935"/>
  <c r="R1935" s="1"/>
  <c r="P1936"/>
  <c r="R1936" s="1"/>
  <c r="P1937"/>
  <c r="R1937" s="1"/>
  <c r="P1938"/>
  <c r="R1938" s="1"/>
  <c r="P1939"/>
  <c r="R1939" s="1"/>
  <c r="P1940"/>
  <c r="R1940" s="1"/>
  <c r="P1941"/>
  <c r="R1941" s="1"/>
  <c r="P1942"/>
  <c r="R1942" s="1"/>
  <c r="P1943"/>
  <c r="R1943" s="1"/>
  <c r="P1944"/>
  <c r="R1944" s="1"/>
  <c r="P1945"/>
  <c r="R1945" s="1"/>
  <c r="P1946"/>
  <c r="R1946" s="1"/>
  <c r="P1947"/>
  <c r="R1947" s="1"/>
  <c r="P1948"/>
  <c r="R1948" s="1"/>
  <c r="P1949"/>
  <c r="R1949" s="1"/>
  <c r="P1950"/>
  <c r="R1950" s="1"/>
  <c r="P1951"/>
  <c r="R1951" s="1"/>
  <c r="P1952"/>
  <c r="R1952" s="1"/>
  <c r="P1953"/>
  <c r="R1953" s="1"/>
  <c r="P1954"/>
  <c r="R1954" s="1"/>
  <c r="P1955"/>
  <c r="R1955" s="1"/>
  <c r="P1956"/>
  <c r="R1956" s="1"/>
  <c r="P1957"/>
  <c r="R1957" s="1"/>
  <c r="P1958"/>
  <c r="R1958" s="1"/>
  <c r="P1959"/>
  <c r="R1959" s="1"/>
  <c r="P1960"/>
  <c r="R1960" s="1"/>
  <c r="P1961"/>
  <c r="R1961" s="1"/>
  <c r="P1962"/>
  <c r="R1962" s="1"/>
  <c r="P1963"/>
  <c r="R1963" s="1"/>
  <c r="P1964"/>
  <c r="R1964" s="1"/>
  <c r="P1965"/>
  <c r="R1965" s="1"/>
  <c r="P1966"/>
  <c r="R1966" s="1"/>
  <c r="P1967"/>
  <c r="R1967" s="1"/>
  <c r="P1968"/>
  <c r="R1968" s="1"/>
  <c r="P1969"/>
  <c r="R1969" s="1"/>
  <c r="P1970"/>
  <c r="R1970" s="1"/>
  <c r="P1971"/>
  <c r="R1971" s="1"/>
  <c r="P1972"/>
  <c r="R1972" s="1"/>
  <c r="P1973"/>
  <c r="R1973" s="1"/>
  <c r="P1974"/>
  <c r="R1974" s="1"/>
  <c r="P1975"/>
  <c r="R1975" s="1"/>
  <c r="P1976"/>
  <c r="R1976" s="1"/>
  <c r="P1977"/>
  <c r="R1977" s="1"/>
  <c r="P1978"/>
  <c r="R1978" s="1"/>
  <c r="P1979"/>
  <c r="R1979" s="1"/>
  <c r="P1980"/>
  <c r="R1980" s="1"/>
  <c r="P1981"/>
  <c r="R1981" s="1"/>
  <c r="P1982"/>
  <c r="R1982" s="1"/>
  <c r="P1983"/>
  <c r="R1983" s="1"/>
  <c r="P1984"/>
  <c r="R1984" s="1"/>
  <c r="P1985"/>
  <c r="R1985" s="1"/>
  <c r="P1986"/>
  <c r="R1986" s="1"/>
  <c r="P1987"/>
  <c r="R1987" s="1"/>
  <c r="P1988"/>
  <c r="R1988" s="1"/>
  <c r="P1989"/>
  <c r="R1989" s="1"/>
  <c r="P1990"/>
  <c r="R1990" s="1"/>
  <c r="P1991"/>
  <c r="R1991" s="1"/>
  <c r="P1992"/>
  <c r="R1992" s="1"/>
  <c r="P1993"/>
  <c r="R1993" s="1"/>
  <c r="P1994"/>
  <c r="R1994" s="1"/>
  <c r="P1995"/>
  <c r="R1995" s="1"/>
  <c r="P1996"/>
  <c r="R1996" s="1"/>
  <c r="P1997"/>
  <c r="R1997" s="1"/>
  <c r="P1998"/>
  <c r="R1998" s="1"/>
  <c r="P1999"/>
  <c r="R1999" s="1"/>
  <c r="P2000"/>
  <c r="R2000" s="1"/>
  <c r="P2001"/>
  <c r="R2001" s="1"/>
  <c r="P2002"/>
  <c r="R2002" s="1"/>
  <c r="P2003"/>
  <c r="R2003" s="1"/>
  <c r="P2004"/>
  <c r="R2004" s="1"/>
  <c r="P2005"/>
  <c r="R2005" s="1"/>
  <c r="P2006"/>
  <c r="R2006" s="1"/>
  <c r="P2007"/>
  <c r="R2007" s="1"/>
  <c r="P2008"/>
  <c r="R2008" s="1"/>
  <c r="P2009"/>
  <c r="R2009" s="1"/>
  <c r="P2010"/>
  <c r="R2010" s="1"/>
  <c r="P2011"/>
  <c r="R2011" s="1"/>
  <c r="P2012"/>
  <c r="R2012" s="1"/>
  <c r="P2013"/>
  <c r="R2013" s="1"/>
  <c r="P2014"/>
  <c r="R2014" s="1"/>
  <c r="P2015"/>
  <c r="R2015" s="1"/>
  <c r="P2016"/>
  <c r="R2016" s="1"/>
  <c r="P2017"/>
  <c r="R2017" s="1"/>
  <c r="P2018"/>
  <c r="R2018" s="1"/>
  <c r="P2019"/>
  <c r="R2019" s="1"/>
  <c r="P2020"/>
  <c r="R2020" s="1"/>
  <c r="P2021"/>
  <c r="R2021" s="1"/>
  <c r="P2022"/>
  <c r="R2022" s="1"/>
  <c r="P2023"/>
  <c r="R2023" s="1"/>
  <c r="P2024"/>
  <c r="R2024" s="1"/>
  <c r="P2025"/>
  <c r="R2025" s="1"/>
  <c r="P2026"/>
  <c r="R2026" s="1"/>
  <c r="P2027"/>
  <c r="R2027" s="1"/>
  <c r="P2028"/>
  <c r="R2028" s="1"/>
  <c r="P2029"/>
  <c r="R2029" s="1"/>
  <c r="P2030"/>
  <c r="R2030" s="1"/>
  <c r="P2031"/>
  <c r="R2031" s="1"/>
  <c r="P2032"/>
  <c r="R2032" s="1"/>
  <c r="P2033"/>
  <c r="R2033" s="1"/>
  <c r="P2034"/>
  <c r="R2034" s="1"/>
  <c r="P2035"/>
  <c r="R2035" s="1"/>
  <c r="P2036"/>
  <c r="R2036" s="1"/>
  <c r="P2037"/>
  <c r="R2037" s="1"/>
  <c r="P2038"/>
  <c r="R2038" s="1"/>
  <c r="P2039"/>
  <c r="R2039" s="1"/>
  <c r="P2040"/>
  <c r="R2040" s="1"/>
  <c r="P2041"/>
  <c r="R2041" s="1"/>
  <c r="P2042"/>
  <c r="R2042" s="1"/>
  <c r="P2043"/>
  <c r="R2043" s="1"/>
  <c r="P2044"/>
  <c r="R2044" s="1"/>
  <c r="P2045"/>
  <c r="R2045" s="1"/>
  <c r="P2046"/>
  <c r="R2046" s="1"/>
  <c r="P2047"/>
  <c r="R2047" s="1"/>
  <c r="P2048"/>
  <c r="R2048" s="1"/>
  <c r="P2049"/>
  <c r="R2049" s="1"/>
  <c r="P2050"/>
  <c r="R2050" s="1"/>
  <c r="P2051"/>
  <c r="R2051" s="1"/>
  <c r="P2052"/>
  <c r="R2052" s="1"/>
  <c r="P2053"/>
  <c r="R2053" s="1"/>
  <c r="P2054"/>
  <c r="R2054" s="1"/>
  <c r="P2055"/>
  <c r="R2055" s="1"/>
  <c r="P2056"/>
  <c r="R2056" s="1"/>
  <c r="P2057"/>
  <c r="R2057" s="1"/>
  <c r="P2058"/>
  <c r="R2058" s="1"/>
  <c r="P2059"/>
  <c r="R2059" s="1"/>
  <c r="P2060"/>
  <c r="R2060" s="1"/>
  <c r="P2061"/>
  <c r="P2062"/>
  <c r="R2062" s="1"/>
  <c r="P2063"/>
  <c r="R2063" s="1"/>
  <c r="P2064"/>
  <c r="R2064" s="1"/>
  <c r="P2065"/>
  <c r="R2065" s="1"/>
  <c r="P2066"/>
  <c r="R2066" s="1"/>
  <c r="P2067"/>
  <c r="R2067" s="1"/>
  <c r="P2068"/>
  <c r="R2068" s="1"/>
  <c r="P2069"/>
  <c r="R2069" s="1"/>
  <c r="P2070"/>
  <c r="R2070" s="1"/>
  <c r="P2071"/>
  <c r="R2071" s="1"/>
  <c r="P2072"/>
  <c r="R2072" s="1"/>
  <c r="P2073"/>
  <c r="R2073" s="1"/>
  <c r="P2074"/>
  <c r="R2074" s="1"/>
  <c r="P2075"/>
  <c r="R2075" s="1"/>
  <c r="P2076"/>
  <c r="R2076" s="1"/>
  <c r="P2077"/>
  <c r="P2078"/>
  <c r="R2078" s="1"/>
  <c r="P2079"/>
  <c r="R2079" s="1"/>
  <c r="P2080"/>
  <c r="R2080" s="1"/>
  <c r="P2081"/>
  <c r="R2081" s="1"/>
  <c r="P2082"/>
  <c r="R2082" s="1"/>
  <c r="P2083"/>
  <c r="R2083" s="1"/>
  <c r="P2084"/>
  <c r="R2084" s="1"/>
  <c r="P2085"/>
  <c r="R2085" s="1"/>
  <c r="P2086"/>
  <c r="R2086" s="1"/>
  <c r="P2087"/>
  <c r="R2087" s="1"/>
  <c r="P2088"/>
  <c r="R2088" s="1"/>
  <c r="P2089"/>
  <c r="P2090"/>
  <c r="R2090" s="1"/>
  <c r="P2091"/>
  <c r="R2091" s="1"/>
  <c r="P2092"/>
  <c r="R2092" s="1"/>
  <c r="P2093"/>
  <c r="R2093" s="1"/>
  <c r="P2094"/>
  <c r="R2094" s="1"/>
  <c r="P2095"/>
  <c r="R2095" s="1"/>
  <c r="P2096"/>
  <c r="R2096" s="1"/>
  <c r="P2097"/>
  <c r="R2097" s="1"/>
  <c r="P2098"/>
  <c r="R2098" s="1"/>
  <c r="P2099"/>
  <c r="R2099" s="1"/>
  <c r="P2100"/>
  <c r="R2100" s="1"/>
  <c r="P2101"/>
  <c r="R2101" s="1"/>
  <c r="P2102"/>
  <c r="R2102" s="1"/>
  <c r="P2103"/>
  <c r="R2103" s="1"/>
  <c r="P2104"/>
  <c r="R2104" s="1"/>
  <c r="P2105"/>
  <c r="R2105" s="1"/>
  <c r="P2106"/>
  <c r="R2106" s="1"/>
  <c r="P2107"/>
  <c r="R2107" s="1"/>
  <c r="P2108"/>
  <c r="R2108" s="1"/>
  <c r="P2109"/>
  <c r="R2109" s="1"/>
  <c r="P2110"/>
  <c r="R2110" s="1"/>
  <c r="P2111"/>
  <c r="R2111" s="1"/>
  <c r="P2112"/>
  <c r="R2112" s="1"/>
  <c r="P2113"/>
  <c r="R2113" s="1"/>
  <c r="P2114"/>
  <c r="R2114" s="1"/>
  <c r="P2115"/>
  <c r="R2115" s="1"/>
  <c r="P2116"/>
  <c r="R2116" s="1"/>
  <c r="P2117"/>
  <c r="R2117" s="1"/>
  <c r="P2118"/>
  <c r="R2118" s="1"/>
  <c r="P2119"/>
  <c r="R2119" s="1"/>
  <c r="P2120"/>
  <c r="R2120" s="1"/>
  <c r="P2121"/>
  <c r="P2122"/>
  <c r="R2122" s="1"/>
  <c r="P2123"/>
  <c r="R2123" s="1"/>
  <c r="P2124"/>
  <c r="R2124" s="1"/>
  <c r="P2125"/>
  <c r="R2125" s="1"/>
  <c r="P2126"/>
  <c r="R2126" s="1"/>
  <c r="P2127"/>
  <c r="R2127" s="1"/>
  <c r="P2128"/>
  <c r="R2128" s="1"/>
  <c r="P2129"/>
  <c r="R2129" s="1"/>
  <c r="P2130"/>
  <c r="R2130" s="1"/>
  <c r="P2131"/>
  <c r="R2131" s="1"/>
  <c r="P2132"/>
  <c r="R2132" s="1"/>
  <c r="P2133"/>
  <c r="R2133" s="1"/>
  <c r="P2134"/>
  <c r="R2134" s="1"/>
  <c r="P2135"/>
  <c r="R2135" s="1"/>
  <c r="P2136"/>
  <c r="R2136" s="1"/>
  <c r="P2137"/>
  <c r="R2137" s="1"/>
  <c r="P2138"/>
  <c r="R2138" s="1"/>
  <c r="P2139"/>
  <c r="R2139" s="1"/>
  <c r="P2140"/>
  <c r="R2140" s="1"/>
  <c r="P2141"/>
  <c r="P2142"/>
  <c r="R2142" s="1"/>
  <c r="P2143"/>
  <c r="R2143" s="1"/>
  <c r="P2144"/>
  <c r="R2144" s="1"/>
  <c r="P2145"/>
  <c r="R2145" s="1"/>
  <c r="P2146"/>
  <c r="R2146" s="1"/>
  <c r="P2147"/>
  <c r="R2147" s="1"/>
  <c r="P2148"/>
  <c r="R2148" s="1"/>
  <c r="P2149"/>
  <c r="R2149" s="1"/>
  <c r="P2150"/>
  <c r="R2150" s="1"/>
  <c r="P2151"/>
  <c r="R2151" s="1"/>
  <c r="P2152"/>
  <c r="R2152" s="1"/>
  <c r="P2153"/>
  <c r="R2153" s="1"/>
  <c r="P2154"/>
  <c r="P2155"/>
  <c r="R2155" s="1"/>
  <c r="P2156"/>
  <c r="R2156" s="1"/>
  <c r="P2157"/>
  <c r="R2157" s="1"/>
  <c r="P2158"/>
  <c r="R2158" s="1"/>
  <c r="P2159"/>
  <c r="R2159" s="1"/>
  <c r="P2160"/>
  <c r="R2160" s="1"/>
  <c r="P2161"/>
  <c r="R2161" s="1"/>
  <c r="P2162"/>
  <c r="R2162" s="1"/>
  <c r="P2163"/>
  <c r="R2163" s="1"/>
  <c r="P2164"/>
  <c r="R2164" s="1"/>
  <c r="P2165"/>
  <c r="R2165" s="1"/>
  <c r="P2166"/>
  <c r="R2166" s="1"/>
  <c r="P2167"/>
  <c r="R2167" s="1"/>
  <c r="P2168"/>
  <c r="R2168" s="1"/>
  <c r="P2169"/>
  <c r="R2169" s="1"/>
  <c r="P2170"/>
  <c r="R2170" s="1"/>
  <c r="P2171"/>
  <c r="R2171" s="1"/>
  <c r="P2172"/>
  <c r="R2172" s="1"/>
  <c r="P2173"/>
  <c r="R2173" s="1"/>
  <c r="P2174"/>
  <c r="R2174" s="1"/>
  <c r="P2175"/>
  <c r="R2175" s="1"/>
  <c r="P2176"/>
  <c r="R2176" s="1"/>
  <c r="P2177"/>
  <c r="R2177" s="1"/>
  <c r="P2178"/>
  <c r="R2178" s="1"/>
  <c r="P2179"/>
  <c r="R2179" s="1"/>
  <c r="P2180"/>
  <c r="R2180" s="1"/>
  <c r="P2181"/>
  <c r="R2181" s="1"/>
  <c r="P2182"/>
  <c r="R2182" s="1"/>
  <c r="P2183"/>
  <c r="R2183" s="1"/>
  <c r="P2184"/>
  <c r="R2184" s="1"/>
  <c r="P2185"/>
  <c r="R2185" s="1"/>
  <c r="P2186"/>
  <c r="R2186" s="1"/>
  <c r="P2187"/>
  <c r="R2187" s="1"/>
  <c r="P2188"/>
  <c r="R2188" s="1"/>
  <c r="P2189"/>
  <c r="P2190"/>
  <c r="R2190" s="1"/>
  <c r="P2191"/>
  <c r="R2191" s="1"/>
  <c r="P2192"/>
  <c r="R2192" s="1"/>
  <c r="P2193"/>
  <c r="R2193" s="1"/>
  <c r="P2194"/>
  <c r="R2194" s="1"/>
  <c r="P2195"/>
  <c r="R2195" s="1"/>
  <c r="P2196"/>
  <c r="R2196" s="1"/>
  <c r="P2197"/>
  <c r="R2197" s="1"/>
  <c r="P2198"/>
  <c r="R2198" s="1"/>
  <c r="P2199"/>
  <c r="R2199" s="1"/>
  <c r="P2200"/>
  <c r="R2200" s="1"/>
  <c r="P2201"/>
  <c r="R2201" s="1"/>
  <c r="P2202"/>
  <c r="R2202" s="1"/>
  <c r="P2203"/>
  <c r="R2203" s="1"/>
  <c r="P2204"/>
  <c r="R2204" s="1"/>
  <c r="P2205"/>
  <c r="P2206"/>
  <c r="R2206" s="1"/>
  <c r="P2207"/>
  <c r="R2207" s="1"/>
  <c r="P2208"/>
  <c r="R2208" s="1"/>
  <c r="P2209"/>
  <c r="R2209" s="1"/>
  <c r="P2210"/>
  <c r="R2210" s="1"/>
  <c r="P2211"/>
  <c r="R2211" s="1"/>
  <c r="P2212"/>
  <c r="R2212" s="1"/>
  <c r="P2213"/>
  <c r="R2213" s="1"/>
  <c r="P2214"/>
  <c r="R2214" s="1"/>
  <c r="P2215"/>
  <c r="R2215" s="1"/>
  <c r="P2216"/>
  <c r="R2216" s="1"/>
  <c r="P2217"/>
  <c r="P2218"/>
  <c r="R2218" s="1"/>
  <c r="P2219"/>
  <c r="R2219" s="1"/>
  <c r="P2220"/>
  <c r="R2220" s="1"/>
  <c r="P2221"/>
  <c r="R2221" s="1"/>
  <c r="P2222"/>
  <c r="R2222" s="1"/>
  <c r="P2223"/>
  <c r="R2223" s="1"/>
  <c r="P2224"/>
  <c r="R2224" s="1"/>
  <c r="P2225"/>
  <c r="R2225" s="1"/>
  <c r="P2226"/>
  <c r="R2226" s="1"/>
  <c r="P2227"/>
  <c r="R2227" s="1"/>
  <c r="P2228"/>
  <c r="R2228" s="1"/>
  <c r="P2229"/>
  <c r="R2229" s="1"/>
  <c r="P2230"/>
  <c r="R2230" s="1"/>
  <c r="P2231"/>
  <c r="R2231" s="1"/>
  <c r="P2232"/>
  <c r="R2232" s="1"/>
  <c r="P2233"/>
  <c r="R2233" s="1"/>
  <c r="P2234"/>
  <c r="R2234" s="1"/>
  <c r="P2235"/>
  <c r="R2235" s="1"/>
  <c r="P2236"/>
  <c r="R2236" s="1"/>
  <c r="P2237"/>
  <c r="R2237" s="1"/>
  <c r="P2238"/>
  <c r="R2238" s="1"/>
  <c r="P2239"/>
  <c r="R2239" s="1"/>
  <c r="P2240"/>
  <c r="R2240" s="1"/>
  <c r="P2241"/>
  <c r="R2241" s="1"/>
  <c r="P2242"/>
  <c r="R2242" s="1"/>
  <c r="P2243"/>
  <c r="R2243" s="1"/>
  <c r="P2244"/>
  <c r="R2244" s="1"/>
  <c r="P2245"/>
  <c r="R2245" s="1"/>
  <c r="P2246"/>
  <c r="R2246" s="1"/>
  <c r="P2247"/>
  <c r="R2247" s="1"/>
  <c r="P2248"/>
  <c r="R2248" s="1"/>
  <c r="P2249"/>
  <c r="P2250"/>
  <c r="R2250" s="1"/>
  <c r="P2251"/>
  <c r="R2251" s="1"/>
  <c r="P2252"/>
  <c r="R2252" s="1"/>
  <c r="P2253"/>
  <c r="R2253" s="1"/>
  <c r="P2254"/>
  <c r="R2254" s="1"/>
  <c r="P2255"/>
  <c r="R2255" s="1"/>
  <c r="P2256"/>
  <c r="R2256" s="1"/>
  <c r="P2257"/>
  <c r="R2257" s="1"/>
  <c r="P2258"/>
  <c r="R2258" s="1"/>
  <c r="P2259"/>
  <c r="R2259" s="1"/>
  <c r="P2260"/>
  <c r="R2260" s="1"/>
  <c r="P2261"/>
  <c r="R2261" s="1"/>
  <c r="P2262"/>
  <c r="R2262" s="1"/>
  <c r="P2263"/>
  <c r="R2263" s="1"/>
  <c r="P2264"/>
  <c r="R2264" s="1"/>
  <c r="P2265"/>
  <c r="R2265" s="1"/>
  <c r="P2266"/>
  <c r="R2266" s="1"/>
  <c r="P2267"/>
  <c r="R2267" s="1"/>
  <c r="P2268"/>
  <c r="R2268" s="1"/>
  <c r="P2269"/>
  <c r="P2270"/>
  <c r="R2270" s="1"/>
  <c r="P2271"/>
  <c r="R2271" s="1"/>
  <c r="P2272"/>
  <c r="R2272" s="1"/>
  <c r="P2273"/>
  <c r="R2273" s="1"/>
  <c r="P2274"/>
  <c r="R2274" s="1"/>
  <c r="P2275"/>
  <c r="R2275" s="1"/>
  <c r="P2276"/>
  <c r="R2276" s="1"/>
  <c r="P2277"/>
  <c r="R2277" s="1"/>
  <c r="P2278"/>
  <c r="R2278" s="1"/>
  <c r="P2279"/>
  <c r="R2279" s="1"/>
  <c r="P2280"/>
  <c r="R2280" s="1"/>
  <c r="P2281"/>
  <c r="R2281" s="1"/>
  <c r="P2282"/>
  <c r="P2283"/>
  <c r="R2283" s="1"/>
  <c r="P2284"/>
  <c r="R2284" s="1"/>
  <c r="P2285"/>
  <c r="R2285" s="1"/>
  <c r="P2286"/>
  <c r="R2286" s="1"/>
  <c r="P2287"/>
  <c r="R2287" s="1"/>
  <c r="P2288"/>
  <c r="R2288" s="1"/>
  <c r="P2289"/>
  <c r="R2289" s="1"/>
  <c r="P2290"/>
  <c r="R2290" s="1"/>
  <c r="P2291"/>
  <c r="R2291" s="1"/>
  <c r="P2292"/>
  <c r="R2292" s="1"/>
  <c r="P2293"/>
  <c r="R2293" s="1"/>
  <c r="P2294"/>
  <c r="R2294" s="1"/>
  <c r="P2295"/>
  <c r="R2295" s="1"/>
  <c r="P2296"/>
  <c r="R2296" s="1"/>
  <c r="P2297"/>
  <c r="R2297" s="1"/>
  <c r="P2298"/>
  <c r="R2298" s="1"/>
  <c r="P2299"/>
  <c r="R2299" s="1"/>
  <c r="P2300"/>
  <c r="R2300" s="1"/>
  <c r="P2301"/>
  <c r="R2301" s="1"/>
  <c r="P2302"/>
  <c r="R2302" s="1"/>
  <c r="P2303"/>
  <c r="R2303" s="1"/>
  <c r="P2304"/>
  <c r="R2304" s="1"/>
  <c r="P2305"/>
  <c r="R2305" s="1"/>
  <c r="P2306"/>
  <c r="R2306" s="1"/>
  <c r="P2307"/>
  <c r="R2307" s="1"/>
  <c r="P2308"/>
  <c r="R2308" s="1"/>
  <c r="P2309"/>
  <c r="R2309" s="1"/>
  <c r="P2310"/>
  <c r="R2310" s="1"/>
  <c r="P2311"/>
  <c r="R2311" s="1"/>
  <c r="P2312"/>
  <c r="R2312" s="1"/>
  <c r="P2313"/>
  <c r="R2313" s="1"/>
  <c r="P2314"/>
  <c r="R2314" s="1"/>
  <c r="P2315"/>
  <c r="R2315" s="1"/>
  <c r="P2316"/>
  <c r="R2316" s="1"/>
  <c r="P2317"/>
  <c r="P2318"/>
  <c r="R2318" s="1"/>
  <c r="P2319"/>
  <c r="R2319" s="1"/>
  <c r="P2320"/>
  <c r="R2320" s="1"/>
  <c r="P2321"/>
  <c r="R2321" s="1"/>
  <c r="P2322"/>
  <c r="R2322" s="1"/>
  <c r="P2323"/>
  <c r="R2323" s="1"/>
  <c r="P2324"/>
  <c r="R2324" s="1"/>
  <c r="P2325"/>
  <c r="R2325" s="1"/>
  <c r="P2326"/>
  <c r="R2326" s="1"/>
  <c r="P2327"/>
  <c r="R2327" s="1"/>
  <c r="P2328"/>
  <c r="R2328" s="1"/>
  <c r="P2329"/>
  <c r="R2329" s="1"/>
  <c r="P2330"/>
  <c r="R2330" s="1"/>
  <c r="P2331"/>
  <c r="R2331" s="1"/>
  <c r="P2332"/>
  <c r="R2332" s="1"/>
  <c r="P2333"/>
  <c r="P2334"/>
  <c r="R2334" s="1"/>
  <c r="P2335"/>
  <c r="R2335" s="1"/>
  <c r="P2336"/>
  <c r="R2336" s="1"/>
  <c r="P2337"/>
  <c r="R2337" s="1"/>
  <c r="P2338"/>
  <c r="R2338" s="1"/>
  <c r="P2339"/>
  <c r="R2339" s="1"/>
  <c r="P2340"/>
  <c r="R2340" s="1"/>
  <c r="P2341"/>
  <c r="R2341" s="1"/>
  <c r="P2342"/>
  <c r="R2342" s="1"/>
  <c r="P2343"/>
  <c r="R2343" s="1"/>
  <c r="P2344"/>
  <c r="R2344" s="1"/>
  <c r="P2345"/>
  <c r="P2346"/>
  <c r="R2346" s="1"/>
  <c r="P2347"/>
  <c r="R2347" s="1"/>
  <c r="P2348"/>
  <c r="R2348" s="1"/>
  <c r="P2349"/>
  <c r="R2349" s="1"/>
  <c r="P2350"/>
  <c r="R2350" s="1"/>
  <c r="P2351"/>
  <c r="R2351" s="1"/>
  <c r="P2352"/>
  <c r="R2352" s="1"/>
  <c r="P2353"/>
  <c r="R2353" s="1"/>
  <c r="P2354"/>
  <c r="R2354" s="1"/>
  <c r="P2355"/>
  <c r="R2355" s="1"/>
  <c r="P2356"/>
  <c r="R2356" s="1"/>
  <c r="P2357"/>
  <c r="R2357" s="1"/>
  <c r="P2358"/>
  <c r="R2358" s="1"/>
  <c r="P2359"/>
  <c r="R2359" s="1"/>
  <c r="P2360"/>
  <c r="R2360" s="1"/>
  <c r="P2361"/>
  <c r="R2361" s="1"/>
  <c r="P2362"/>
  <c r="R2362" s="1"/>
  <c r="P2363"/>
  <c r="R2363" s="1"/>
  <c r="P2364"/>
  <c r="R2364" s="1"/>
  <c r="P2365"/>
  <c r="R2365" s="1"/>
  <c r="P2366"/>
  <c r="R2366" s="1"/>
  <c r="P2367"/>
  <c r="R2367" s="1"/>
  <c r="P2368"/>
  <c r="R2368" s="1"/>
  <c r="P2369"/>
  <c r="R2369" s="1"/>
  <c r="P2370"/>
  <c r="R2370" s="1"/>
  <c r="P2371"/>
  <c r="R2371" s="1"/>
  <c r="P2372"/>
  <c r="R2372" s="1"/>
  <c r="P2373"/>
  <c r="R2373" s="1"/>
  <c r="P2374"/>
  <c r="R2374" s="1"/>
  <c r="P2375"/>
  <c r="R2375" s="1"/>
  <c r="P2376"/>
  <c r="R2376" s="1"/>
  <c r="P2377"/>
  <c r="P2378"/>
  <c r="R2378" s="1"/>
  <c r="P2379"/>
  <c r="R2379" s="1"/>
  <c r="P2380"/>
  <c r="R2380" s="1"/>
  <c r="P2381"/>
  <c r="R2381" s="1"/>
  <c r="P2382"/>
  <c r="R2382" s="1"/>
  <c r="P2383"/>
  <c r="R2383" s="1"/>
  <c r="P2384"/>
  <c r="R2384" s="1"/>
  <c r="P2385"/>
  <c r="R2385" s="1"/>
  <c r="P2386"/>
  <c r="R2386" s="1"/>
  <c r="P2387"/>
  <c r="R2387" s="1"/>
  <c r="P2388"/>
  <c r="R2388" s="1"/>
  <c r="P2389"/>
  <c r="R2389" s="1"/>
  <c r="P2390"/>
  <c r="R2390" s="1"/>
  <c r="P2391"/>
  <c r="R2391" s="1"/>
  <c r="P2392"/>
  <c r="R2392" s="1"/>
  <c r="P2393"/>
  <c r="R2393" s="1"/>
  <c r="P2394"/>
  <c r="R2394" s="1"/>
  <c r="P2395"/>
  <c r="R2395" s="1"/>
  <c r="P2396"/>
  <c r="R2396" s="1"/>
  <c r="P2397"/>
  <c r="P2398"/>
  <c r="R2398" s="1"/>
  <c r="P2399"/>
  <c r="R2399" s="1"/>
  <c r="P2400"/>
  <c r="R2400" s="1"/>
  <c r="P2401"/>
  <c r="R2401" s="1"/>
  <c r="P2402"/>
  <c r="R2402" s="1"/>
  <c r="P2403"/>
  <c r="R2403" s="1"/>
  <c r="P2404"/>
  <c r="R2404" s="1"/>
  <c r="P2405"/>
  <c r="R2405" s="1"/>
  <c r="P2406"/>
  <c r="R2406" s="1"/>
  <c r="P2407"/>
  <c r="R2407" s="1"/>
  <c r="P2408"/>
  <c r="R2408" s="1"/>
  <c r="P2409"/>
  <c r="R2409" s="1"/>
  <c r="P2410"/>
  <c r="P2411"/>
  <c r="R2411" s="1"/>
  <c r="P2412"/>
  <c r="R2412" s="1"/>
  <c r="P2413"/>
  <c r="R2413" s="1"/>
  <c r="P2414"/>
  <c r="R2414" s="1"/>
  <c r="P2415"/>
  <c r="R2415" s="1"/>
  <c r="P2416"/>
  <c r="R2416" s="1"/>
  <c r="P2417"/>
  <c r="R2417" s="1"/>
  <c r="P2418"/>
  <c r="R2418" s="1"/>
  <c r="P2419"/>
  <c r="R2419" s="1"/>
  <c r="P2420"/>
  <c r="R2420" s="1"/>
  <c r="P2421"/>
  <c r="R2421" s="1"/>
  <c r="P2422"/>
  <c r="R2422" s="1"/>
  <c r="P2423"/>
  <c r="R2423" s="1"/>
  <c r="P2424"/>
  <c r="R2424" s="1"/>
  <c r="P2425"/>
  <c r="R2425" s="1"/>
  <c r="P2426"/>
  <c r="R2426" s="1"/>
  <c r="P2427"/>
  <c r="R2427" s="1"/>
  <c r="P2428"/>
  <c r="R2428" s="1"/>
  <c r="P2429"/>
  <c r="R2429" s="1"/>
  <c r="P2430"/>
  <c r="R2430" s="1"/>
  <c r="P2431"/>
  <c r="R2431" s="1"/>
  <c r="P2432"/>
  <c r="R2432" s="1"/>
  <c r="P2433"/>
  <c r="R2433" s="1"/>
  <c r="P2434"/>
  <c r="R2434" s="1"/>
  <c r="P2435"/>
  <c r="R2435" s="1"/>
  <c r="P2436"/>
  <c r="R2436" s="1"/>
  <c r="P2437"/>
  <c r="R2437" s="1"/>
  <c r="P2438"/>
  <c r="R2438" s="1"/>
  <c r="P2439"/>
  <c r="R2439" s="1"/>
  <c r="P2440"/>
  <c r="R2440" s="1"/>
  <c r="P2441"/>
  <c r="R2441" s="1"/>
  <c r="P2442"/>
  <c r="R2442" s="1"/>
  <c r="P2443"/>
  <c r="R2443" s="1"/>
  <c r="P2444"/>
  <c r="R2444" s="1"/>
  <c r="P2445"/>
  <c r="P2446"/>
  <c r="R2446" s="1"/>
  <c r="P2447"/>
  <c r="R2447" s="1"/>
  <c r="P2448"/>
  <c r="R2448" s="1"/>
  <c r="P2449"/>
  <c r="R2449" s="1"/>
  <c r="P2450"/>
  <c r="R2450" s="1"/>
  <c r="P2451"/>
  <c r="R2451" s="1"/>
  <c r="P2452"/>
  <c r="R2452" s="1"/>
  <c r="P2453"/>
  <c r="R2453" s="1"/>
  <c r="P2454"/>
  <c r="R2454" s="1"/>
  <c r="P2455"/>
  <c r="R2455" s="1"/>
  <c r="P2456"/>
  <c r="R2456" s="1"/>
  <c r="P2457"/>
  <c r="R2457" s="1"/>
  <c r="P2458"/>
  <c r="R2458" s="1"/>
  <c r="P2459"/>
  <c r="R2459" s="1"/>
  <c r="P2460"/>
  <c r="R2460" s="1"/>
  <c r="P2461"/>
  <c r="P2462"/>
  <c r="R2462" s="1"/>
  <c r="P2463"/>
  <c r="R2463" s="1"/>
  <c r="P2464"/>
  <c r="R2464" s="1"/>
  <c r="P2465"/>
  <c r="R2465" s="1"/>
  <c r="P2466"/>
  <c r="R2466" s="1"/>
  <c r="P2467"/>
  <c r="R2467" s="1"/>
  <c r="P2468"/>
  <c r="R2468" s="1"/>
  <c r="P2469"/>
  <c r="R2469" s="1"/>
  <c r="P2470"/>
  <c r="R2470" s="1"/>
  <c r="P2471"/>
  <c r="R2471" s="1"/>
  <c r="P2472"/>
  <c r="R2472" s="1"/>
  <c r="P2473"/>
  <c r="P2474"/>
  <c r="R2474" s="1"/>
  <c r="P2475"/>
  <c r="R2475" s="1"/>
  <c r="P2476"/>
  <c r="R2476" s="1"/>
  <c r="P2477"/>
  <c r="R2477" s="1"/>
  <c r="P2478"/>
  <c r="R2478" s="1"/>
  <c r="P2479"/>
  <c r="R2479" s="1"/>
  <c r="P2480"/>
  <c r="R2480" s="1"/>
  <c r="P2481"/>
  <c r="R2481" s="1"/>
  <c r="P2482"/>
  <c r="R2482" s="1"/>
  <c r="P2483"/>
  <c r="R2483" s="1"/>
  <c r="P2484"/>
  <c r="R2484" s="1"/>
  <c r="P2485"/>
  <c r="R2485" s="1"/>
  <c r="P2486"/>
  <c r="R2486" s="1"/>
  <c r="P2487"/>
  <c r="R2487" s="1"/>
  <c r="P2488"/>
  <c r="R2488" s="1"/>
  <c r="P2489"/>
  <c r="R2489" s="1"/>
  <c r="P2490"/>
  <c r="R2490" s="1"/>
  <c r="P2491"/>
  <c r="R2491" s="1"/>
  <c r="P2492"/>
  <c r="R2492" s="1"/>
  <c r="P2493"/>
  <c r="R2493" s="1"/>
  <c r="P2494"/>
  <c r="R2494" s="1"/>
  <c r="P2495"/>
  <c r="R2495" s="1"/>
  <c r="P2496"/>
  <c r="R2496" s="1"/>
  <c r="P2497"/>
  <c r="R2497" s="1"/>
  <c r="P2498"/>
  <c r="R2498" s="1"/>
  <c r="P2499"/>
  <c r="R2499" s="1"/>
  <c r="P2500"/>
  <c r="R2500" s="1"/>
  <c r="P2501"/>
  <c r="R2501" s="1"/>
  <c r="P2502"/>
  <c r="R2502" s="1"/>
  <c r="P2503"/>
  <c r="R2503" s="1"/>
  <c r="P2504"/>
  <c r="R2504" s="1"/>
  <c r="P2505"/>
  <c r="P2506"/>
  <c r="R2506" s="1"/>
  <c r="P2507"/>
  <c r="R2507" s="1"/>
  <c r="P2508"/>
  <c r="R2508" s="1"/>
  <c r="P2509"/>
  <c r="R2509" s="1"/>
  <c r="P2510"/>
  <c r="R2510" s="1"/>
  <c r="P2511"/>
  <c r="R2511" s="1"/>
  <c r="P2512"/>
  <c r="R2512" s="1"/>
  <c r="P2513"/>
  <c r="R2513" s="1"/>
  <c r="P2514"/>
  <c r="R2514" s="1"/>
  <c r="P2515"/>
  <c r="R2515" s="1"/>
  <c r="P2516"/>
  <c r="R2516" s="1"/>
  <c r="P2517"/>
  <c r="R2517" s="1"/>
  <c r="P2518"/>
  <c r="R2518" s="1"/>
  <c r="P2519"/>
  <c r="R2519" s="1"/>
  <c r="P2520"/>
  <c r="R2520" s="1"/>
  <c r="P2521"/>
  <c r="R2521" s="1"/>
  <c r="P2522"/>
  <c r="R2522" s="1"/>
  <c r="P2523"/>
  <c r="R2523" s="1"/>
  <c r="P2524"/>
  <c r="R2524" s="1"/>
  <c r="P2525"/>
  <c r="P2526"/>
  <c r="R2526" s="1"/>
  <c r="P2527"/>
  <c r="R2527" s="1"/>
  <c r="P2528"/>
  <c r="R2528" s="1"/>
  <c r="P2529"/>
  <c r="R2529" s="1"/>
  <c r="P2530"/>
  <c r="R2530" s="1"/>
  <c r="P2531"/>
  <c r="R2531" s="1"/>
  <c r="P2532"/>
  <c r="R2532" s="1"/>
  <c r="P2533"/>
  <c r="R2533" s="1"/>
  <c r="P2534"/>
  <c r="R2534" s="1"/>
  <c r="P2535"/>
  <c r="R2535" s="1"/>
  <c r="P2536"/>
  <c r="R2536" s="1"/>
  <c r="P2537"/>
  <c r="R2537" s="1"/>
  <c r="P2538"/>
  <c r="P2539"/>
  <c r="R2539" s="1"/>
  <c r="P2540"/>
  <c r="R2540" s="1"/>
  <c r="P2541"/>
  <c r="R2541" s="1"/>
  <c r="P2542"/>
  <c r="R2542" s="1"/>
  <c r="P2543"/>
  <c r="R2543" s="1"/>
  <c r="P2544"/>
  <c r="R2544" s="1"/>
  <c r="P2545"/>
  <c r="R2545" s="1"/>
  <c r="P2546"/>
  <c r="R2546" s="1"/>
  <c r="P2547"/>
  <c r="R2547" s="1"/>
  <c r="P2548"/>
  <c r="R2548" s="1"/>
  <c r="P2549"/>
  <c r="R2549" s="1"/>
  <c r="P2550"/>
  <c r="R2550" s="1"/>
  <c r="P2551"/>
  <c r="R2551" s="1"/>
  <c r="P2552"/>
  <c r="R2552" s="1"/>
  <c r="P2553"/>
  <c r="R2553" s="1"/>
  <c r="P2554"/>
  <c r="R2554" s="1"/>
  <c r="P2555"/>
  <c r="R2555" s="1"/>
  <c r="P2556"/>
  <c r="R2556" s="1"/>
  <c r="P2557"/>
  <c r="R2557" s="1"/>
  <c r="P2558"/>
  <c r="R2558" s="1"/>
  <c r="P2559"/>
  <c r="R2559" s="1"/>
  <c r="P2560"/>
  <c r="R2560" s="1"/>
  <c r="P2561"/>
  <c r="R2561" s="1"/>
  <c r="P2562"/>
  <c r="R2562" s="1"/>
  <c r="P2563"/>
  <c r="R2563" s="1"/>
  <c r="P2564"/>
  <c r="R2564" s="1"/>
  <c r="P2565"/>
  <c r="R2565" s="1"/>
  <c r="P2566"/>
  <c r="R2566" s="1"/>
  <c r="P2567"/>
  <c r="R2567" s="1"/>
  <c r="P2568"/>
  <c r="R2568" s="1"/>
  <c r="P2569"/>
  <c r="R2569" s="1"/>
  <c r="P2570"/>
  <c r="R2570" s="1"/>
  <c r="P2571"/>
  <c r="R2571" s="1"/>
  <c r="P2572"/>
  <c r="R2572" s="1"/>
  <c r="P2573"/>
  <c r="P2574"/>
  <c r="R2574" s="1"/>
  <c r="P2575"/>
  <c r="R2575" s="1"/>
  <c r="P2576"/>
  <c r="R2576" s="1"/>
  <c r="P2577"/>
  <c r="R2577" s="1"/>
  <c r="P2578"/>
  <c r="R2578" s="1"/>
  <c r="P2579"/>
  <c r="R2579" s="1"/>
  <c r="P2580"/>
  <c r="R2580" s="1"/>
  <c r="P2581"/>
  <c r="R2581" s="1"/>
  <c r="P2582"/>
  <c r="R2582" s="1"/>
  <c r="P2583"/>
  <c r="R2583" s="1"/>
  <c r="P2584"/>
  <c r="R2584" s="1"/>
  <c r="P2585"/>
  <c r="R2585" s="1"/>
  <c r="P2586"/>
  <c r="R2586" s="1"/>
  <c r="P2587"/>
  <c r="R2587" s="1"/>
  <c r="P2588"/>
  <c r="R2588" s="1"/>
  <c r="P2589"/>
  <c r="P2590"/>
  <c r="R2590" s="1"/>
  <c r="P2591"/>
  <c r="R2591" s="1"/>
  <c r="P2592"/>
  <c r="R2592" s="1"/>
  <c r="P2593"/>
  <c r="R2593" s="1"/>
  <c r="P2594"/>
  <c r="R2594" s="1"/>
  <c r="P2595"/>
  <c r="R2595" s="1"/>
  <c r="P2596"/>
  <c r="R2596" s="1"/>
  <c r="P2597"/>
  <c r="R2597" s="1"/>
  <c r="P2598"/>
  <c r="R2598" s="1"/>
  <c r="P2599"/>
  <c r="R2599" s="1"/>
  <c r="P2600"/>
  <c r="R2600" s="1"/>
  <c r="P2601"/>
  <c r="P2602"/>
  <c r="R2602" s="1"/>
  <c r="P2603"/>
  <c r="R2603" s="1"/>
  <c r="P2604"/>
  <c r="R2604" s="1"/>
  <c r="P2605"/>
  <c r="R2605" s="1"/>
  <c r="P2606"/>
  <c r="R2606" s="1"/>
  <c r="P2607"/>
  <c r="R2607" s="1"/>
  <c r="P2608"/>
  <c r="R2608" s="1"/>
  <c r="P2609"/>
  <c r="R2609" s="1"/>
  <c r="P2610"/>
  <c r="R2610" s="1"/>
  <c r="P2611"/>
  <c r="R2611" s="1"/>
  <c r="P2612"/>
  <c r="R2612" s="1"/>
  <c r="P2613"/>
  <c r="R2613" s="1"/>
  <c r="P2614"/>
  <c r="R2614" s="1"/>
  <c r="P2615"/>
  <c r="R2615" s="1"/>
  <c r="P2616"/>
  <c r="R2616" s="1"/>
  <c r="P2617"/>
  <c r="R2617" s="1"/>
  <c r="P2618"/>
  <c r="R2618" s="1"/>
  <c r="P2619"/>
  <c r="R2619" s="1"/>
  <c r="P2620"/>
  <c r="R2620" s="1"/>
  <c r="P2621"/>
  <c r="R2621" s="1"/>
  <c r="P2622"/>
  <c r="R2622" s="1"/>
  <c r="P2623"/>
  <c r="R2623" s="1"/>
  <c r="P2624"/>
  <c r="R2624" s="1"/>
  <c r="P2625"/>
  <c r="R2625" s="1"/>
  <c r="P2626"/>
  <c r="R2626" s="1"/>
  <c r="P2627"/>
  <c r="R2627" s="1"/>
  <c r="P2628"/>
  <c r="R2628" s="1"/>
  <c r="P2629"/>
  <c r="R2629" s="1"/>
  <c r="P2630"/>
  <c r="R2630" s="1"/>
  <c r="P2631"/>
  <c r="R2631" s="1"/>
  <c r="P2632"/>
  <c r="R2632" s="1"/>
  <c r="P2633"/>
  <c r="P2634"/>
  <c r="R2634" s="1"/>
  <c r="P2635"/>
  <c r="R2635" s="1"/>
  <c r="P2636"/>
  <c r="R2636" s="1"/>
  <c r="P2637"/>
  <c r="R2637" s="1"/>
  <c r="P2638"/>
  <c r="R2638" s="1"/>
  <c r="P2639"/>
  <c r="R2639" s="1"/>
  <c r="P2640"/>
  <c r="R2640" s="1"/>
  <c r="P2641"/>
  <c r="R2641" s="1"/>
  <c r="P2642"/>
  <c r="R2642" s="1"/>
  <c r="P2643"/>
  <c r="R2643" s="1"/>
  <c r="P2644"/>
  <c r="R2644" s="1"/>
  <c r="P2645"/>
  <c r="R2645" s="1"/>
  <c r="P2646"/>
  <c r="R2646" s="1"/>
  <c r="P2647"/>
  <c r="R2647" s="1"/>
  <c r="P2648"/>
  <c r="R2648" s="1"/>
  <c r="P2649"/>
  <c r="R2649" s="1"/>
  <c r="P2650"/>
  <c r="R2650" s="1"/>
  <c r="P2651"/>
  <c r="R2651" s="1"/>
  <c r="P2652"/>
  <c r="R2652" s="1"/>
  <c r="P2653"/>
  <c r="P2654"/>
  <c r="R2654" s="1"/>
  <c r="P2655"/>
  <c r="R2655" s="1"/>
  <c r="P2656"/>
  <c r="R2656" s="1"/>
  <c r="P2657"/>
  <c r="R2657" s="1"/>
  <c r="P2658"/>
  <c r="R2658" s="1"/>
  <c r="P2659"/>
  <c r="R2659" s="1"/>
  <c r="P2660"/>
  <c r="R2660" s="1"/>
  <c r="P2661"/>
  <c r="R2661" s="1"/>
  <c r="P2662"/>
  <c r="R2662" s="1"/>
  <c r="P2663"/>
  <c r="R2663" s="1"/>
  <c r="P2664"/>
  <c r="R2664" s="1"/>
  <c r="P2665"/>
  <c r="R2665" s="1"/>
  <c r="P2666"/>
  <c r="P2667"/>
  <c r="R2667" s="1"/>
  <c r="P2668"/>
  <c r="R2668" s="1"/>
  <c r="P2669"/>
  <c r="R2669" s="1"/>
  <c r="P2670"/>
  <c r="R2670" s="1"/>
  <c r="P2671"/>
  <c r="R2671" s="1"/>
  <c r="P2672"/>
  <c r="R2672" s="1"/>
  <c r="P2673"/>
  <c r="R2673" s="1"/>
  <c r="P2674"/>
  <c r="R2674" s="1"/>
  <c r="P2675"/>
  <c r="R2675" s="1"/>
  <c r="P2676"/>
  <c r="R2676" s="1"/>
  <c r="P2677"/>
  <c r="R2677" s="1"/>
  <c r="P2678"/>
  <c r="R2678" s="1"/>
  <c r="P2679"/>
  <c r="R2679" s="1"/>
  <c r="P2680"/>
  <c r="R2680" s="1"/>
  <c r="P2681"/>
  <c r="R2681" s="1"/>
  <c r="P2682"/>
  <c r="R2682" s="1"/>
  <c r="P2683"/>
  <c r="R2683" s="1"/>
  <c r="P2684"/>
  <c r="R2684" s="1"/>
  <c r="P2685"/>
  <c r="R2685" s="1"/>
  <c r="P2686"/>
  <c r="R2686" s="1"/>
  <c r="P2687"/>
  <c r="R2687" s="1"/>
  <c r="P2688"/>
  <c r="R2688" s="1"/>
  <c r="P2689"/>
  <c r="R2689" s="1"/>
  <c r="P2690"/>
  <c r="R2690" s="1"/>
  <c r="P2691"/>
  <c r="R2691" s="1"/>
  <c r="P2692"/>
  <c r="R2692" s="1"/>
  <c r="P2693"/>
  <c r="R2693" s="1"/>
  <c r="P2694"/>
  <c r="R2694" s="1"/>
  <c r="P2695"/>
  <c r="R2695" s="1"/>
  <c r="P2696"/>
  <c r="R2696" s="1"/>
  <c r="P2697"/>
  <c r="R2697" s="1"/>
  <c r="P2698"/>
  <c r="R2698" s="1"/>
  <c r="P2699"/>
  <c r="R2699" s="1"/>
  <c r="P2700"/>
  <c r="R2700" s="1"/>
  <c r="P2701"/>
  <c r="P2702"/>
  <c r="R2702" s="1"/>
  <c r="P2703"/>
  <c r="R2703" s="1"/>
  <c r="P2704"/>
  <c r="R2704" s="1"/>
  <c r="P2705"/>
  <c r="R2705" s="1"/>
  <c r="P2706"/>
  <c r="R2706" s="1"/>
  <c r="P2707"/>
  <c r="R2707" s="1"/>
  <c r="P2708"/>
  <c r="R2708" s="1"/>
  <c r="P2709"/>
  <c r="R2709" s="1"/>
  <c r="P2710"/>
  <c r="R2710" s="1"/>
  <c r="P2711"/>
  <c r="R2711" s="1"/>
  <c r="P2712"/>
  <c r="R2712" s="1"/>
  <c r="P2713"/>
  <c r="R2713" s="1"/>
  <c r="P2714"/>
  <c r="R2714" s="1"/>
  <c r="P2715"/>
  <c r="R2715" s="1"/>
  <c r="P2716"/>
  <c r="R2716" s="1"/>
  <c r="P2717"/>
  <c r="P2718"/>
  <c r="R2718" s="1"/>
  <c r="P2719"/>
  <c r="R2719" s="1"/>
  <c r="P2720"/>
  <c r="R2720" s="1"/>
  <c r="P2721"/>
  <c r="R2721" s="1"/>
  <c r="P2722"/>
  <c r="R2722" s="1"/>
  <c r="P2723"/>
  <c r="R2723" s="1"/>
  <c r="P2724"/>
  <c r="R2724" s="1"/>
  <c r="P2725"/>
  <c r="R2725" s="1"/>
  <c r="P2726"/>
  <c r="R2726" s="1"/>
  <c r="P2727"/>
  <c r="R2727" s="1"/>
  <c r="P2728"/>
  <c r="R2728" s="1"/>
  <c r="P2729"/>
  <c r="P2730"/>
  <c r="R2730" s="1"/>
  <c r="P2731"/>
  <c r="R2731" s="1"/>
  <c r="P2732"/>
  <c r="R2732" s="1"/>
  <c r="P2733"/>
  <c r="R2733" s="1"/>
  <c r="P2734"/>
  <c r="R2734" s="1"/>
  <c r="P2735"/>
  <c r="R2735" s="1"/>
  <c r="P2736"/>
  <c r="R2736" s="1"/>
  <c r="P2737"/>
  <c r="R2737" s="1"/>
  <c r="P2738"/>
  <c r="R2738" s="1"/>
  <c r="P2739"/>
  <c r="R2739" s="1"/>
  <c r="P2740"/>
  <c r="R2740" s="1"/>
  <c r="P2741"/>
  <c r="R2741" s="1"/>
  <c r="P2742"/>
  <c r="R2742" s="1"/>
  <c r="P2743"/>
  <c r="R2743" s="1"/>
  <c r="P2744"/>
  <c r="R2744" s="1"/>
  <c r="P2745"/>
  <c r="R2745" s="1"/>
  <c r="P2746"/>
  <c r="R2746" s="1"/>
  <c r="P2747"/>
  <c r="R2747" s="1"/>
  <c r="P2748"/>
  <c r="R2748" s="1"/>
  <c r="P2749"/>
  <c r="R2749" s="1"/>
  <c r="P2750"/>
  <c r="R2750" s="1"/>
  <c r="P2751"/>
  <c r="R2751" s="1"/>
  <c r="P2752"/>
  <c r="R2752" s="1"/>
  <c r="P2753"/>
  <c r="R2753" s="1"/>
  <c r="P2754"/>
  <c r="R2754" s="1"/>
  <c r="P2755"/>
  <c r="R2755" s="1"/>
  <c r="P2756"/>
  <c r="R2756" s="1"/>
  <c r="P2757"/>
  <c r="R2757" s="1"/>
  <c r="P2758"/>
  <c r="R2758" s="1"/>
  <c r="P2759"/>
  <c r="R2759" s="1"/>
  <c r="P2760"/>
  <c r="R2760" s="1"/>
  <c r="P2761"/>
  <c r="P2762"/>
  <c r="R2762" s="1"/>
  <c r="P2763"/>
  <c r="R2763" s="1"/>
  <c r="P2764"/>
  <c r="R2764" s="1"/>
  <c r="P2765"/>
  <c r="R2765" s="1"/>
  <c r="P2766"/>
  <c r="R2766" s="1"/>
  <c r="P2767"/>
  <c r="R2767" s="1"/>
  <c r="P2768"/>
  <c r="R2768" s="1"/>
  <c r="P2769"/>
  <c r="R2769" s="1"/>
  <c r="P2770"/>
  <c r="R2770" s="1"/>
  <c r="P2771"/>
  <c r="R2771" s="1"/>
  <c r="P2772"/>
  <c r="R2772" s="1"/>
  <c r="P2773"/>
  <c r="R2773" s="1"/>
  <c r="P2774"/>
  <c r="R2774" s="1"/>
  <c r="P2775"/>
  <c r="R2775" s="1"/>
  <c r="P2776"/>
  <c r="R2776" s="1"/>
  <c r="P2777"/>
  <c r="R2777" s="1"/>
  <c r="P2778"/>
  <c r="R2778" s="1"/>
  <c r="P2779"/>
  <c r="R2779" s="1"/>
  <c r="P2780"/>
  <c r="R2780" s="1"/>
  <c r="P2781"/>
  <c r="R2781" s="1"/>
  <c r="P2782"/>
  <c r="R2782" s="1"/>
  <c r="P2783"/>
  <c r="R2783" s="1"/>
  <c r="P2784"/>
  <c r="R2784" s="1"/>
  <c r="P2785"/>
  <c r="R2785" s="1"/>
  <c r="P2786"/>
  <c r="R2786" s="1"/>
  <c r="P2787"/>
  <c r="R2787" s="1"/>
  <c r="P2788"/>
  <c r="R2788" s="1"/>
  <c r="P2789"/>
  <c r="R2789" s="1"/>
  <c r="P2790"/>
  <c r="R2790" s="1"/>
  <c r="P2791"/>
  <c r="R2791" s="1"/>
  <c r="P2792"/>
  <c r="R2792" s="1"/>
  <c r="P2793"/>
  <c r="R2793" s="1"/>
  <c r="P2794"/>
  <c r="R2794" s="1"/>
  <c r="P2795"/>
  <c r="R2795" s="1"/>
  <c r="P2796"/>
  <c r="R2796" s="1"/>
  <c r="P2797"/>
  <c r="R2797" s="1"/>
  <c r="P2798"/>
  <c r="R2798" s="1"/>
  <c r="P2799"/>
  <c r="R2799" s="1"/>
  <c r="P2800"/>
  <c r="R2800" s="1"/>
  <c r="P2801"/>
  <c r="R2801" s="1"/>
  <c r="P2802"/>
  <c r="P2803"/>
  <c r="R2803" s="1"/>
  <c r="P2804"/>
  <c r="R2804" s="1"/>
  <c r="P2805"/>
  <c r="R2805" s="1"/>
  <c r="P2806"/>
  <c r="R2806" s="1"/>
  <c r="P2807"/>
  <c r="R2807" s="1"/>
  <c r="P2808"/>
  <c r="R2808" s="1"/>
  <c r="P2809"/>
  <c r="R2809" s="1"/>
  <c r="P2810"/>
  <c r="R2810" s="1"/>
  <c r="P2811"/>
  <c r="R2811" s="1"/>
  <c r="P2812"/>
  <c r="P2813"/>
  <c r="P2814"/>
  <c r="R2814" s="1"/>
  <c r="P2815"/>
  <c r="R2815" s="1"/>
  <c r="P2816"/>
  <c r="R2816" s="1"/>
  <c r="P2817"/>
  <c r="R2817" s="1"/>
  <c r="P2818"/>
  <c r="R2818" s="1"/>
  <c r="P2819"/>
  <c r="R2819" s="1"/>
  <c r="P2820"/>
  <c r="R2820" s="1"/>
  <c r="P2821"/>
  <c r="R2821" s="1"/>
  <c r="P2822"/>
  <c r="R2822" s="1"/>
  <c r="P2823"/>
  <c r="R2823" s="1"/>
  <c r="P2824"/>
  <c r="R2824" s="1"/>
  <c r="P2825"/>
  <c r="R2825" s="1"/>
  <c r="P2826"/>
  <c r="R2826" s="1"/>
  <c r="P2827"/>
  <c r="R2827" s="1"/>
  <c r="P2828"/>
  <c r="R2828" s="1"/>
  <c r="P2829"/>
  <c r="R2829" s="1"/>
  <c r="P2830"/>
  <c r="R2830" s="1"/>
  <c r="P2831"/>
  <c r="R2831" s="1"/>
  <c r="P2832"/>
  <c r="R2832" s="1"/>
  <c r="P2833"/>
  <c r="R2833" s="1"/>
  <c r="P2834"/>
  <c r="R2834" s="1"/>
  <c r="P2835"/>
  <c r="R2835" s="1"/>
  <c r="P2836"/>
  <c r="R2836" s="1"/>
  <c r="P2837"/>
  <c r="R2837" s="1"/>
  <c r="P2838"/>
  <c r="R2838" s="1"/>
  <c r="P2839"/>
  <c r="R2839" s="1"/>
  <c r="P2840"/>
  <c r="R2840" s="1"/>
  <c r="P2841"/>
  <c r="R2841" s="1"/>
  <c r="P2842"/>
  <c r="R2842" s="1"/>
  <c r="P2843"/>
  <c r="R2843" s="1"/>
  <c r="P2844"/>
  <c r="R2844" s="1"/>
  <c r="P2845"/>
  <c r="R2845" s="1"/>
  <c r="P2846"/>
  <c r="R2846" s="1"/>
  <c r="P2847"/>
  <c r="R2847" s="1"/>
  <c r="P2848"/>
  <c r="R2848" s="1"/>
  <c r="P2849"/>
  <c r="R2849" s="1"/>
  <c r="P2850"/>
  <c r="R2850" s="1"/>
  <c r="P2851"/>
  <c r="R2851" s="1"/>
  <c r="P2852"/>
  <c r="R2852" s="1"/>
  <c r="P2853"/>
  <c r="R2853" s="1"/>
  <c r="P2854"/>
  <c r="R2854" s="1"/>
  <c r="P2855"/>
  <c r="R2855" s="1"/>
  <c r="P2856"/>
  <c r="R2856" s="1"/>
  <c r="P2857"/>
  <c r="R2857" s="1"/>
  <c r="P2858"/>
  <c r="R2858" s="1"/>
  <c r="P2859"/>
  <c r="R2859" s="1"/>
  <c r="P2860"/>
  <c r="R2860" s="1"/>
  <c r="P2861"/>
  <c r="R2861" s="1"/>
  <c r="P2862"/>
  <c r="R2862" s="1"/>
  <c r="P2863"/>
  <c r="R2863" s="1"/>
  <c r="P2864"/>
  <c r="R2864" s="1"/>
  <c r="P2865"/>
  <c r="R2865" s="1"/>
  <c r="P2866"/>
  <c r="R2866" s="1"/>
  <c r="P2867"/>
  <c r="R2867" s="1"/>
  <c r="P2868"/>
  <c r="R2868" s="1"/>
  <c r="P2869"/>
  <c r="R2869" s="1"/>
  <c r="P2870"/>
  <c r="R2870" s="1"/>
  <c r="P2871"/>
  <c r="R2871" s="1"/>
  <c r="P2872"/>
  <c r="R2872" s="1"/>
  <c r="P2873"/>
  <c r="R2873" s="1"/>
  <c r="P2874"/>
  <c r="R2874" s="1"/>
  <c r="P2875"/>
  <c r="R2875" s="1"/>
  <c r="P2876"/>
  <c r="R2876" s="1"/>
  <c r="P2877"/>
  <c r="P2878"/>
  <c r="R2878" s="1"/>
  <c r="P2879"/>
  <c r="R2879" s="1"/>
  <c r="P2880"/>
  <c r="R2880" s="1"/>
  <c r="P2881"/>
  <c r="R2881" s="1"/>
  <c r="P2882"/>
  <c r="P2883"/>
  <c r="R2883" s="1"/>
  <c r="P2884"/>
  <c r="R2884" s="1"/>
  <c r="P2885"/>
  <c r="R2885" s="1"/>
  <c r="P2886"/>
  <c r="R2886" s="1"/>
  <c r="P2887"/>
  <c r="R2887" s="1"/>
  <c r="P2888"/>
  <c r="R2888" s="1"/>
  <c r="P2889"/>
  <c r="R2889" s="1"/>
  <c r="P2890"/>
  <c r="R2890" s="1"/>
  <c r="P2891"/>
  <c r="R2891" s="1"/>
  <c r="P2892"/>
  <c r="R2892" s="1"/>
  <c r="P2893"/>
  <c r="R2893" s="1"/>
  <c r="P2894"/>
  <c r="R2894" s="1"/>
  <c r="P2895"/>
  <c r="R2895" s="1"/>
  <c r="P2896"/>
  <c r="R2896" s="1"/>
  <c r="P2897"/>
  <c r="R2897" s="1"/>
  <c r="P2898"/>
  <c r="R2898" s="1"/>
  <c r="P2899"/>
  <c r="R2899" s="1"/>
  <c r="P2900"/>
  <c r="R2900" s="1"/>
  <c r="P2901"/>
  <c r="R2901" s="1"/>
  <c r="P2902"/>
  <c r="R2902" s="1"/>
  <c r="P2903"/>
  <c r="R2903" s="1"/>
  <c r="P2904"/>
  <c r="R2904" s="1"/>
  <c r="P2905"/>
  <c r="R2905" s="1"/>
  <c r="P2906"/>
  <c r="R2906" s="1"/>
  <c r="P2907"/>
  <c r="R2907" s="1"/>
  <c r="P2908"/>
  <c r="R2908" s="1"/>
  <c r="P2909"/>
  <c r="P2910"/>
  <c r="R2910" s="1"/>
  <c r="P2911"/>
  <c r="R2911" s="1"/>
  <c r="P2912"/>
  <c r="R2912" s="1"/>
  <c r="P2913"/>
  <c r="R2913" s="1"/>
  <c r="P2914"/>
  <c r="R2914" s="1"/>
  <c r="P2915"/>
  <c r="R2915" s="1"/>
  <c r="P2916"/>
  <c r="R2916" s="1"/>
  <c r="P2917"/>
  <c r="P2918"/>
  <c r="R2918" s="1"/>
  <c r="P2919"/>
  <c r="R2919" s="1"/>
  <c r="P2920"/>
  <c r="R2920" s="1"/>
  <c r="P2921"/>
  <c r="R2921" s="1"/>
  <c r="P2922"/>
  <c r="R2922" s="1"/>
  <c r="P2923"/>
  <c r="R2923" s="1"/>
  <c r="P2924"/>
  <c r="R2924" s="1"/>
  <c r="P2925"/>
  <c r="R2925" s="1"/>
  <c r="P2926"/>
  <c r="R2926" s="1"/>
  <c r="P2927"/>
  <c r="R2927" s="1"/>
  <c r="P2928"/>
  <c r="R2928" s="1"/>
  <c r="P2929"/>
  <c r="R2929" s="1"/>
  <c r="P2930"/>
  <c r="R2930" s="1"/>
  <c r="P2931"/>
  <c r="R2931" s="1"/>
  <c r="P2932"/>
  <c r="R2932" s="1"/>
  <c r="P2933"/>
  <c r="R2933" s="1"/>
  <c r="P2934"/>
  <c r="R2934" s="1"/>
  <c r="P2935"/>
  <c r="R2935" s="1"/>
  <c r="P2936"/>
  <c r="R2936" s="1"/>
  <c r="P2937"/>
  <c r="R2937" s="1"/>
  <c r="P2938"/>
  <c r="R2938" s="1"/>
  <c r="P2939"/>
  <c r="R2939" s="1"/>
  <c r="P2940"/>
  <c r="R2940" s="1"/>
  <c r="P2941"/>
  <c r="R2941" s="1"/>
  <c r="P2942"/>
  <c r="R2942" s="1"/>
  <c r="P2943"/>
  <c r="R2943" s="1"/>
  <c r="P2944"/>
  <c r="R2944" s="1"/>
  <c r="P2945"/>
  <c r="P2946"/>
  <c r="R2946" s="1"/>
  <c r="P2947"/>
  <c r="R2947" s="1"/>
  <c r="P2948"/>
  <c r="R2948" s="1"/>
  <c r="P2949"/>
  <c r="R2949" s="1"/>
  <c r="P2950"/>
  <c r="R2950" s="1"/>
  <c r="P2951"/>
  <c r="R2951" s="1"/>
  <c r="P2952"/>
  <c r="R2952" s="1"/>
  <c r="P2953"/>
  <c r="R2953" s="1"/>
  <c r="P2954"/>
  <c r="R2954" s="1"/>
  <c r="P2955"/>
  <c r="R2955" s="1"/>
  <c r="P2956"/>
  <c r="R2956" s="1"/>
  <c r="P2957"/>
  <c r="R2957" s="1"/>
  <c r="P2958"/>
  <c r="R2958" s="1"/>
  <c r="P2959"/>
  <c r="R2959" s="1"/>
  <c r="P2960"/>
  <c r="R2960" s="1"/>
  <c r="P2961"/>
  <c r="R2961" s="1"/>
  <c r="P2962"/>
  <c r="R2962" s="1"/>
  <c r="P2963"/>
  <c r="R2963" s="1"/>
  <c r="P2964"/>
  <c r="R2964" s="1"/>
  <c r="P2965"/>
  <c r="R2965" s="1"/>
  <c r="P2966"/>
  <c r="R2966" s="1"/>
  <c r="P2967"/>
  <c r="R2967" s="1"/>
  <c r="P2968"/>
  <c r="R2968" s="1"/>
  <c r="P2969"/>
  <c r="R2969" s="1"/>
  <c r="P2970"/>
  <c r="R2970" s="1"/>
  <c r="P2971"/>
  <c r="R2971" s="1"/>
  <c r="P2972"/>
  <c r="R2972" s="1"/>
  <c r="P2973"/>
  <c r="P2974"/>
  <c r="R2974" s="1"/>
  <c r="P2975"/>
  <c r="R2975" s="1"/>
  <c r="P2976"/>
  <c r="R2976" s="1"/>
  <c r="P2977"/>
  <c r="R2977" s="1"/>
  <c r="P2978"/>
  <c r="R2978" s="1"/>
  <c r="P2979"/>
  <c r="R2979" s="1"/>
  <c r="P2980"/>
  <c r="R2980" s="1"/>
  <c r="P2981"/>
  <c r="P2982"/>
  <c r="R2982" s="1"/>
  <c r="P2983"/>
  <c r="R2983" s="1"/>
  <c r="P2984"/>
  <c r="R2984" s="1"/>
  <c r="P2985"/>
  <c r="R2985" s="1"/>
  <c r="P2986"/>
  <c r="R2986" s="1"/>
  <c r="P2987"/>
  <c r="R2987" s="1"/>
  <c r="P2988"/>
  <c r="R2988" s="1"/>
  <c r="P2989"/>
  <c r="R2989" s="1"/>
  <c r="P2990"/>
  <c r="R2990" s="1"/>
  <c r="P2991"/>
  <c r="R2991" s="1"/>
  <c r="P2992"/>
  <c r="R2992" s="1"/>
  <c r="P2993"/>
  <c r="R2993" s="1"/>
  <c r="P2994"/>
  <c r="R2994" s="1"/>
  <c r="P2995"/>
  <c r="R2995" s="1"/>
  <c r="P2996"/>
  <c r="R2996" s="1"/>
  <c r="P2997"/>
  <c r="R2997" s="1"/>
  <c r="P2998"/>
  <c r="R2998" s="1"/>
  <c r="P2999"/>
  <c r="R2999" s="1"/>
  <c r="P3000"/>
  <c r="R3000" s="1"/>
  <c r="P3001"/>
  <c r="R3001" s="1"/>
  <c r="P3002"/>
  <c r="R3002" s="1"/>
  <c r="P3003"/>
  <c r="R3003" s="1"/>
  <c r="P3004"/>
  <c r="R3004" s="1"/>
  <c r="P3005"/>
  <c r="R3005" s="1"/>
  <c r="P3006"/>
  <c r="R3006" s="1"/>
  <c r="P3007"/>
  <c r="R3007" s="1"/>
  <c r="P3008"/>
  <c r="R3008" s="1"/>
  <c r="P3009"/>
  <c r="P3010"/>
  <c r="R3010" s="1"/>
  <c r="P3011"/>
  <c r="R3011" s="1"/>
  <c r="P3012"/>
  <c r="R3012" s="1"/>
  <c r="P3013"/>
  <c r="R3013" s="1"/>
  <c r="P3014"/>
  <c r="R3014" s="1"/>
  <c r="P3015"/>
  <c r="R3015" s="1"/>
  <c r="P3016"/>
  <c r="R3016" s="1"/>
  <c r="P3017"/>
  <c r="R3017" s="1"/>
  <c r="P3018"/>
  <c r="R3018" s="1"/>
  <c r="P3019"/>
  <c r="R3019" s="1"/>
  <c r="P3020"/>
  <c r="R3020" s="1"/>
  <c r="P3021"/>
  <c r="R3021" s="1"/>
  <c r="P3022"/>
  <c r="R3022" s="1"/>
  <c r="P3023"/>
  <c r="R3023" s="1"/>
  <c r="P3024"/>
  <c r="R3024" s="1"/>
  <c r="P3025"/>
  <c r="R3025" s="1"/>
  <c r="P3026"/>
  <c r="R3026" s="1"/>
  <c r="P3027"/>
  <c r="R3027" s="1"/>
  <c r="P3028"/>
  <c r="R3028" s="1"/>
  <c r="P3029"/>
  <c r="R3029" s="1"/>
  <c r="P3030"/>
  <c r="R3030" s="1"/>
  <c r="P3031"/>
  <c r="R3031" s="1"/>
  <c r="P3032"/>
  <c r="R3032" s="1"/>
  <c r="P3033"/>
  <c r="R3033" s="1"/>
  <c r="P3034"/>
  <c r="R3034" s="1"/>
  <c r="P3035"/>
  <c r="R3035" s="1"/>
  <c r="P3036"/>
  <c r="R3036" s="1"/>
  <c r="P3037"/>
  <c r="P3038"/>
  <c r="R3038" s="1"/>
  <c r="P3039"/>
  <c r="R3039" s="1"/>
  <c r="P3040"/>
  <c r="R3040" s="1"/>
  <c r="P3041"/>
  <c r="R3041" s="1"/>
  <c r="P3042"/>
  <c r="R3042" s="1"/>
  <c r="P3043"/>
  <c r="R3043" s="1"/>
  <c r="P3044"/>
  <c r="R3044" s="1"/>
  <c r="P3045"/>
  <c r="P3046"/>
  <c r="R3046" s="1"/>
  <c r="P3047"/>
  <c r="R3047" s="1"/>
  <c r="P3048"/>
  <c r="R3048" s="1"/>
  <c r="P3049"/>
  <c r="R3049" s="1"/>
  <c r="P3050"/>
  <c r="R3050" s="1"/>
  <c r="P3051"/>
  <c r="R3051" s="1"/>
  <c r="P3052"/>
  <c r="R3052" s="1"/>
  <c r="P3053"/>
  <c r="R3053" s="1"/>
  <c r="P3054"/>
  <c r="R3054" s="1"/>
  <c r="P3055"/>
  <c r="R3055" s="1"/>
  <c r="P3056"/>
  <c r="R3056" s="1"/>
  <c r="P3057"/>
  <c r="R3057" s="1"/>
  <c r="P3058"/>
  <c r="R3058" s="1"/>
  <c r="P3059"/>
  <c r="R3059" s="1"/>
  <c r="P3060"/>
  <c r="R3060" s="1"/>
  <c r="P3061"/>
  <c r="R3061" s="1"/>
  <c r="P3062"/>
  <c r="P3063"/>
  <c r="R3063" s="1"/>
  <c r="P3064"/>
  <c r="R3064" s="1"/>
  <c r="P3065"/>
  <c r="R3065" s="1"/>
  <c r="P3066"/>
  <c r="R3066" s="1"/>
  <c r="P3067"/>
  <c r="R3067" s="1"/>
  <c r="P3068"/>
  <c r="R3068" s="1"/>
  <c r="P3069"/>
  <c r="R3069" s="1"/>
  <c r="P3070"/>
  <c r="R3070" s="1"/>
  <c r="P3071"/>
  <c r="R3071" s="1"/>
  <c r="P3072"/>
  <c r="R3072" s="1"/>
  <c r="P3073"/>
  <c r="R3073" s="1"/>
  <c r="P3074"/>
  <c r="R3074" s="1"/>
  <c r="P3075"/>
  <c r="R3075" s="1"/>
  <c r="P3076"/>
  <c r="R3076" s="1"/>
  <c r="P3077"/>
  <c r="R3077" s="1"/>
  <c r="P3078"/>
  <c r="R3078" s="1"/>
  <c r="P3079"/>
  <c r="R3079" s="1"/>
  <c r="P3080"/>
  <c r="R3080" s="1"/>
  <c r="P3081"/>
  <c r="R3081" s="1"/>
  <c r="P3082"/>
  <c r="R3082" s="1"/>
  <c r="P3083"/>
  <c r="R3083" s="1"/>
  <c r="P3084"/>
  <c r="R3084" s="1"/>
  <c r="P3085"/>
  <c r="R3085" s="1"/>
  <c r="P3086"/>
  <c r="R3086" s="1"/>
  <c r="P3087"/>
  <c r="R3087" s="1"/>
  <c r="P3088"/>
  <c r="R3088" s="1"/>
  <c r="P3089"/>
  <c r="R3089" s="1"/>
  <c r="P3090"/>
  <c r="R3090" s="1"/>
  <c r="P3091"/>
  <c r="R3091" s="1"/>
  <c r="P3092"/>
  <c r="R3092" s="1"/>
  <c r="P3093"/>
  <c r="R3093" s="1"/>
  <c r="P3094"/>
  <c r="P3095"/>
  <c r="R3095" s="1"/>
  <c r="P3096"/>
  <c r="R3096" s="1"/>
  <c r="P3097"/>
  <c r="R3097" s="1"/>
  <c r="P3098"/>
  <c r="R3098" s="1"/>
  <c r="P3099"/>
  <c r="R3099" s="1"/>
  <c r="P3100"/>
  <c r="R3100" s="1"/>
  <c r="P3101"/>
  <c r="R3101" s="1"/>
  <c r="P3102"/>
  <c r="P3103"/>
  <c r="R3103" s="1"/>
  <c r="P3104"/>
  <c r="R3104" s="1"/>
  <c r="P3105"/>
  <c r="R3105" s="1"/>
  <c r="P3106"/>
  <c r="R3106" s="1"/>
  <c r="P3107"/>
  <c r="R3107" s="1"/>
  <c r="P3108"/>
  <c r="R3108" s="1"/>
  <c r="P3109"/>
  <c r="R3109" s="1"/>
  <c r="P3110"/>
  <c r="R3110" s="1"/>
  <c r="P3111"/>
  <c r="R3111" s="1"/>
  <c r="P3112"/>
  <c r="R3112" s="1"/>
  <c r="P3113"/>
  <c r="R3113" s="1"/>
  <c r="P3114"/>
  <c r="R3114" s="1"/>
  <c r="P3115"/>
  <c r="R3115" s="1"/>
  <c r="P3116"/>
  <c r="R3116" s="1"/>
  <c r="P3117"/>
  <c r="R3117" s="1"/>
  <c r="P3118"/>
  <c r="R3118" s="1"/>
  <c r="P3119"/>
  <c r="R3119" s="1"/>
  <c r="P3120"/>
  <c r="R3120" s="1"/>
  <c r="P3121"/>
  <c r="R3121" s="1"/>
  <c r="P3122"/>
  <c r="R3122" s="1"/>
  <c r="P3123"/>
  <c r="R3123" s="1"/>
  <c r="P3124"/>
  <c r="R3124" s="1"/>
  <c r="P3125"/>
  <c r="R3125" s="1"/>
  <c r="P3126"/>
  <c r="P3127"/>
  <c r="R3127" s="1"/>
  <c r="P3128"/>
  <c r="R3128" s="1"/>
  <c r="P3129"/>
  <c r="R3129" s="1"/>
  <c r="P3130"/>
  <c r="R3130" s="1"/>
  <c r="P3131"/>
  <c r="R3131" s="1"/>
  <c r="P3132"/>
  <c r="R3132" s="1"/>
  <c r="P3133"/>
  <c r="R3133" s="1"/>
  <c r="P3134"/>
  <c r="R3134" s="1"/>
  <c r="P3135"/>
  <c r="R3135" s="1"/>
  <c r="P3136"/>
  <c r="R3136" s="1"/>
  <c r="P3137"/>
  <c r="R3137" s="1"/>
  <c r="P3138"/>
  <c r="R3138" s="1"/>
  <c r="P3139"/>
  <c r="R3139" s="1"/>
  <c r="P3140"/>
  <c r="R3140" s="1"/>
  <c r="P3141"/>
  <c r="R3141" s="1"/>
  <c r="P3142"/>
  <c r="R3142" s="1"/>
  <c r="P3143"/>
  <c r="R3143" s="1"/>
  <c r="P3144"/>
  <c r="R3144" s="1"/>
  <c r="P3145"/>
  <c r="R3145" s="1"/>
  <c r="P3146"/>
  <c r="R3146" s="1"/>
  <c r="P3147"/>
  <c r="R3147" s="1"/>
  <c r="P3148"/>
  <c r="R3148" s="1"/>
  <c r="P3149"/>
  <c r="R3149" s="1"/>
  <c r="P3150"/>
  <c r="R3150" s="1"/>
  <c r="P3151"/>
  <c r="R3151" s="1"/>
  <c r="P3152"/>
  <c r="R3152" s="1"/>
  <c r="P3153"/>
  <c r="R3153" s="1"/>
  <c r="P3154"/>
  <c r="R3154" s="1"/>
  <c r="P3155"/>
  <c r="R3155" s="1"/>
  <c r="P3156"/>
  <c r="R3156" s="1"/>
  <c r="P3157"/>
  <c r="R3157" s="1"/>
  <c r="P3158"/>
  <c r="P3159"/>
  <c r="R3159" s="1"/>
  <c r="P3160"/>
  <c r="R3160" s="1"/>
  <c r="P3161"/>
  <c r="R3161" s="1"/>
  <c r="P3162"/>
  <c r="R3162" s="1"/>
  <c r="P3163"/>
  <c r="R3163" s="1"/>
  <c r="P3164"/>
  <c r="R3164" s="1"/>
  <c r="P3165"/>
  <c r="R3165" s="1"/>
  <c r="P3166"/>
  <c r="P3167"/>
  <c r="R3167" s="1"/>
  <c r="P3168"/>
  <c r="R3168" s="1"/>
  <c r="P3169"/>
  <c r="R3169" s="1"/>
  <c r="P3170"/>
  <c r="R3170" s="1"/>
  <c r="P3171"/>
  <c r="R3171" s="1"/>
  <c r="P3172"/>
  <c r="R3172" s="1"/>
  <c r="P3173"/>
  <c r="R3173" s="1"/>
  <c r="P3174"/>
  <c r="R3174" s="1"/>
  <c r="P3175"/>
  <c r="R3175" s="1"/>
  <c r="P3176"/>
  <c r="R3176" s="1"/>
  <c r="P3177"/>
  <c r="R3177" s="1"/>
  <c r="P3178"/>
  <c r="R3178" s="1"/>
  <c r="P3179"/>
  <c r="R3179" s="1"/>
  <c r="P3180"/>
  <c r="R3180" s="1"/>
  <c r="P3181"/>
  <c r="R3181" s="1"/>
  <c r="P3182"/>
  <c r="R3182" s="1"/>
  <c r="P3183"/>
  <c r="R3183" s="1"/>
  <c r="P3184"/>
  <c r="R3184" s="1"/>
  <c r="P3185"/>
  <c r="R3185" s="1"/>
  <c r="P3186"/>
  <c r="R3186" s="1"/>
  <c r="P3187"/>
  <c r="R3187" s="1"/>
  <c r="P3188"/>
  <c r="R3188" s="1"/>
  <c r="P3189"/>
  <c r="R3189" s="1"/>
  <c r="P3190"/>
  <c r="P3191"/>
  <c r="R3191" s="1"/>
  <c r="P3192"/>
  <c r="R3192" s="1"/>
  <c r="P3193"/>
  <c r="R3193" s="1"/>
  <c r="P3194"/>
  <c r="R3194" s="1"/>
  <c r="P3195"/>
  <c r="R3195" s="1"/>
  <c r="P3196"/>
  <c r="R3196" s="1"/>
  <c r="P3197"/>
  <c r="R3197" s="1"/>
  <c r="P3198"/>
  <c r="R3198" s="1"/>
  <c r="P3199"/>
  <c r="R3199" s="1"/>
  <c r="P3200"/>
  <c r="R3200" s="1"/>
  <c r="P3201"/>
  <c r="R3201" s="1"/>
  <c r="P3202"/>
  <c r="R3202" s="1"/>
  <c r="P3203"/>
  <c r="R3203" s="1"/>
  <c r="P3204"/>
  <c r="R3204" s="1"/>
  <c r="P3205"/>
  <c r="R3205" s="1"/>
  <c r="P3206"/>
  <c r="R3206" s="1"/>
  <c r="P3207"/>
  <c r="R3207" s="1"/>
  <c r="P3208"/>
  <c r="R3208" s="1"/>
  <c r="P3209"/>
  <c r="R3209" s="1"/>
  <c r="P3210"/>
  <c r="R3210" s="1"/>
  <c r="P3211"/>
  <c r="R3211" s="1"/>
  <c r="P3212"/>
  <c r="R3212" s="1"/>
  <c r="P3213"/>
  <c r="R3213" s="1"/>
  <c r="P3214"/>
  <c r="R3214" s="1"/>
  <c r="P3215"/>
  <c r="R3215" s="1"/>
  <c r="P3216"/>
  <c r="R3216" s="1"/>
  <c r="P3217"/>
  <c r="R3217" s="1"/>
  <c r="P3218"/>
  <c r="R3218" s="1"/>
  <c r="P3219"/>
  <c r="R3219" s="1"/>
  <c r="P3220"/>
  <c r="R3220" s="1"/>
  <c r="P3221"/>
  <c r="R3221" s="1"/>
  <c r="P3222"/>
  <c r="P3223"/>
  <c r="R3223" s="1"/>
  <c r="P3224"/>
  <c r="R3224" s="1"/>
  <c r="P3225"/>
  <c r="R3225" s="1"/>
  <c r="P3226"/>
  <c r="R3226" s="1"/>
  <c r="P3227"/>
  <c r="R3227" s="1"/>
  <c r="P3228"/>
  <c r="R3228" s="1"/>
  <c r="P3229"/>
  <c r="R3229" s="1"/>
  <c r="P3230"/>
  <c r="P3231"/>
  <c r="R3231" s="1"/>
  <c r="P3232"/>
  <c r="R3232" s="1"/>
  <c r="P3233"/>
  <c r="R3233" s="1"/>
  <c r="P3234"/>
  <c r="R3234" s="1"/>
  <c r="P3235"/>
  <c r="R3235" s="1"/>
  <c r="P3236"/>
  <c r="R3236" s="1"/>
  <c r="P3237"/>
  <c r="R3237" s="1"/>
  <c r="P3238"/>
  <c r="R3238" s="1"/>
  <c r="P3239"/>
  <c r="R3239" s="1"/>
  <c r="P3240"/>
  <c r="R3240" s="1"/>
  <c r="P3241"/>
  <c r="R3241" s="1"/>
  <c r="P3242"/>
  <c r="R3242" s="1"/>
  <c r="P3243"/>
  <c r="R3243" s="1"/>
  <c r="P3244"/>
  <c r="R3244" s="1"/>
  <c r="P3245"/>
  <c r="R3245" s="1"/>
  <c r="P3246"/>
  <c r="R3246" s="1"/>
  <c r="P3247"/>
  <c r="R3247" s="1"/>
  <c r="P3248"/>
  <c r="R3248" s="1"/>
  <c r="P3249"/>
  <c r="R3249" s="1"/>
  <c r="P3250"/>
  <c r="R3250" s="1"/>
  <c r="P3251"/>
  <c r="R3251" s="1"/>
  <c r="P3252"/>
  <c r="R3252" s="1"/>
  <c r="P3253"/>
  <c r="R3253" s="1"/>
  <c r="P3254"/>
  <c r="P3255"/>
  <c r="R3255" s="1"/>
  <c r="P3256"/>
  <c r="R3256" s="1"/>
  <c r="P3257"/>
  <c r="R3257" s="1"/>
  <c r="P3258"/>
  <c r="R3258" s="1"/>
  <c r="P3259"/>
  <c r="R3259" s="1"/>
  <c r="P3260"/>
  <c r="R3260" s="1"/>
  <c r="P3261"/>
  <c r="R3261" s="1"/>
  <c r="P3262"/>
  <c r="R3262" s="1"/>
  <c r="P3263"/>
  <c r="R3263" s="1"/>
  <c r="P3264"/>
  <c r="R3264" s="1"/>
  <c r="P3265"/>
  <c r="R3265" s="1"/>
  <c r="P3266"/>
  <c r="R3266" s="1"/>
  <c r="P3267"/>
  <c r="R3267" s="1"/>
  <c r="P3268"/>
  <c r="R3268" s="1"/>
  <c r="P3269"/>
  <c r="R3269" s="1"/>
  <c r="P3270"/>
  <c r="R3270" s="1"/>
  <c r="P3271"/>
  <c r="R3271" s="1"/>
  <c r="P3272"/>
  <c r="R3272" s="1"/>
  <c r="P3273"/>
  <c r="R3273" s="1"/>
  <c r="P3274"/>
  <c r="R3274" s="1"/>
  <c r="P3275"/>
  <c r="R3275" s="1"/>
  <c r="P3276"/>
  <c r="R3276" s="1"/>
  <c r="P3277"/>
  <c r="R3277" s="1"/>
  <c r="P3278"/>
  <c r="R3278" s="1"/>
  <c r="P3279"/>
  <c r="R3279" s="1"/>
  <c r="P3280"/>
  <c r="R3280" s="1"/>
  <c r="P3281"/>
  <c r="R3281" s="1"/>
  <c r="P3282"/>
  <c r="R3282" s="1"/>
  <c r="P3283"/>
  <c r="R3283" s="1"/>
  <c r="P3284"/>
  <c r="R3284" s="1"/>
  <c r="P3285"/>
  <c r="R3285" s="1"/>
  <c r="P3286"/>
  <c r="P3287"/>
  <c r="R3287" s="1"/>
  <c r="P3288"/>
  <c r="R3288" s="1"/>
  <c r="P3289"/>
  <c r="R3289" s="1"/>
  <c r="P3290"/>
  <c r="R3290" s="1"/>
  <c r="P3291"/>
  <c r="R3291" s="1"/>
  <c r="P3292"/>
  <c r="R3292" s="1"/>
  <c r="P3293"/>
  <c r="R3293" s="1"/>
  <c r="P3294"/>
  <c r="P3295"/>
  <c r="R3295" s="1"/>
  <c r="P3296"/>
  <c r="R3296" s="1"/>
  <c r="P3297"/>
  <c r="R3297" s="1"/>
  <c r="P3298"/>
  <c r="R3298" s="1"/>
  <c r="P3299"/>
  <c r="R3299" s="1"/>
  <c r="P3300"/>
  <c r="R3300" s="1"/>
  <c r="P3301"/>
  <c r="R3301" s="1"/>
  <c r="P3302"/>
  <c r="R3302" s="1"/>
  <c r="P3303"/>
  <c r="R3303" s="1"/>
  <c r="P3304"/>
  <c r="R3304" s="1"/>
  <c r="P3305"/>
  <c r="R3305" s="1"/>
  <c r="P3306"/>
  <c r="R3306" s="1"/>
  <c r="P3307"/>
  <c r="R3307" s="1"/>
  <c r="P3308"/>
  <c r="R3308" s="1"/>
  <c r="P3309"/>
  <c r="R3309" s="1"/>
  <c r="P3310"/>
  <c r="R3310" s="1"/>
  <c r="P3311"/>
  <c r="R3311" s="1"/>
  <c r="P3312"/>
  <c r="R3312" s="1"/>
  <c r="P3313"/>
  <c r="R3313" s="1"/>
  <c r="P3314"/>
  <c r="R3314" s="1"/>
  <c r="P3315"/>
  <c r="R3315" s="1"/>
  <c r="P3316"/>
  <c r="R3316" s="1"/>
  <c r="P3317"/>
  <c r="R3317" s="1"/>
  <c r="P3318"/>
  <c r="P3319"/>
  <c r="R3319" s="1"/>
  <c r="P3320"/>
  <c r="R3320" s="1"/>
  <c r="P3321"/>
  <c r="R3321" s="1"/>
  <c r="P3322"/>
  <c r="R3322" s="1"/>
  <c r="P3323"/>
  <c r="R3323" s="1"/>
  <c r="P3324"/>
  <c r="R3324" s="1"/>
  <c r="P3325"/>
  <c r="R3325" s="1"/>
  <c r="P3326"/>
  <c r="R3326" s="1"/>
  <c r="P3327"/>
  <c r="R3327" s="1"/>
  <c r="P3328"/>
  <c r="R3328" s="1"/>
  <c r="P3329"/>
  <c r="R3329" s="1"/>
  <c r="P3330"/>
  <c r="R3330" s="1"/>
  <c r="P3331"/>
  <c r="R3331" s="1"/>
  <c r="P3332"/>
  <c r="R3332" s="1"/>
  <c r="P3333"/>
  <c r="R3333" s="1"/>
  <c r="P3334"/>
  <c r="R3334" s="1"/>
  <c r="P3335"/>
  <c r="R3335" s="1"/>
  <c r="P3336"/>
  <c r="R3336" s="1"/>
  <c r="P3337"/>
  <c r="R3337" s="1"/>
  <c r="P3338"/>
  <c r="R3338" s="1"/>
  <c r="P3339"/>
  <c r="R3339" s="1"/>
  <c r="P3340"/>
  <c r="R3340" s="1"/>
  <c r="P3341"/>
  <c r="R3341" s="1"/>
  <c r="P3342"/>
  <c r="R3342" s="1"/>
  <c r="P3343"/>
  <c r="R3343" s="1"/>
  <c r="P3344"/>
  <c r="R3344" s="1"/>
  <c r="P3345"/>
  <c r="P3346"/>
  <c r="R3346" s="1"/>
  <c r="P3347"/>
  <c r="R3347" s="1"/>
  <c r="P3348"/>
  <c r="R3348" s="1"/>
  <c r="P3349"/>
  <c r="R3349" s="1"/>
  <c r="P3350"/>
  <c r="P3351"/>
  <c r="R3351" s="1"/>
  <c r="P3352"/>
  <c r="R3352" s="1"/>
  <c r="P3353"/>
  <c r="R3353" s="1"/>
  <c r="P3354"/>
  <c r="R3354" s="1"/>
  <c r="P3355"/>
  <c r="R3355" s="1"/>
  <c r="P3356"/>
  <c r="R3356" s="1"/>
  <c r="P3357"/>
  <c r="R3357" s="1"/>
  <c r="P3358"/>
  <c r="R3358" s="1"/>
  <c r="P3359"/>
  <c r="R3359" s="1"/>
  <c r="P3360"/>
  <c r="R3360" s="1"/>
  <c r="P3361"/>
  <c r="R3361" s="1"/>
  <c r="P3362"/>
  <c r="R3362" s="1"/>
  <c r="P3363"/>
  <c r="R3363" s="1"/>
  <c r="P3364"/>
  <c r="R3364" s="1"/>
  <c r="P3365"/>
  <c r="R3365" s="1"/>
  <c r="P3366"/>
  <c r="R3366" s="1"/>
  <c r="P3367"/>
  <c r="R3367" s="1"/>
  <c r="P3368"/>
  <c r="R3368" s="1"/>
  <c r="P3369"/>
  <c r="R3369" s="1"/>
  <c r="P3370"/>
  <c r="R3370" s="1"/>
  <c r="P3371"/>
  <c r="R3371" s="1"/>
  <c r="P3372"/>
  <c r="R3372" s="1"/>
  <c r="P3373"/>
  <c r="R3373" s="1"/>
  <c r="P3374"/>
  <c r="R3374" s="1"/>
  <c r="P3375"/>
  <c r="R3375" s="1"/>
  <c r="P3376"/>
  <c r="R3376" s="1"/>
  <c r="P3377"/>
  <c r="R3377" s="1"/>
  <c r="P3378"/>
  <c r="R3378" s="1"/>
  <c r="P3379"/>
  <c r="R3379" s="1"/>
  <c r="P3380"/>
  <c r="R3380" s="1"/>
  <c r="P3381"/>
  <c r="R3381" s="1"/>
  <c r="P3382"/>
  <c r="P3383"/>
  <c r="R3383" s="1"/>
  <c r="P3384"/>
  <c r="R3384" s="1"/>
  <c r="P3385"/>
  <c r="R3385" s="1"/>
  <c r="P3386"/>
  <c r="R3386" s="1"/>
  <c r="P3387"/>
  <c r="R3387" s="1"/>
  <c r="P3388"/>
  <c r="R3388" s="1"/>
  <c r="P3389"/>
  <c r="R3389" s="1"/>
  <c r="P3390"/>
  <c r="R3390" s="1"/>
  <c r="P3391"/>
  <c r="R3391" s="1"/>
  <c r="P3392"/>
  <c r="R3392" s="1"/>
  <c r="P3393"/>
  <c r="R3393" s="1"/>
  <c r="P3394"/>
  <c r="R3394" s="1"/>
  <c r="P3395"/>
  <c r="R3395" s="1"/>
  <c r="P3396"/>
  <c r="R3396" s="1"/>
  <c r="P3397"/>
  <c r="R3397" s="1"/>
  <c r="P3398"/>
  <c r="R3398" s="1"/>
  <c r="P3399"/>
  <c r="R3399" s="1"/>
  <c r="P3400"/>
  <c r="R3400" s="1"/>
  <c r="P3401"/>
  <c r="R3401" s="1"/>
  <c r="P3402"/>
  <c r="R3402" s="1"/>
  <c r="P3403"/>
  <c r="R3403" s="1"/>
  <c r="P3404"/>
  <c r="R3404" s="1"/>
  <c r="P3405"/>
  <c r="R3405" s="1"/>
  <c r="P3406"/>
  <c r="R3406" s="1"/>
  <c r="P3407"/>
  <c r="R3407" s="1"/>
  <c r="P3408"/>
  <c r="R3408" s="1"/>
  <c r="P3409"/>
  <c r="P3410"/>
  <c r="R3410" s="1"/>
  <c r="P3411"/>
  <c r="R3411" s="1"/>
  <c r="P3412"/>
  <c r="R3412" s="1"/>
  <c r="P3413"/>
  <c r="R3413" s="1"/>
  <c r="P3414"/>
  <c r="P3415"/>
  <c r="R3415" s="1"/>
  <c r="P3416"/>
  <c r="R3416" s="1"/>
  <c r="P3417"/>
  <c r="R3417" s="1"/>
  <c r="P3418"/>
  <c r="R3418" s="1"/>
  <c r="P3419"/>
  <c r="R3419" s="1"/>
  <c r="P3420"/>
  <c r="R3420" s="1"/>
  <c r="P3421"/>
  <c r="R3421" s="1"/>
  <c r="P3422"/>
  <c r="R3422" s="1"/>
  <c r="P3423"/>
  <c r="R3423" s="1"/>
  <c r="P3424"/>
  <c r="R3424" s="1"/>
  <c r="P3425"/>
  <c r="R3425" s="1"/>
  <c r="P3426"/>
  <c r="R3426" s="1"/>
  <c r="P3427"/>
  <c r="R3427" s="1"/>
  <c r="P3428"/>
  <c r="R3428" s="1"/>
  <c r="P3429"/>
  <c r="R3429" s="1"/>
  <c r="P3430"/>
  <c r="R3430" s="1"/>
  <c r="P3431"/>
  <c r="R3431" s="1"/>
  <c r="P3432"/>
  <c r="R3432" s="1"/>
  <c r="P3433"/>
  <c r="R3433" s="1"/>
  <c r="P3434"/>
  <c r="R3434" s="1"/>
  <c r="P3435"/>
  <c r="R3435" s="1"/>
  <c r="P3436"/>
  <c r="R3436" s="1"/>
  <c r="P3437"/>
  <c r="R3437" s="1"/>
  <c r="P3438"/>
  <c r="R3438" s="1"/>
  <c r="P3439"/>
  <c r="R3439" s="1"/>
  <c r="P3440"/>
  <c r="R3440" s="1"/>
  <c r="P3441"/>
  <c r="R3441" s="1"/>
  <c r="P3442"/>
  <c r="R3442" s="1"/>
  <c r="P3443"/>
  <c r="R3443" s="1"/>
  <c r="P3444"/>
  <c r="R3444" s="1"/>
  <c r="P3445"/>
  <c r="R3445" s="1"/>
  <c r="P3446"/>
  <c r="P3447"/>
  <c r="R3447" s="1"/>
  <c r="P3448"/>
  <c r="R3448" s="1"/>
  <c r="P3449"/>
  <c r="R3449" s="1"/>
  <c r="P3450"/>
  <c r="R3450" s="1"/>
  <c r="P3451"/>
  <c r="R3451" s="1"/>
  <c r="P3452"/>
  <c r="R3452" s="1"/>
  <c r="P3453"/>
  <c r="R3453" s="1"/>
  <c r="P3454"/>
  <c r="R3454" s="1"/>
  <c r="P3455"/>
  <c r="R3455" s="1"/>
  <c r="P3456"/>
  <c r="R3456" s="1"/>
  <c r="P3457"/>
  <c r="R3457" s="1"/>
  <c r="P3458"/>
  <c r="R3458" s="1"/>
  <c r="P3459"/>
  <c r="R3459" s="1"/>
  <c r="P3460"/>
  <c r="R3460" s="1"/>
  <c r="P3461"/>
  <c r="R3461" s="1"/>
  <c r="P3462"/>
  <c r="R3462" s="1"/>
  <c r="P3463"/>
  <c r="R3463" s="1"/>
  <c r="P3464"/>
  <c r="R3464" s="1"/>
  <c r="P3465"/>
  <c r="R3465" s="1"/>
  <c r="P3466"/>
  <c r="R3466" s="1"/>
  <c r="P3467"/>
  <c r="R3467" s="1"/>
  <c r="P3468"/>
  <c r="R3468" s="1"/>
  <c r="P3469"/>
  <c r="R3469" s="1"/>
  <c r="P3470"/>
  <c r="R3470" s="1"/>
  <c r="P3471"/>
  <c r="R3471" s="1"/>
  <c r="P3472"/>
  <c r="R3472" s="1"/>
  <c r="P3473"/>
  <c r="P3474"/>
  <c r="R3474" s="1"/>
  <c r="P3475"/>
  <c r="R3475" s="1"/>
  <c r="P3476"/>
  <c r="R3476" s="1"/>
  <c r="P3477"/>
  <c r="R3477" s="1"/>
  <c r="P3478"/>
  <c r="P3479"/>
  <c r="R3479" s="1"/>
  <c r="P3480"/>
  <c r="R3480" s="1"/>
  <c r="P3481"/>
  <c r="R3481" s="1"/>
  <c r="P3482"/>
  <c r="R3482" s="1"/>
  <c r="P3483"/>
  <c r="R3483" s="1"/>
  <c r="P3484"/>
  <c r="R3484" s="1"/>
  <c r="P3485"/>
  <c r="R3485" s="1"/>
  <c r="P3486"/>
  <c r="R3486" s="1"/>
  <c r="P3487"/>
  <c r="R3487" s="1"/>
  <c r="P3488"/>
  <c r="R3488" s="1"/>
  <c r="P3489"/>
  <c r="R3489" s="1"/>
  <c r="P3490"/>
  <c r="R3490" s="1"/>
  <c r="P3491"/>
  <c r="R3491" s="1"/>
  <c r="P3492"/>
  <c r="R3492" s="1"/>
  <c r="P3493"/>
  <c r="R3493" s="1"/>
  <c r="P3494"/>
  <c r="R3494" s="1"/>
  <c r="P3495"/>
  <c r="R3495" s="1"/>
  <c r="P3496"/>
  <c r="R3496" s="1"/>
  <c r="P3497"/>
  <c r="R3497" s="1"/>
  <c r="P3498"/>
  <c r="R3498" s="1"/>
  <c r="P3499"/>
  <c r="R3499" s="1"/>
  <c r="P3500"/>
  <c r="R3500" s="1"/>
  <c r="P3501"/>
  <c r="R3501" s="1"/>
  <c r="P3502"/>
  <c r="R3502" s="1"/>
  <c r="P3503"/>
  <c r="R3503" s="1"/>
  <c r="P3504"/>
  <c r="R3504" s="1"/>
  <c r="P3505"/>
  <c r="R3505" s="1"/>
  <c r="P3506"/>
  <c r="R3506" s="1"/>
  <c r="P3507"/>
  <c r="R3507" s="1"/>
  <c r="P3508"/>
  <c r="R3508" s="1"/>
  <c r="P3509"/>
  <c r="R3509" s="1"/>
  <c r="P3510"/>
  <c r="P3511"/>
  <c r="R3511" s="1"/>
  <c r="P3512"/>
  <c r="R3512" s="1"/>
  <c r="P3513"/>
  <c r="R3513" s="1"/>
  <c r="P3514"/>
  <c r="R3514" s="1"/>
  <c r="P3515"/>
  <c r="R3515" s="1"/>
  <c r="P3516"/>
  <c r="R3516" s="1"/>
  <c r="P3517"/>
  <c r="R3517" s="1"/>
  <c r="P3518"/>
  <c r="R3518" s="1"/>
  <c r="P3519"/>
  <c r="R3519" s="1"/>
  <c r="P3520"/>
  <c r="R3520" s="1"/>
  <c r="P3521"/>
  <c r="R3521" s="1"/>
  <c r="P3522"/>
  <c r="R3522" s="1"/>
  <c r="P3523"/>
  <c r="R3523" s="1"/>
  <c r="P3524"/>
  <c r="R3524" s="1"/>
  <c r="P3525"/>
  <c r="R3525" s="1"/>
  <c r="P3526"/>
  <c r="R3526" s="1"/>
  <c r="P3527"/>
  <c r="R3527" s="1"/>
  <c r="P3528"/>
  <c r="R3528" s="1"/>
  <c r="P3529"/>
  <c r="R3529" s="1"/>
  <c r="P3530"/>
  <c r="R3530" s="1"/>
  <c r="P3531"/>
  <c r="R3531" s="1"/>
  <c r="P3532"/>
  <c r="R3532" s="1"/>
  <c r="P3533"/>
  <c r="R3533" s="1"/>
  <c r="P3534"/>
  <c r="R3534" s="1"/>
  <c r="P3535"/>
  <c r="R3535" s="1"/>
  <c r="P3536"/>
  <c r="R3536" s="1"/>
  <c r="P3537"/>
  <c r="P3538"/>
  <c r="R3538" s="1"/>
  <c r="P3539"/>
  <c r="R3539" s="1"/>
  <c r="P3540"/>
  <c r="R3540" s="1"/>
  <c r="P3541"/>
  <c r="R3541" s="1"/>
  <c r="P3542"/>
  <c r="P3543"/>
  <c r="R3543" s="1"/>
  <c r="P3544"/>
  <c r="R3544" s="1"/>
  <c r="P3545"/>
  <c r="R3545" s="1"/>
  <c r="P3546"/>
  <c r="R3546" s="1"/>
  <c r="P3547"/>
  <c r="R3547" s="1"/>
  <c r="P3548"/>
  <c r="R3548" s="1"/>
  <c r="P3549"/>
  <c r="R3549" s="1"/>
  <c r="P3550"/>
  <c r="R3550" s="1"/>
  <c r="P3551"/>
  <c r="R3551" s="1"/>
  <c r="P3552"/>
  <c r="R3552" s="1"/>
  <c r="P3553"/>
  <c r="R3553" s="1"/>
  <c r="P3554"/>
  <c r="R3554" s="1"/>
  <c r="P3555"/>
  <c r="R3555" s="1"/>
  <c r="P3556"/>
  <c r="R3556" s="1"/>
  <c r="P3557"/>
  <c r="R3557" s="1"/>
  <c r="P3558"/>
  <c r="R3558" s="1"/>
  <c r="P3559"/>
  <c r="R3559" s="1"/>
  <c r="P3560"/>
  <c r="R3560" s="1"/>
  <c r="P3561"/>
  <c r="R3561" s="1"/>
  <c r="P3562"/>
  <c r="R3562" s="1"/>
  <c r="P3563"/>
  <c r="R3563" s="1"/>
  <c r="P3564"/>
  <c r="R3564" s="1"/>
  <c r="P3565"/>
  <c r="R3565" s="1"/>
  <c r="P3566"/>
  <c r="R3566" s="1"/>
  <c r="P3567"/>
  <c r="R3567" s="1"/>
  <c r="P3568"/>
  <c r="R3568" s="1"/>
  <c r="P3569"/>
  <c r="R3569" s="1"/>
  <c r="P3570"/>
  <c r="R3570" s="1"/>
  <c r="P3571"/>
  <c r="R3571" s="1"/>
  <c r="P3572"/>
  <c r="R3572" s="1"/>
  <c r="P3573"/>
  <c r="R3573" s="1"/>
  <c r="P3574"/>
  <c r="P3575"/>
  <c r="R3575" s="1"/>
  <c r="P3576"/>
  <c r="R3576" s="1"/>
  <c r="P3577"/>
  <c r="R3577" s="1"/>
  <c r="P3578"/>
  <c r="R3578" s="1"/>
  <c r="P3579"/>
  <c r="R3579" s="1"/>
  <c r="P3580"/>
  <c r="R3580" s="1"/>
  <c r="P3581"/>
  <c r="R3581" s="1"/>
  <c r="P3582"/>
  <c r="R3582" s="1"/>
  <c r="P3583"/>
  <c r="R3583" s="1"/>
  <c r="P3584"/>
  <c r="R3584" s="1"/>
  <c r="P3585"/>
  <c r="R3585" s="1"/>
  <c r="P3586"/>
  <c r="R3586" s="1"/>
  <c r="P3587"/>
  <c r="R3587" s="1"/>
  <c r="P3588"/>
  <c r="R3588" s="1"/>
  <c r="P3589"/>
  <c r="R3589" s="1"/>
  <c r="P3590"/>
  <c r="R3590" s="1"/>
  <c r="P3591"/>
  <c r="R3591" s="1"/>
  <c r="P3592"/>
  <c r="R3592" s="1"/>
  <c r="P3593"/>
  <c r="R3593" s="1"/>
  <c r="P3594"/>
  <c r="R3594" s="1"/>
  <c r="P3595"/>
  <c r="R3595" s="1"/>
  <c r="P3596"/>
  <c r="R3596" s="1"/>
  <c r="P3597"/>
  <c r="R3597" s="1"/>
  <c r="P3598"/>
  <c r="R3598" s="1"/>
  <c r="P3599"/>
  <c r="R3599" s="1"/>
  <c r="P3600"/>
  <c r="R3600" s="1"/>
  <c r="P3601"/>
  <c r="P3602"/>
  <c r="R3602" s="1"/>
  <c r="P3603"/>
  <c r="R3603" s="1"/>
  <c r="P3604"/>
  <c r="R3604" s="1"/>
  <c r="P3605"/>
  <c r="R3605" s="1"/>
  <c r="P3606"/>
  <c r="P3607"/>
  <c r="R3607" s="1"/>
  <c r="P3608"/>
  <c r="R3608" s="1"/>
  <c r="P3609"/>
  <c r="R3609" s="1"/>
  <c r="P3610"/>
  <c r="R3610" s="1"/>
  <c r="P3611"/>
  <c r="R3611" s="1"/>
  <c r="P3612"/>
  <c r="R3612" s="1"/>
  <c r="P3613"/>
  <c r="R3613" s="1"/>
  <c r="P3614"/>
  <c r="R3614" s="1"/>
  <c r="P3615"/>
  <c r="R3615" s="1"/>
  <c r="P3616"/>
  <c r="R3616" s="1"/>
  <c r="P3617"/>
  <c r="R3617" s="1"/>
  <c r="P3618"/>
  <c r="R3618" s="1"/>
  <c r="P3619"/>
  <c r="R3619" s="1"/>
  <c r="P3620"/>
  <c r="R3620" s="1"/>
  <c r="P3621"/>
  <c r="R3621" s="1"/>
  <c r="P3622"/>
  <c r="R3622" s="1"/>
  <c r="P3623"/>
  <c r="R3623" s="1"/>
  <c r="P3624"/>
  <c r="R3624" s="1"/>
  <c r="P3625"/>
  <c r="R3625" s="1"/>
  <c r="P3626"/>
  <c r="R3626" s="1"/>
  <c r="P3627"/>
  <c r="R3627" s="1"/>
  <c r="P3628"/>
  <c r="R3628" s="1"/>
  <c r="P3629"/>
  <c r="R3629" s="1"/>
  <c r="P3630"/>
  <c r="R3630" s="1"/>
  <c r="P3631"/>
  <c r="R3631" s="1"/>
  <c r="P3632"/>
  <c r="R3632" s="1"/>
  <c r="P3633"/>
  <c r="R3633" s="1"/>
  <c r="P3634"/>
  <c r="R3634" s="1"/>
  <c r="P3635"/>
  <c r="R3635" s="1"/>
  <c r="P3636"/>
  <c r="R3636" s="1"/>
  <c r="P3637"/>
  <c r="R3637" s="1"/>
  <c r="P3638"/>
  <c r="P3639"/>
  <c r="R3639" s="1"/>
  <c r="P3640"/>
  <c r="R3640" s="1"/>
  <c r="P3641"/>
  <c r="R3641" s="1"/>
  <c r="P3642"/>
  <c r="R3642" s="1"/>
  <c r="P3643"/>
  <c r="R3643" s="1"/>
  <c r="P3644"/>
  <c r="R3644" s="1"/>
  <c r="P3645"/>
  <c r="R3645" s="1"/>
  <c r="P3646"/>
  <c r="R3646" s="1"/>
  <c r="P3647"/>
  <c r="R3647" s="1"/>
  <c r="P3648"/>
  <c r="R3648" s="1"/>
  <c r="P3649"/>
  <c r="R3649" s="1"/>
  <c r="P3650"/>
  <c r="R3650" s="1"/>
  <c r="P3651"/>
  <c r="R3651" s="1"/>
  <c r="P3652"/>
  <c r="R3652" s="1"/>
  <c r="P3653"/>
  <c r="R3653" s="1"/>
  <c r="P3654"/>
  <c r="R3654" s="1"/>
  <c r="P3655"/>
  <c r="R3655" s="1"/>
  <c r="P3656"/>
  <c r="R3656" s="1"/>
  <c r="P3657"/>
  <c r="R3657" s="1"/>
  <c r="P2"/>
  <c r="R2" s="1"/>
  <c r="B3652"/>
  <c r="D3652"/>
  <c r="E3652"/>
  <c r="F3652"/>
  <c r="G3652"/>
  <c r="B3653"/>
  <c r="D3653"/>
  <c r="E3653"/>
  <c r="F3653"/>
  <c r="G3653"/>
  <c r="B3654"/>
  <c r="D3654"/>
  <c r="E3654"/>
  <c r="F3654"/>
  <c r="G3654"/>
  <c r="B3655"/>
  <c r="D3655"/>
  <c r="E3655"/>
  <c r="F3655"/>
  <c r="G3655"/>
  <c r="B3656"/>
  <c r="D3656"/>
  <c r="E3656"/>
  <c r="F3656"/>
  <c r="G3656"/>
  <c r="B3657"/>
  <c r="D3657"/>
  <c r="E3657"/>
  <c r="G3657"/>
  <c r="B3642"/>
  <c r="D3642"/>
  <c r="E3642"/>
  <c r="F3642"/>
  <c r="G3642"/>
  <c r="B3643"/>
  <c r="D3643"/>
  <c r="E3643"/>
  <c r="F3643"/>
  <c r="G3643"/>
  <c r="B3644"/>
  <c r="D3644"/>
  <c r="E3644"/>
  <c r="F3644"/>
  <c r="G3644"/>
  <c r="B3645"/>
  <c r="D3645"/>
  <c r="E3645"/>
  <c r="G3645"/>
  <c r="B3646"/>
  <c r="D3646"/>
  <c r="E3646"/>
  <c r="F3646"/>
  <c r="G3646"/>
  <c r="B3647"/>
  <c r="D3647"/>
  <c r="E3647"/>
  <c r="F3647"/>
  <c r="G3647"/>
  <c r="B3648"/>
  <c r="D3648"/>
  <c r="E3648"/>
  <c r="F3648"/>
  <c r="G3648"/>
  <c r="B3649"/>
  <c r="D3649"/>
  <c r="E3649"/>
  <c r="F3649"/>
  <c r="G3649"/>
  <c r="B3650"/>
  <c r="D3650"/>
  <c r="E3650"/>
  <c r="F3650"/>
  <c r="G3650"/>
  <c r="B3651"/>
  <c r="D3651"/>
  <c r="E3651"/>
  <c r="F3651"/>
  <c r="G3651"/>
  <c r="B3632"/>
  <c r="D3632"/>
  <c r="E3632"/>
  <c r="F3632"/>
  <c r="G3632"/>
  <c r="B3633"/>
  <c r="D3633"/>
  <c r="E3633"/>
  <c r="F3633"/>
  <c r="G3633"/>
  <c r="B3634"/>
  <c r="D3634"/>
  <c r="E3634"/>
  <c r="F3634"/>
  <c r="G3634"/>
  <c r="B3635"/>
  <c r="D3635"/>
  <c r="E3635"/>
  <c r="F3635"/>
  <c r="G3635"/>
  <c r="B3636"/>
  <c r="D3636"/>
  <c r="E3636"/>
  <c r="F3636"/>
  <c r="G3636"/>
  <c r="B3637"/>
  <c r="D3637"/>
  <c r="E3637"/>
  <c r="F3637"/>
  <c r="G3637"/>
  <c r="B3638"/>
  <c r="D3638"/>
  <c r="E3638"/>
  <c r="F3638"/>
  <c r="G3638"/>
  <c r="B3639"/>
  <c r="D3639"/>
  <c r="E3639"/>
  <c r="F3639"/>
  <c r="G3639"/>
  <c r="B3640"/>
  <c r="D3640"/>
  <c r="E3640"/>
  <c r="F3640"/>
  <c r="G3640"/>
  <c r="B3641"/>
  <c r="D3641"/>
  <c r="E3641"/>
  <c r="F3641"/>
  <c r="G3641"/>
  <c r="B3622"/>
  <c r="D3622"/>
  <c r="E3622"/>
  <c r="F3622"/>
  <c r="G3622"/>
  <c r="B3623"/>
  <c r="D3623"/>
  <c r="E3623"/>
  <c r="F3623"/>
  <c r="G3623"/>
  <c r="B3624"/>
  <c r="D3624"/>
  <c r="E3624"/>
  <c r="F3624"/>
  <c r="G3624"/>
  <c r="B3625"/>
  <c r="D3625"/>
  <c r="E3625"/>
  <c r="F3625"/>
  <c r="G3625"/>
  <c r="B3626"/>
  <c r="D3626"/>
  <c r="E3626"/>
  <c r="F3626"/>
  <c r="G3626"/>
  <c r="B3627"/>
  <c r="D3627"/>
  <c r="E3627"/>
  <c r="F3627"/>
  <c r="G3627"/>
  <c r="B3628"/>
  <c r="D3628"/>
  <c r="E3628"/>
  <c r="F3628"/>
  <c r="G3628"/>
  <c r="B3629"/>
  <c r="D3629"/>
  <c r="E3629"/>
  <c r="F3629"/>
  <c r="G3629"/>
  <c r="B3630"/>
  <c r="D3630"/>
  <c r="E3630"/>
  <c r="F3630"/>
  <c r="G3630"/>
  <c r="B3631"/>
  <c r="D3631"/>
  <c r="E3631"/>
  <c r="F3631"/>
  <c r="G3631"/>
  <c r="B3612"/>
  <c r="D3612"/>
  <c r="E3612"/>
  <c r="F3612"/>
  <c r="G3612"/>
  <c r="B3613"/>
  <c r="D3613"/>
  <c r="E3613"/>
  <c r="F3613"/>
  <c r="G3613"/>
  <c r="B3614"/>
  <c r="D3614"/>
  <c r="E3614"/>
  <c r="F3614"/>
  <c r="G3614"/>
  <c r="B3615"/>
  <c r="D3615"/>
  <c r="E3615"/>
  <c r="F3615"/>
  <c r="G3615"/>
  <c r="B3616"/>
  <c r="D3616"/>
  <c r="E3616"/>
  <c r="F3616"/>
  <c r="G3616"/>
  <c r="B3617"/>
  <c r="D3617"/>
  <c r="E3617"/>
  <c r="F3617"/>
  <c r="G3617"/>
  <c r="B3618"/>
  <c r="D3618"/>
  <c r="E3618"/>
  <c r="F3618"/>
  <c r="G3618"/>
  <c r="B3619"/>
  <c r="D3619"/>
  <c r="E3619"/>
  <c r="F3619"/>
  <c r="G3619"/>
  <c r="B3620"/>
  <c r="D3620"/>
  <c r="E3620"/>
  <c r="F3620"/>
  <c r="G3620"/>
  <c r="B3621"/>
  <c r="D3621"/>
  <c r="E3621"/>
  <c r="F3621"/>
  <c r="G3621"/>
  <c r="B3602"/>
  <c r="D3602"/>
  <c r="E3602"/>
  <c r="F3602"/>
  <c r="G3602"/>
  <c r="B3603"/>
  <c r="D3603"/>
  <c r="E3603"/>
  <c r="F3603"/>
  <c r="G3603"/>
  <c r="B3604"/>
  <c r="D3604"/>
  <c r="E3604"/>
  <c r="F3604"/>
  <c r="G3604"/>
  <c r="B3605"/>
  <c r="D3605"/>
  <c r="E3605"/>
  <c r="F3605"/>
  <c r="G3605"/>
  <c r="B3606"/>
  <c r="D3606"/>
  <c r="E3606"/>
  <c r="F3606"/>
  <c r="G3606"/>
  <c r="B3607"/>
  <c r="D3607"/>
  <c r="E3607"/>
  <c r="F3607"/>
  <c r="G3607"/>
  <c r="B3608"/>
  <c r="D3608"/>
  <c r="E3608"/>
  <c r="F3608"/>
  <c r="G3608"/>
  <c r="B3609"/>
  <c r="D3609"/>
  <c r="E3609"/>
  <c r="F3609"/>
  <c r="G3609"/>
  <c r="B3610"/>
  <c r="D3610"/>
  <c r="E3610"/>
  <c r="F3610"/>
  <c r="G3610"/>
  <c r="B3611"/>
  <c r="D3611"/>
  <c r="E3611"/>
  <c r="F3611"/>
  <c r="G3611"/>
  <c r="B3592"/>
  <c r="D3592"/>
  <c r="E3592"/>
  <c r="F3592"/>
  <c r="G3592"/>
  <c r="B3593"/>
  <c r="D3593"/>
  <c r="E3593"/>
  <c r="F3593"/>
  <c r="G3593"/>
  <c r="B3594"/>
  <c r="D3594"/>
  <c r="E3594"/>
  <c r="F3594"/>
  <c r="G3594"/>
  <c r="B3595"/>
  <c r="D3595"/>
  <c r="E3595"/>
  <c r="F3595"/>
  <c r="G3595"/>
  <c r="B3596"/>
  <c r="D3596"/>
  <c r="E3596"/>
  <c r="F3596"/>
  <c r="G3596"/>
  <c r="B3597"/>
  <c r="D3597"/>
  <c r="E3597"/>
  <c r="F3597"/>
  <c r="G3597"/>
  <c r="B3598"/>
  <c r="D3598"/>
  <c r="E3598"/>
  <c r="F3598"/>
  <c r="G3598"/>
  <c r="B3599"/>
  <c r="D3599"/>
  <c r="E3599"/>
  <c r="F3599"/>
  <c r="G3599"/>
  <c r="B3600"/>
  <c r="D3600"/>
  <c r="E3600"/>
  <c r="F3600"/>
  <c r="G3600"/>
  <c r="B3601"/>
  <c r="D3601"/>
  <c r="E3601"/>
  <c r="F3601"/>
  <c r="G3601"/>
  <c r="B3582"/>
  <c r="D3582"/>
  <c r="E3582"/>
  <c r="F3582"/>
  <c r="G3582"/>
  <c r="B3583"/>
  <c r="D3583"/>
  <c r="E3583"/>
  <c r="F3583"/>
  <c r="G3583"/>
  <c r="B3584"/>
  <c r="D3584"/>
  <c r="E3584"/>
  <c r="F3584"/>
  <c r="G3584"/>
  <c r="B3585"/>
  <c r="D3585"/>
  <c r="E3585"/>
  <c r="F3585"/>
  <c r="G3585"/>
  <c r="B3586"/>
  <c r="D3586"/>
  <c r="E3586"/>
  <c r="F3586"/>
  <c r="G3586"/>
  <c r="B3587"/>
  <c r="D3587"/>
  <c r="E3587"/>
  <c r="F3587"/>
  <c r="G3587"/>
  <c r="B3588"/>
  <c r="D3588"/>
  <c r="E3588"/>
  <c r="F3588"/>
  <c r="G3588"/>
  <c r="B3589"/>
  <c r="D3589"/>
  <c r="E3589"/>
  <c r="F3589"/>
  <c r="G3589"/>
  <c r="B3590"/>
  <c r="D3590"/>
  <c r="E3590"/>
  <c r="F3590"/>
  <c r="G3590"/>
  <c r="B3591"/>
  <c r="D3591"/>
  <c r="E3591"/>
  <c r="F3591"/>
  <c r="G3591"/>
  <c r="B3572"/>
  <c r="D3572"/>
  <c r="E3572"/>
  <c r="F3572"/>
  <c r="G3572"/>
  <c r="B3573"/>
  <c r="D3573"/>
  <c r="E3573"/>
  <c r="F3573"/>
  <c r="G3573"/>
  <c r="B3574"/>
  <c r="D3574"/>
  <c r="E3574"/>
  <c r="F3574"/>
  <c r="G3574"/>
  <c r="B3575"/>
  <c r="D3575"/>
  <c r="E3575"/>
  <c r="F3575"/>
  <c r="G3575"/>
  <c r="B3576"/>
  <c r="D3576"/>
  <c r="E3576"/>
  <c r="F3576"/>
  <c r="G3576"/>
  <c r="B3577"/>
  <c r="D3577"/>
  <c r="E3577"/>
  <c r="F3577"/>
  <c r="G3577"/>
  <c r="B3578"/>
  <c r="D3578"/>
  <c r="E3578"/>
  <c r="F3578"/>
  <c r="G3578"/>
  <c r="B3579"/>
  <c r="D3579"/>
  <c r="E3579"/>
  <c r="F3579"/>
  <c r="G3579"/>
  <c r="B3580"/>
  <c r="D3580"/>
  <c r="E3580"/>
  <c r="F3580"/>
  <c r="G3580"/>
  <c r="B3581"/>
  <c r="D3581"/>
  <c r="E3581"/>
  <c r="F3581"/>
  <c r="G3581"/>
  <c r="B3562"/>
  <c r="D3562"/>
  <c r="E3562"/>
  <c r="F3562"/>
  <c r="G3562"/>
  <c r="B3563"/>
  <c r="D3563"/>
  <c r="E3563"/>
  <c r="F3563"/>
  <c r="G3563"/>
  <c r="B3564"/>
  <c r="D3564"/>
  <c r="E3564"/>
  <c r="F3564"/>
  <c r="G3564"/>
  <c r="B3565"/>
  <c r="D3565"/>
  <c r="E3565"/>
  <c r="F3565"/>
  <c r="G3565"/>
  <c r="B3566"/>
  <c r="D3566"/>
  <c r="E3566"/>
  <c r="F3566"/>
  <c r="G3566"/>
  <c r="B3567"/>
  <c r="D3567"/>
  <c r="E3567"/>
  <c r="F3567"/>
  <c r="G3567"/>
  <c r="B3568"/>
  <c r="D3568"/>
  <c r="E3568"/>
  <c r="F3568"/>
  <c r="G3568"/>
  <c r="B3569"/>
  <c r="D3569"/>
  <c r="E3569"/>
  <c r="F3569"/>
  <c r="G3569"/>
  <c r="B3570"/>
  <c r="D3570"/>
  <c r="E3570"/>
  <c r="F3570"/>
  <c r="G3570"/>
  <c r="B3571"/>
  <c r="D3571"/>
  <c r="E3571"/>
  <c r="F3571"/>
  <c r="G3571"/>
  <c r="B3552"/>
  <c r="D3552"/>
  <c r="E3552"/>
  <c r="F3552"/>
  <c r="G3552"/>
  <c r="B3553"/>
  <c r="D3553"/>
  <c r="E3553"/>
  <c r="F3553"/>
  <c r="G3553"/>
  <c r="B3554"/>
  <c r="D3554"/>
  <c r="E3554"/>
  <c r="F3554"/>
  <c r="G3554"/>
  <c r="B3555"/>
  <c r="D3555"/>
  <c r="E3555"/>
  <c r="F3555"/>
  <c r="G3555"/>
  <c r="B3556"/>
  <c r="D3556"/>
  <c r="E3556"/>
  <c r="F3556"/>
  <c r="G3556"/>
  <c r="B3557"/>
  <c r="D3557"/>
  <c r="E3557"/>
  <c r="F3557"/>
  <c r="G3557"/>
  <c r="B3558"/>
  <c r="D3558"/>
  <c r="E3558"/>
  <c r="F3558"/>
  <c r="G3558"/>
  <c r="B3559"/>
  <c r="D3559"/>
  <c r="E3559"/>
  <c r="F3559"/>
  <c r="G3559"/>
  <c r="B3560"/>
  <c r="D3560"/>
  <c r="E3560"/>
  <c r="F3560"/>
  <c r="G3560"/>
  <c r="B3561"/>
  <c r="D3561"/>
  <c r="E3561"/>
  <c r="F3561"/>
  <c r="G3561"/>
  <c r="B3542"/>
  <c r="D3542"/>
  <c r="E3542"/>
  <c r="F3542"/>
  <c r="G3542"/>
  <c r="B3543"/>
  <c r="D3543"/>
  <c r="E3543"/>
  <c r="F3543"/>
  <c r="G3543"/>
  <c r="B3544"/>
  <c r="D3544"/>
  <c r="E3544"/>
  <c r="F3544"/>
  <c r="G3544"/>
  <c r="B3545"/>
  <c r="D3545"/>
  <c r="E3545"/>
  <c r="F3545"/>
  <c r="G3545"/>
  <c r="B3546"/>
  <c r="D3546"/>
  <c r="E3546"/>
  <c r="F3546"/>
  <c r="G3546"/>
  <c r="B3547"/>
  <c r="D3547"/>
  <c r="E3547"/>
  <c r="F3547"/>
  <c r="G3547"/>
  <c r="B3548"/>
  <c r="D3548"/>
  <c r="E3548"/>
  <c r="F3548"/>
  <c r="G3548"/>
  <c r="B3549"/>
  <c r="D3549"/>
  <c r="E3549"/>
  <c r="F3549"/>
  <c r="G3549"/>
  <c r="B3550"/>
  <c r="D3550"/>
  <c r="E3550"/>
  <c r="F3550"/>
  <c r="G3550"/>
  <c r="B3551"/>
  <c r="D3551"/>
  <c r="E3551"/>
  <c r="F3551"/>
  <c r="G3551"/>
  <c r="B3532"/>
  <c r="D3532"/>
  <c r="E3532"/>
  <c r="F3532"/>
  <c r="G3532"/>
  <c r="B3533"/>
  <c r="D3533"/>
  <c r="E3533"/>
  <c r="F3533"/>
  <c r="G3533"/>
  <c r="B3534"/>
  <c r="D3534"/>
  <c r="E3534"/>
  <c r="F3534"/>
  <c r="G3534"/>
  <c r="B3535"/>
  <c r="D3535"/>
  <c r="E3535"/>
  <c r="F3535"/>
  <c r="G3535"/>
  <c r="B3536"/>
  <c r="D3536"/>
  <c r="E3536"/>
  <c r="F3536"/>
  <c r="G3536"/>
  <c r="B3537"/>
  <c r="D3537"/>
  <c r="E3537"/>
  <c r="F3537"/>
  <c r="G3537"/>
  <c r="B3538"/>
  <c r="D3538"/>
  <c r="E3538"/>
  <c r="F3538"/>
  <c r="G3538"/>
  <c r="B3539"/>
  <c r="D3539"/>
  <c r="E3539"/>
  <c r="F3539"/>
  <c r="G3539"/>
  <c r="B3540"/>
  <c r="D3540"/>
  <c r="E3540"/>
  <c r="F3540"/>
  <c r="G3540"/>
  <c r="B3541"/>
  <c r="D3541"/>
  <c r="E3541"/>
  <c r="F3541"/>
  <c r="G3541"/>
  <c r="B3522"/>
  <c r="D3522"/>
  <c r="E3522"/>
  <c r="F3522"/>
  <c r="G3522"/>
  <c r="B3523"/>
  <c r="D3523"/>
  <c r="E3523"/>
  <c r="F3523"/>
  <c r="G3523"/>
  <c r="B3524"/>
  <c r="D3524"/>
  <c r="E3524"/>
  <c r="F3524"/>
  <c r="G3524"/>
  <c r="B3525"/>
  <c r="D3525"/>
  <c r="E3525"/>
  <c r="F3525"/>
  <c r="G3525"/>
  <c r="B3526"/>
  <c r="D3526"/>
  <c r="E3526"/>
  <c r="F3526"/>
  <c r="G3526"/>
  <c r="B3527"/>
  <c r="D3527"/>
  <c r="E3527"/>
  <c r="F3527"/>
  <c r="G3527"/>
  <c r="B3528"/>
  <c r="D3528"/>
  <c r="E3528"/>
  <c r="F3528"/>
  <c r="G3528"/>
  <c r="B3529"/>
  <c r="D3529"/>
  <c r="E3529"/>
  <c r="F3529"/>
  <c r="G3529"/>
  <c r="B3530"/>
  <c r="D3530"/>
  <c r="E3530"/>
  <c r="F3530"/>
  <c r="G3530"/>
  <c r="B3531"/>
  <c r="D3531"/>
  <c r="E3531"/>
  <c r="F3531"/>
  <c r="G3531"/>
  <c r="B3512"/>
  <c r="D3512"/>
  <c r="E3512"/>
  <c r="F3512"/>
  <c r="G3512"/>
  <c r="B3513"/>
  <c r="D3513"/>
  <c r="E3513"/>
  <c r="F3513"/>
  <c r="G3513"/>
  <c r="B3514"/>
  <c r="D3514"/>
  <c r="E3514"/>
  <c r="F3514"/>
  <c r="G3514"/>
  <c r="B3515"/>
  <c r="D3515"/>
  <c r="E3515"/>
  <c r="F3515"/>
  <c r="G3515"/>
  <c r="B3516"/>
  <c r="D3516"/>
  <c r="E3516"/>
  <c r="F3516"/>
  <c r="G3516"/>
  <c r="B3517"/>
  <c r="D3517"/>
  <c r="E3517"/>
  <c r="F3517"/>
  <c r="G3517"/>
  <c r="B3518"/>
  <c r="D3518"/>
  <c r="E3518"/>
  <c r="F3518"/>
  <c r="G3518"/>
  <c r="B3519"/>
  <c r="D3519"/>
  <c r="E3519"/>
  <c r="F3519"/>
  <c r="G3519"/>
  <c r="B3520"/>
  <c r="D3520"/>
  <c r="E3520"/>
  <c r="F3520"/>
  <c r="G3520"/>
  <c r="B3521"/>
  <c r="D3521"/>
  <c r="E3521"/>
  <c r="F3521"/>
  <c r="G3521"/>
  <c r="B3502"/>
  <c r="D3502"/>
  <c r="E3502"/>
  <c r="F3502"/>
  <c r="G3502"/>
  <c r="B3503"/>
  <c r="D3503"/>
  <c r="E3503"/>
  <c r="F3503"/>
  <c r="G3503"/>
  <c r="B3504"/>
  <c r="D3504"/>
  <c r="E3504"/>
  <c r="F3504"/>
  <c r="G3504"/>
  <c r="B3505"/>
  <c r="D3505"/>
  <c r="E3505"/>
  <c r="F3505"/>
  <c r="G3505"/>
  <c r="B3506"/>
  <c r="D3506"/>
  <c r="E3506"/>
  <c r="F3506"/>
  <c r="G3506"/>
  <c r="B3507"/>
  <c r="D3507"/>
  <c r="E3507"/>
  <c r="F3507"/>
  <c r="G3507"/>
  <c r="B3508"/>
  <c r="D3508"/>
  <c r="E3508"/>
  <c r="F3508"/>
  <c r="G3508"/>
  <c r="B3509"/>
  <c r="D3509"/>
  <c r="E3509"/>
  <c r="F3509"/>
  <c r="G3509"/>
  <c r="B3510"/>
  <c r="D3510"/>
  <c r="E3510"/>
  <c r="F3510"/>
  <c r="G3510"/>
  <c r="B3511"/>
  <c r="D3511"/>
  <c r="E3511"/>
  <c r="F3511"/>
  <c r="G3511"/>
  <c r="B3492"/>
  <c r="D3492"/>
  <c r="E3492"/>
  <c r="F3492"/>
  <c r="G3492"/>
  <c r="B3493"/>
  <c r="D3493"/>
  <c r="E3493"/>
  <c r="F3493"/>
  <c r="G3493"/>
  <c r="B3494"/>
  <c r="D3494"/>
  <c r="E3494"/>
  <c r="F3494"/>
  <c r="G3494"/>
  <c r="B3495"/>
  <c r="D3495"/>
  <c r="E3495"/>
  <c r="F3495"/>
  <c r="G3495"/>
  <c r="B3496"/>
  <c r="D3496"/>
  <c r="E3496"/>
  <c r="F3496"/>
  <c r="G3496"/>
  <c r="B3497"/>
  <c r="D3497"/>
  <c r="E3497"/>
  <c r="F3497"/>
  <c r="G3497"/>
  <c r="B3498"/>
  <c r="D3498"/>
  <c r="E3498"/>
  <c r="F3498"/>
  <c r="G3498"/>
  <c r="B3499"/>
  <c r="D3499"/>
  <c r="E3499"/>
  <c r="F3499"/>
  <c r="G3499"/>
  <c r="B3500"/>
  <c r="D3500"/>
  <c r="E3500"/>
  <c r="F3500"/>
  <c r="G3500"/>
  <c r="B3501"/>
  <c r="D3501"/>
  <c r="E3501"/>
  <c r="F3501"/>
  <c r="G3501"/>
  <c r="B3482"/>
  <c r="D3482"/>
  <c r="E3482"/>
  <c r="F3482"/>
  <c r="G3482"/>
  <c r="B3483"/>
  <c r="D3483"/>
  <c r="E3483"/>
  <c r="F3483"/>
  <c r="G3483"/>
  <c r="B3484"/>
  <c r="D3484"/>
  <c r="E3484"/>
  <c r="F3484"/>
  <c r="G3484"/>
  <c r="B3485"/>
  <c r="D3485"/>
  <c r="E3485"/>
  <c r="F3485"/>
  <c r="G3485"/>
  <c r="B3486"/>
  <c r="D3486"/>
  <c r="E3486"/>
  <c r="F3486"/>
  <c r="G3486"/>
  <c r="B3487"/>
  <c r="D3487"/>
  <c r="E3487"/>
  <c r="F3487"/>
  <c r="G3487"/>
  <c r="B3488"/>
  <c r="D3488"/>
  <c r="E3488"/>
  <c r="F3488"/>
  <c r="G3488"/>
  <c r="B3489"/>
  <c r="D3489"/>
  <c r="E3489"/>
  <c r="F3489"/>
  <c r="G3489"/>
  <c r="B3490"/>
  <c r="D3490"/>
  <c r="E3490"/>
  <c r="F3490"/>
  <c r="G3490"/>
  <c r="B3491"/>
  <c r="D3491"/>
  <c r="E3491"/>
  <c r="F3491"/>
  <c r="G3491"/>
  <c r="B3472"/>
  <c r="D3472"/>
  <c r="E3472"/>
  <c r="F3472"/>
  <c r="G3472"/>
  <c r="B3473"/>
  <c r="D3473"/>
  <c r="E3473"/>
  <c r="F3473"/>
  <c r="G3473"/>
  <c r="B3474"/>
  <c r="D3474"/>
  <c r="E3474"/>
  <c r="F3474"/>
  <c r="G3474"/>
  <c r="B3475"/>
  <c r="D3475"/>
  <c r="E3475"/>
  <c r="F3475"/>
  <c r="G3475"/>
  <c r="B3476"/>
  <c r="D3476"/>
  <c r="E3476"/>
  <c r="F3476"/>
  <c r="G3476"/>
  <c r="B3477"/>
  <c r="D3477"/>
  <c r="E3477"/>
  <c r="F3477"/>
  <c r="G3477"/>
  <c r="B3478"/>
  <c r="D3478"/>
  <c r="E3478"/>
  <c r="F3478"/>
  <c r="G3478"/>
  <c r="B3479"/>
  <c r="D3479"/>
  <c r="E3479"/>
  <c r="F3479"/>
  <c r="G3479"/>
  <c r="B3480"/>
  <c r="D3480"/>
  <c r="E3480"/>
  <c r="F3480"/>
  <c r="G3480"/>
  <c r="B3481"/>
  <c r="D3481"/>
  <c r="E3481"/>
  <c r="F3481"/>
  <c r="G3481"/>
  <c r="B3462"/>
  <c r="D3462"/>
  <c r="E3462"/>
  <c r="F3462"/>
  <c r="G3462"/>
  <c r="B3463"/>
  <c r="D3463"/>
  <c r="E3463"/>
  <c r="F3463"/>
  <c r="G3463"/>
  <c r="B3464"/>
  <c r="D3464"/>
  <c r="E3464"/>
  <c r="F3464"/>
  <c r="G3464"/>
  <c r="B3465"/>
  <c r="D3465"/>
  <c r="E3465"/>
  <c r="F3465"/>
  <c r="G3465"/>
  <c r="B3466"/>
  <c r="D3466"/>
  <c r="E3466"/>
  <c r="F3466"/>
  <c r="G3466"/>
  <c r="B3467"/>
  <c r="D3467"/>
  <c r="E3467"/>
  <c r="F3467"/>
  <c r="G3467"/>
  <c r="B3468"/>
  <c r="D3468"/>
  <c r="E3468"/>
  <c r="F3468"/>
  <c r="G3468"/>
  <c r="B3469"/>
  <c r="D3469"/>
  <c r="E3469"/>
  <c r="F3469"/>
  <c r="G3469"/>
  <c r="B3470"/>
  <c r="D3470"/>
  <c r="E3470"/>
  <c r="F3470"/>
  <c r="G3470"/>
  <c r="B3471"/>
  <c r="D3471"/>
  <c r="E3471"/>
  <c r="F3471"/>
  <c r="G3471"/>
  <c r="B3452"/>
  <c r="D3452"/>
  <c r="E3452"/>
  <c r="F3452"/>
  <c r="G3452"/>
  <c r="B3453"/>
  <c r="D3453"/>
  <c r="E3453"/>
  <c r="F3453"/>
  <c r="G3453"/>
  <c r="B3454"/>
  <c r="D3454"/>
  <c r="E3454"/>
  <c r="F3454"/>
  <c r="G3454"/>
  <c r="B3455"/>
  <c r="D3455"/>
  <c r="E3455"/>
  <c r="F3455"/>
  <c r="G3455"/>
  <c r="B3456"/>
  <c r="D3456"/>
  <c r="E3456"/>
  <c r="F3456"/>
  <c r="G3456"/>
  <c r="B3457"/>
  <c r="D3457"/>
  <c r="E3457"/>
  <c r="F3457"/>
  <c r="G3457"/>
  <c r="B3458"/>
  <c r="D3458"/>
  <c r="E3458"/>
  <c r="F3458"/>
  <c r="G3458"/>
  <c r="B3459"/>
  <c r="D3459"/>
  <c r="E3459"/>
  <c r="F3459"/>
  <c r="G3459"/>
  <c r="B3460"/>
  <c r="D3460"/>
  <c r="E3460"/>
  <c r="F3460"/>
  <c r="G3460"/>
  <c r="B3461"/>
  <c r="D3461"/>
  <c r="E3461"/>
  <c r="F3461"/>
  <c r="G3461"/>
  <c r="B3442"/>
  <c r="D3442"/>
  <c r="E3442"/>
  <c r="F3442"/>
  <c r="G3442"/>
  <c r="B3443"/>
  <c r="D3443"/>
  <c r="E3443"/>
  <c r="F3443"/>
  <c r="G3443"/>
  <c r="B3444"/>
  <c r="D3444"/>
  <c r="E3444"/>
  <c r="F3444"/>
  <c r="G3444"/>
  <c r="B3445"/>
  <c r="D3445"/>
  <c r="E3445"/>
  <c r="F3445"/>
  <c r="G3445"/>
  <c r="B3446"/>
  <c r="D3446"/>
  <c r="E3446"/>
  <c r="F3446"/>
  <c r="G3446"/>
  <c r="B3447"/>
  <c r="D3447"/>
  <c r="E3447"/>
  <c r="F3447"/>
  <c r="G3447"/>
  <c r="B3448"/>
  <c r="D3448"/>
  <c r="E3448"/>
  <c r="F3448"/>
  <c r="G3448"/>
  <c r="B3449"/>
  <c r="D3449"/>
  <c r="E3449"/>
  <c r="F3449"/>
  <c r="G3449"/>
  <c r="B3450"/>
  <c r="D3450"/>
  <c r="E3450"/>
  <c r="F3450"/>
  <c r="G3450"/>
  <c r="B3451"/>
  <c r="D3451"/>
  <c r="E3451"/>
  <c r="F3451"/>
  <c r="G3451"/>
  <c r="B3432"/>
  <c r="D3432"/>
  <c r="E3432"/>
  <c r="F3432"/>
  <c r="G3432"/>
  <c r="B3433"/>
  <c r="D3433"/>
  <c r="E3433"/>
  <c r="F3433"/>
  <c r="G3433"/>
  <c r="B3434"/>
  <c r="D3434"/>
  <c r="E3434"/>
  <c r="F3434"/>
  <c r="G3434"/>
  <c r="B3435"/>
  <c r="D3435"/>
  <c r="E3435"/>
  <c r="F3435"/>
  <c r="G3435"/>
  <c r="B3436"/>
  <c r="D3436"/>
  <c r="E3436"/>
  <c r="F3436"/>
  <c r="G3436"/>
  <c r="B3437"/>
  <c r="D3437"/>
  <c r="E3437"/>
  <c r="F3437"/>
  <c r="G3437"/>
  <c r="B3438"/>
  <c r="D3438"/>
  <c r="E3438"/>
  <c r="F3438"/>
  <c r="G3438"/>
  <c r="B3439"/>
  <c r="D3439"/>
  <c r="E3439"/>
  <c r="F3439"/>
  <c r="G3439"/>
  <c r="B3440"/>
  <c r="D3440"/>
  <c r="E3440"/>
  <c r="F3440"/>
  <c r="G3440"/>
  <c r="B3441"/>
  <c r="D3441"/>
  <c r="E3441"/>
  <c r="F3441"/>
  <c r="G3441"/>
  <c r="B3422"/>
  <c r="D3422"/>
  <c r="E3422"/>
  <c r="F3422"/>
  <c r="G3422"/>
  <c r="B3423"/>
  <c r="D3423"/>
  <c r="E3423"/>
  <c r="F3423"/>
  <c r="G3423"/>
  <c r="B3424"/>
  <c r="D3424"/>
  <c r="E3424"/>
  <c r="F3424"/>
  <c r="G3424"/>
  <c r="B3425"/>
  <c r="D3425"/>
  <c r="E3425"/>
  <c r="F3425"/>
  <c r="G3425"/>
  <c r="B3426"/>
  <c r="D3426"/>
  <c r="E3426"/>
  <c r="F3426"/>
  <c r="G3426"/>
  <c r="B3427"/>
  <c r="D3427"/>
  <c r="E3427"/>
  <c r="F3427"/>
  <c r="G3427"/>
  <c r="B3428"/>
  <c r="D3428"/>
  <c r="E3428"/>
  <c r="F3428"/>
  <c r="G3428"/>
  <c r="B3429"/>
  <c r="D3429"/>
  <c r="E3429"/>
  <c r="F3429"/>
  <c r="G3429"/>
  <c r="B3430"/>
  <c r="D3430"/>
  <c r="E3430"/>
  <c r="F3430"/>
  <c r="G3430"/>
  <c r="B3431"/>
  <c r="D3431"/>
  <c r="E3431"/>
  <c r="F3431"/>
  <c r="G3431"/>
  <c r="B3412"/>
  <c r="D3412"/>
  <c r="E3412"/>
  <c r="F3412"/>
  <c r="G3412"/>
  <c r="B3413"/>
  <c r="D3413"/>
  <c r="E3413"/>
  <c r="G3413"/>
  <c r="B3414"/>
  <c r="D3414"/>
  <c r="E3414"/>
  <c r="F3414"/>
  <c r="G3414"/>
  <c r="B3415"/>
  <c r="D3415"/>
  <c r="E3415"/>
  <c r="F3415"/>
  <c r="G3415"/>
  <c r="B3416"/>
  <c r="D3416"/>
  <c r="E3416"/>
  <c r="F3416"/>
  <c r="G3416"/>
  <c r="B3417"/>
  <c r="D3417"/>
  <c r="E3417"/>
  <c r="G3417"/>
  <c r="B3418"/>
  <c r="D3418"/>
  <c r="E3418"/>
  <c r="G3418"/>
  <c r="B3419"/>
  <c r="D3419"/>
  <c r="E3419"/>
  <c r="G3419"/>
  <c r="B3420"/>
  <c r="D3420"/>
  <c r="E3420"/>
  <c r="F3420"/>
  <c r="G3420"/>
  <c r="B3421"/>
  <c r="D3421"/>
  <c r="E3421"/>
  <c r="F3421"/>
  <c r="G3421"/>
  <c r="B3402"/>
  <c r="D3402"/>
  <c r="E3402"/>
  <c r="F3402"/>
  <c r="G3402"/>
  <c r="B3403"/>
  <c r="D3403"/>
  <c r="E3403"/>
  <c r="F3403"/>
  <c r="G3403"/>
  <c r="B3404"/>
  <c r="D3404"/>
  <c r="E3404"/>
  <c r="F3404"/>
  <c r="G3404"/>
  <c r="B3405"/>
  <c r="D3405"/>
  <c r="E3405"/>
  <c r="F3405"/>
  <c r="G3405"/>
  <c r="B3406"/>
  <c r="D3406"/>
  <c r="E3406"/>
  <c r="F3406"/>
  <c r="G3406"/>
  <c r="B3407"/>
  <c r="D3407"/>
  <c r="E3407"/>
  <c r="F3407"/>
  <c r="G3407"/>
  <c r="B3408"/>
  <c r="D3408"/>
  <c r="E3408"/>
  <c r="F3408"/>
  <c r="G3408"/>
  <c r="B3409"/>
  <c r="D3409"/>
  <c r="E3409"/>
  <c r="F3409"/>
  <c r="G3409"/>
  <c r="B3410"/>
  <c r="D3410"/>
  <c r="E3410"/>
  <c r="F3410"/>
  <c r="G3410"/>
  <c r="B3411"/>
  <c r="D3411"/>
  <c r="E3411"/>
  <c r="F3411"/>
  <c r="G3411"/>
  <c r="B3392"/>
  <c r="D3392"/>
  <c r="E3392"/>
  <c r="F3392"/>
  <c r="G3392"/>
  <c r="B3393"/>
  <c r="D3393"/>
  <c r="E3393"/>
  <c r="F3393"/>
  <c r="G3393"/>
  <c r="B3394"/>
  <c r="D3394"/>
  <c r="E3394"/>
  <c r="F3394"/>
  <c r="G3394"/>
  <c r="B3395"/>
  <c r="D3395"/>
  <c r="E3395"/>
  <c r="G3395"/>
  <c r="B3396"/>
  <c r="D3396"/>
  <c r="E3396"/>
  <c r="F3396"/>
  <c r="G3396"/>
  <c r="B3397"/>
  <c r="D3397"/>
  <c r="E3397"/>
  <c r="F3397"/>
  <c r="G3397"/>
  <c r="B3398"/>
  <c r="D3398"/>
  <c r="E3398"/>
  <c r="F3398"/>
  <c r="G3398"/>
  <c r="B3399"/>
  <c r="D3399"/>
  <c r="E3399"/>
  <c r="F3399"/>
  <c r="G3399"/>
  <c r="B3400"/>
  <c r="D3400"/>
  <c r="E3400"/>
  <c r="G3400"/>
  <c r="B3401"/>
  <c r="D3401"/>
  <c r="E3401"/>
  <c r="F3401"/>
  <c r="G3401"/>
  <c r="B3382"/>
  <c r="D3382"/>
  <c r="E3382"/>
  <c r="F3382"/>
  <c r="G3382"/>
  <c r="B3383"/>
  <c r="D3383"/>
  <c r="E3383"/>
  <c r="F3383"/>
  <c r="G3383"/>
  <c r="B3384"/>
  <c r="D3384"/>
  <c r="E3384"/>
  <c r="F3384"/>
  <c r="G3384"/>
  <c r="B3385"/>
  <c r="D3385"/>
  <c r="E3385"/>
  <c r="F3385"/>
  <c r="G3385"/>
  <c r="B3386"/>
  <c r="D3386"/>
  <c r="E3386"/>
  <c r="G3386"/>
  <c r="B3387"/>
  <c r="D3387"/>
  <c r="E3387"/>
  <c r="G3387"/>
  <c r="B3388"/>
  <c r="D3388"/>
  <c r="E3388"/>
  <c r="F3388"/>
  <c r="G3388"/>
  <c r="B3389"/>
  <c r="D3389"/>
  <c r="E3389"/>
  <c r="F3389"/>
  <c r="G3389"/>
  <c r="B3390"/>
  <c r="D3390"/>
  <c r="E3390"/>
  <c r="F3390"/>
  <c r="G3390"/>
  <c r="B3391"/>
  <c r="D3391"/>
  <c r="E3391"/>
  <c r="F3391"/>
  <c r="G3391"/>
  <c r="B3372"/>
  <c r="D3372"/>
  <c r="E3372"/>
  <c r="F3372"/>
  <c r="G3372"/>
  <c r="B3373"/>
  <c r="D3373"/>
  <c r="E3373"/>
  <c r="F3373"/>
  <c r="G3373"/>
  <c r="B3374"/>
  <c r="D3374"/>
  <c r="E3374"/>
  <c r="F3374"/>
  <c r="G3374"/>
  <c r="B3375"/>
  <c r="D3375"/>
  <c r="E3375"/>
  <c r="G3375"/>
  <c r="B3376"/>
  <c r="D3376"/>
  <c r="E3376"/>
  <c r="G3376"/>
  <c r="B3377"/>
  <c r="D3377"/>
  <c r="E3377"/>
  <c r="G3377"/>
  <c r="B3378"/>
  <c r="D3378"/>
  <c r="E3378"/>
  <c r="G3378"/>
  <c r="B3379"/>
  <c r="D3379"/>
  <c r="E3379"/>
  <c r="F3379"/>
  <c r="G3379"/>
  <c r="B3380"/>
  <c r="D3380"/>
  <c r="E3380"/>
  <c r="F3380"/>
  <c r="G3380"/>
  <c r="B3381"/>
  <c r="D3381"/>
  <c r="E3381"/>
  <c r="F3381"/>
  <c r="G3381"/>
  <c r="B3362"/>
  <c r="D3362"/>
  <c r="E3362"/>
  <c r="F3362"/>
  <c r="G3362"/>
  <c r="B3363"/>
  <c r="D3363"/>
  <c r="E3363"/>
  <c r="F3363"/>
  <c r="G3363"/>
  <c r="B3364"/>
  <c r="D3364"/>
  <c r="E3364"/>
  <c r="F3364"/>
  <c r="G3364"/>
  <c r="B3365"/>
  <c r="D3365"/>
  <c r="E3365"/>
  <c r="F3365"/>
  <c r="G3365"/>
  <c r="B3366"/>
  <c r="D3366"/>
  <c r="E3366"/>
  <c r="F3366"/>
  <c r="G3366"/>
  <c r="B3367"/>
  <c r="D3367"/>
  <c r="E3367"/>
  <c r="G3367"/>
  <c r="B3368"/>
  <c r="D3368"/>
  <c r="E3368"/>
  <c r="G3368"/>
  <c r="B3369"/>
  <c r="D3369"/>
  <c r="E3369"/>
  <c r="G3369"/>
  <c r="B3370"/>
  <c r="D3370"/>
  <c r="E3370"/>
  <c r="G3370"/>
  <c r="B3371"/>
  <c r="D3371"/>
  <c r="E3371"/>
  <c r="F3371"/>
  <c r="G3371"/>
  <c r="B3352"/>
  <c r="D3352"/>
  <c r="E3352"/>
  <c r="G3352"/>
  <c r="B3353"/>
  <c r="D3353"/>
  <c r="E3353"/>
  <c r="F3353"/>
  <c r="G3353"/>
  <c r="B3354"/>
  <c r="D3354"/>
  <c r="E3354"/>
  <c r="F3354"/>
  <c r="G3354"/>
  <c r="B3355"/>
  <c r="D3355"/>
  <c r="E3355"/>
  <c r="G3355"/>
  <c r="B3356"/>
  <c r="D3356"/>
  <c r="E3356"/>
  <c r="F3356"/>
  <c r="G3356"/>
  <c r="B3357"/>
  <c r="D3357"/>
  <c r="E3357"/>
  <c r="G3357"/>
  <c r="B3358"/>
  <c r="D3358"/>
  <c r="E3358"/>
  <c r="G3358"/>
  <c r="B3359"/>
  <c r="D3359"/>
  <c r="E3359"/>
  <c r="F3359"/>
  <c r="G3359"/>
  <c r="B3360"/>
  <c r="D3360"/>
  <c r="E3360"/>
  <c r="F3360"/>
  <c r="G3360"/>
  <c r="B3361"/>
  <c r="D3361"/>
  <c r="E3361"/>
  <c r="F3361"/>
  <c r="G3361"/>
  <c r="B3342"/>
  <c r="D3342"/>
  <c r="E3342"/>
  <c r="F3342"/>
  <c r="G3342"/>
  <c r="B3343"/>
  <c r="D3343"/>
  <c r="E3343"/>
  <c r="F3343"/>
  <c r="G3343"/>
  <c r="B3344"/>
  <c r="D3344"/>
  <c r="E3344"/>
  <c r="F3344"/>
  <c r="G3344"/>
  <c r="B3345"/>
  <c r="D3345"/>
  <c r="E3345"/>
  <c r="F3345"/>
  <c r="G3345"/>
  <c r="B3346"/>
  <c r="D3346"/>
  <c r="E3346"/>
  <c r="F3346"/>
  <c r="G3346"/>
  <c r="B3347"/>
  <c r="D3347"/>
  <c r="E3347"/>
  <c r="F3347"/>
  <c r="G3347"/>
  <c r="B3348"/>
  <c r="D3348"/>
  <c r="E3348"/>
  <c r="F3348"/>
  <c r="G3348"/>
  <c r="B3349"/>
  <c r="D3349"/>
  <c r="E3349"/>
  <c r="F3349"/>
  <c r="G3349"/>
  <c r="B3350"/>
  <c r="D3350"/>
  <c r="E3350"/>
  <c r="G3350"/>
  <c r="B3351"/>
  <c r="D3351"/>
  <c r="E3351"/>
  <c r="F3351"/>
  <c r="G3351"/>
  <c r="B3332"/>
  <c r="D3332"/>
  <c r="E3332"/>
  <c r="F3332"/>
  <c r="G3332"/>
  <c r="B3333"/>
  <c r="D3333"/>
  <c r="E3333"/>
  <c r="F3333"/>
  <c r="G3333"/>
  <c r="B3334"/>
  <c r="D3334"/>
  <c r="E3334"/>
  <c r="F3334"/>
  <c r="G3334"/>
  <c r="B3335"/>
  <c r="D3335"/>
  <c r="E3335"/>
  <c r="F3335"/>
  <c r="G3335"/>
  <c r="B3336"/>
  <c r="D3336"/>
  <c r="E3336"/>
  <c r="F3336"/>
  <c r="G3336"/>
  <c r="B3337"/>
  <c r="D3337"/>
  <c r="E3337"/>
  <c r="F3337"/>
  <c r="G3337"/>
  <c r="B3338"/>
  <c r="D3338"/>
  <c r="E3338"/>
  <c r="F3338"/>
  <c r="G3338"/>
  <c r="B3339"/>
  <c r="D3339"/>
  <c r="E3339"/>
  <c r="F3339"/>
  <c r="G3339"/>
  <c r="B3340"/>
  <c r="D3340"/>
  <c r="E3340"/>
  <c r="F3340"/>
  <c r="G3340"/>
  <c r="B3341"/>
  <c r="D3341"/>
  <c r="E3341"/>
  <c r="F3341"/>
  <c r="G3341"/>
  <c r="B3322"/>
  <c r="D3322"/>
  <c r="E3322"/>
  <c r="F3322"/>
  <c r="G3322"/>
  <c r="B3323"/>
  <c r="D3323"/>
  <c r="E3323"/>
  <c r="F3323"/>
  <c r="G3323"/>
  <c r="B3324"/>
  <c r="D3324"/>
  <c r="E3324"/>
  <c r="F3324"/>
  <c r="G3324"/>
  <c r="B3325"/>
  <c r="D3325"/>
  <c r="E3325"/>
  <c r="F3325"/>
  <c r="G3325"/>
  <c r="B3326"/>
  <c r="D3326"/>
  <c r="E3326"/>
  <c r="F3326"/>
  <c r="G3326"/>
  <c r="B3327"/>
  <c r="D3327"/>
  <c r="E3327"/>
  <c r="F3327"/>
  <c r="G3327"/>
  <c r="B3328"/>
  <c r="D3328"/>
  <c r="E3328"/>
  <c r="F3328"/>
  <c r="G3328"/>
  <c r="B3329"/>
  <c r="D3329"/>
  <c r="E3329"/>
  <c r="F3329"/>
  <c r="G3329"/>
  <c r="B3330"/>
  <c r="D3330"/>
  <c r="E3330"/>
  <c r="F3330"/>
  <c r="G3330"/>
  <c r="B3331"/>
  <c r="D3331"/>
  <c r="E3331"/>
  <c r="F3331"/>
  <c r="G3331"/>
  <c r="B3312"/>
  <c r="D3312"/>
  <c r="E3312"/>
  <c r="F3312"/>
  <c r="G3312"/>
  <c r="B3313"/>
  <c r="D3313"/>
  <c r="E3313"/>
  <c r="F3313"/>
  <c r="G3313"/>
  <c r="B3314"/>
  <c r="D3314"/>
  <c r="E3314"/>
  <c r="F3314"/>
  <c r="G3314"/>
  <c r="B3315"/>
  <c r="D3315"/>
  <c r="E3315"/>
  <c r="F3315"/>
  <c r="G3315"/>
  <c r="B3316"/>
  <c r="D3316"/>
  <c r="E3316"/>
  <c r="F3316"/>
  <c r="G3316"/>
  <c r="B3317"/>
  <c r="D3317"/>
  <c r="E3317"/>
  <c r="G3317"/>
  <c r="B3318"/>
  <c r="D3318"/>
  <c r="E3318"/>
  <c r="F3318"/>
  <c r="G3318"/>
  <c r="B3319"/>
  <c r="D3319"/>
  <c r="E3319"/>
  <c r="F3319"/>
  <c r="G3319"/>
  <c r="B3320"/>
  <c r="D3320"/>
  <c r="E3320"/>
  <c r="F3320"/>
  <c r="G3320"/>
  <c r="B3321"/>
  <c r="D3321"/>
  <c r="E3321"/>
  <c r="F3321"/>
  <c r="G3321"/>
  <c r="B3302"/>
  <c r="D3302"/>
  <c r="E3302"/>
  <c r="F3302"/>
  <c r="G3302"/>
  <c r="B3303"/>
  <c r="D3303"/>
  <c r="E3303"/>
  <c r="F3303"/>
  <c r="G3303"/>
  <c r="B3304"/>
  <c r="D3304"/>
  <c r="E3304"/>
  <c r="F3304"/>
  <c r="G3304"/>
  <c r="B3305"/>
  <c r="D3305"/>
  <c r="E3305"/>
  <c r="F3305"/>
  <c r="G3305"/>
  <c r="B3306"/>
  <c r="D3306"/>
  <c r="E3306"/>
  <c r="F3306"/>
  <c r="G3306"/>
  <c r="B3307"/>
  <c r="D3307"/>
  <c r="E3307"/>
  <c r="F3307"/>
  <c r="G3307"/>
  <c r="B3308"/>
  <c r="D3308"/>
  <c r="E3308"/>
  <c r="F3308"/>
  <c r="G3308"/>
  <c r="B3309"/>
  <c r="D3309"/>
  <c r="E3309"/>
  <c r="F3309"/>
  <c r="G3309"/>
  <c r="B3310"/>
  <c r="D3310"/>
  <c r="E3310"/>
  <c r="F3310"/>
  <c r="G3310"/>
  <c r="B3311"/>
  <c r="D3311"/>
  <c r="E3311"/>
  <c r="F3311"/>
  <c r="G3311"/>
  <c r="B3292"/>
  <c r="D3292"/>
  <c r="E3292"/>
  <c r="F3292"/>
  <c r="G3292"/>
  <c r="B3293"/>
  <c r="D3293"/>
  <c r="E3293"/>
  <c r="F3293"/>
  <c r="G3293"/>
  <c r="B3294"/>
  <c r="D3294"/>
  <c r="E3294"/>
  <c r="F3294"/>
  <c r="G3294"/>
  <c r="B3295"/>
  <c r="D3295"/>
  <c r="E3295"/>
  <c r="F3295"/>
  <c r="G3295"/>
  <c r="B3296"/>
  <c r="D3296"/>
  <c r="E3296"/>
  <c r="F3296"/>
  <c r="G3296"/>
  <c r="B3297"/>
  <c r="D3297"/>
  <c r="E3297"/>
  <c r="F3297"/>
  <c r="G3297"/>
  <c r="B3298"/>
  <c r="D3298"/>
  <c r="E3298"/>
  <c r="F3298"/>
  <c r="G3298"/>
  <c r="B3299"/>
  <c r="D3299"/>
  <c r="E3299"/>
  <c r="F3299"/>
  <c r="G3299"/>
  <c r="B3300"/>
  <c r="D3300"/>
  <c r="E3300"/>
  <c r="F3300"/>
  <c r="G3300"/>
  <c r="B3301"/>
  <c r="D3301"/>
  <c r="E3301"/>
  <c r="F3301"/>
  <c r="G3301"/>
  <c r="B3282"/>
  <c r="D3282"/>
  <c r="E3282"/>
  <c r="F3282"/>
  <c r="G3282"/>
  <c r="B3283"/>
  <c r="D3283"/>
  <c r="E3283"/>
  <c r="F3283"/>
  <c r="G3283"/>
  <c r="B3284"/>
  <c r="D3284"/>
  <c r="E3284"/>
  <c r="F3284"/>
  <c r="G3284"/>
  <c r="B3285"/>
  <c r="D3285"/>
  <c r="E3285"/>
  <c r="F3285"/>
  <c r="G3285"/>
  <c r="B3286"/>
  <c r="D3286"/>
  <c r="E3286"/>
  <c r="F3286"/>
  <c r="G3286"/>
  <c r="B3287"/>
  <c r="D3287"/>
  <c r="E3287"/>
  <c r="F3287"/>
  <c r="G3287"/>
  <c r="B3288"/>
  <c r="D3288"/>
  <c r="E3288"/>
  <c r="F3288"/>
  <c r="G3288"/>
  <c r="B3289"/>
  <c r="D3289"/>
  <c r="E3289"/>
  <c r="F3289"/>
  <c r="G3289"/>
  <c r="B3290"/>
  <c r="D3290"/>
  <c r="E3290"/>
  <c r="F3290"/>
  <c r="G3290"/>
  <c r="B3291"/>
  <c r="D3291"/>
  <c r="E3291"/>
  <c r="F3291"/>
  <c r="G3291"/>
  <c r="B3272"/>
  <c r="D3272"/>
  <c r="E3272"/>
  <c r="F3272"/>
  <c r="G3272"/>
  <c r="B3273"/>
  <c r="D3273"/>
  <c r="E3273"/>
  <c r="F3273"/>
  <c r="G3273"/>
  <c r="B3274"/>
  <c r="D3274"/>
  <c r="E3274"/>
  <c r="F3274"/>
  <c r="G3274"/>
  <c r="B3275"/>
  <c r="D3275"/>
  <c r="E3275"/>
  <c r="F3275"/>
  <c r="G3275"/>
  <c r="B3276"/>
  <c r="D3276"/>
  <c r="E3276"/>
  <c r="F3276"/>
  <c r="G3276"/>
  <c r="B3277"/>
  <c r="D3277"/>
  <c r="E3277"/>
  <c r="F3277"/>
  <c r="G3277"/>
  <c r="B3278"/>
  <c r="D3278"/>
  <c r="E3278"/>
  <c r="F3278"/>
  <c r="G3278"/>
  <c r="B3279"/>
  <c r="D3279"/>
  <c r="E3279"/>
  <c r="F3279"/>
  <c r="G3279"/>
  <c r="B3280"/>
  <c r="D3280"/>
  <c r="E3280"/>
  <c r="F3280"/>
  <c r="G3280"/>
  <c r="B3281"/>
  <c r="D3281"/>
  <c r="E3281"/>
  <c r="F3281"/>
  <c r="G3281"/>
  <c r="B3262"/>
  <c r="D3262"/>
  <c r="E3262"/>
  <c r="F3262"/>
  <c r="G3262"/>
  <c r="B3263"/>
  <c r="D3263"/>
  <c r="E3263"/>
  <c r="F3263"/>
  <c r="G3263"/>
  <c r="B3264"/>
  <c r="D3264"/>
  <c r="E3264"/>
  <c r="F3264"/>
  <c r="G3264"/>
  <c r="B3265"/>
  <c r="D3265"/>
  <c r="E3265"/>
  <c r="F3265"/>
  <c r="G3265"/>
  <c r="B3266"/>
  <c r="D3266"/>
  <c r="E3266"/>
  <c r="F3266"/>
  <c r="G3266"/>
  <c r="B3267"/>
  <c r="D3267"/>
  <c r="E3267"/>
  <c r="F3267"/>
  <c r="G3267"/>
  <c r="B3268"/>
  <c r="D3268"/>
  <c r="E3268"/>
  <c r="F3268"/>
  <c r="G3268"/>
  <c r="B3269"/>
  <c r="D3269"/>
  <c r="E3269"/>
  <c r="F3269"/>
  <c r="G3269"/>
  <c r="B3270"/>
  <c r="D3270"/>
  <c r="E3270"/>
  <c r="F3270"/>
  <c r="G3270"/>
  <c r="B3271"/>
  <c r="D3271"/>
  <c r="E3271"/>
  <c r="F3271"/>
  <c r="G3271"/>
  <c r="B3252"/>
  <c r="D3252"/>
  <c r="E3252"/>
  <c r="F3252"/>
  <c r="G3252"/>
  <c r="B3253"/>
  <c r="D3253"/>
  <c r="E3253"/>
  <c r="F3253"/>
  <c r="G3253"/>
  <c r="B3254"/>
  <c r="D3254"/>
  <c r="E3254"/>
  <c r="F3254"/>
  <c r="G3254"/>
  <c r="B3255"/>
  <c r="D3255"/>
  <c r="E3255"/>
  <c r="F3255"/>
  <c r="G3255"/>
  <c r="B3256"/>
  <c r="D3256"/>
  <c r="E3256"/>
  <c r="F3256"/>
  <c r="G3256"/>
  <c r="B3257"/>
  <c r="D3257"/>
  <c r="E3257"/>
  <c r="F3257"/>
  <c r="G3257"/>
  <c r="B3258"/>
  <c r="D3258"/>
  <c r="E3258"/>
  <c r="F3258"/>
  <c r="G3258"/>
  <c r="B3259"/>
  <c r="D3259"/>
  <c r="E3259"/>
  <c r="F3259"/>
  <c r="G3259"/>
  <c r="B3260"/>
  <c r="D3260"/>
  <c r="E3260"/>
  <c r="F3260"/>
  <c r="G3260"/>
  <c r="B3261"/>
  <c r="D3261"/>
  <c r="E3261"/>
  <c r="F3261"/>
  <c r="G3261"/>
  <c r="B3242"/>
  <c r="D3242"/>
  <c r="E3242"/>
  <c r="F3242"/>
  <c r="G3242"/>
  <c r="B3243"/>
  <c r="D3243"/>
  <c r="E3243"/>
  <c r="F3243"/>
  <c r="G3243"/>
  <c r="B3244"/>
  <c r="D3244"/>
  <c r="E3244"/>
  <c r="F3244"/>
  <c r="G3244"/>
  <c r="B3245"/>
  <c r="D3245"/>
  <c r="E3245"/>
  <c r="F3245"/>
  <c r="G3245"/>
  <c r="B3246"/>
  <c r="D3246"/>
  <c r="E3246"/>
  <c r="F3246"/>
  <c r="G3246"/>
  <c r="B3247"/>
  <c r="D3247"/>
  <c r="E3247"/>
  <c r="F3247"/>
  <c r="G3247"/>
  <c r="B3248"/>
  <c r="D3248"/>
  <c r="E3248"/>
  <c r="F3248"/>
  <c r="G3248"/>
  <c r="B3249"/>
  <c r="D3249"/>
  <c r="E3249"/>
  <c r="F3249"/>
  <c r="G3249"/>
  <c r="B3250"/>
  <c r="D3250"/>
  <c r="E3250"/>
  <c r="F3250"/>
  <c r="G3250"/>
  <c r="B3251"/>
  <c r="D3251"/>
  <c r="E3251"/>
  <c r="F3251"/>
  <c r="G3251"/>
  <c r="B3232"/>
  <c r="D3232"/>
  <c r="E3232"/>
  <c r="F3232"/>
  <c r="G3232"/>
  <c r="B3233"/>
  <c r="D3233"/>
  <c r="E3233"/>
  <c r="F3233"/>
  <c r="G3233"/>
  <c r="B3234"/>
  <c r="D3234"/>
  <c r="E3234"/>
  <c r="F3234"/>
  <c r="G3234"/>
  <c r="B3235"/>
  <c r="D3235"/>
  <c r="E3235"/>
  <c r="F3235"/>
  <c r="G3235"/>
  <c r="B3236"/>
  <c r="D3236"/>
  <c r="E3236"/>
  <c r="G3236"/>
  <c r="B3237"/>
  <c r="D3237"/>
  <c r="E3237"/>
  <c r="F3237"/>
  <c r="G3237"/>
  <c r="B3238"/>
  <c r="D3238"/>
  <c r="E3238"/>
  <c r="F3238"/>
  <c r="G3238"/>
  <c r="B3239"/>
  <c r="D3239"/>
  <c r="E3239"/>
  <c r="F3239"/>
  <c r="G3239"/>
  <c r="B3240"/>
  <c r="D3240"/>
  <c r="E3240"/>
  <c r="F3240"/>
  <c r="G3240"/>
  <c r="B3241"/>
  <c r="D3241"/>
  <c r="E3241"/>
  <c r="F3241"/>
  <c r="G3241"/>
  <c r="B3222"/>
  <c r="D3222"/>
  <c r="E3222"/>
  <c r="F3222"/>
  <c r="G3222"/>
  <c r="B3223"/>
  <c r="D3223"/>
  <c r="E3223"/>
  <c r="F3223"/>
  <c r="G3223"/>
  <c r="B3224"/>
  <c r="D3224"/>
  <c r="E3224"/>
  <c r="F3224"/>
  <c r="G3224"/>
  <c r="B3225"/>
  <c r="D3225"/>
  <c r="E3225"/>
  <c r="F3225"/>
  <c r="G3225"/>
  <c r="B3226"/>
  <c r="D3226"/>
  <c r="E3226"/>
  <c r="F3226"/>
  <c r="G3226"/>
  <c r="B3227"/>
  <c r="D3227"/>
  <c r="E3227"/>
  <c r="F3227"/>
  <c r="G3227"/>
  <c r="B3228"/>
  <c r="D3228"/>
  <c r="E3228"/>
  <c r="G3228"/>
  <c r="B3229"/>
  <c r="D3229"/>
  <c r="E3229"/>
  <c r="F3229"/>
  <c r="G3229"/>
  <c r="B3230"/>
  <c r="D3230"/>
  <c r="E3230"/>
  <c r="F3230"/>
  <c r="G3230"/>
  <c r="B3231"/>
  <c r="D3231"/>
  <c r="E3231"/>
  <c r="F3231"/>
  <c r="G3231"/>
  <c r="B3212"/>
  <c r="D3212"/>
  <c r="E3212"/>
  <c r="F3212"/>
  <c r="G3212"/>
  <c r="B3213"/>
  <c r="D3213"/>
  <c r="E3213"/>
  <c r="F3213"/>
  <c r="G3213"/>
  <c r="B3214"/>
  <c r="D3214"/>
  <c r="E3214"/>
  <c r="F3214"/>
  <c r="G3214"/>
  <c r="B3215"/>
  <c r="D3215"/>
  <c r="E3215"/>
  <c r="F3215"/>
  <c r="G3215"/>
  <c r="B3216"/>
  <c r="D3216"/>
  <c r="E3216"/>
  <c r="F3216"/>
  <c r="G3216"/>
  <c r="B3217"/>
  <c r="D3217"/>
  <c r="E3217"/>
  <c r="F3217"/>
  <c r="G3217"/>
  <c r="B3218"/>
  <c r="D3218"/>
  <c r="E3218"/>
  <c r="F3218"/>
  <c r="G3218"/>
  <c r="B3219"/>
  <c r="D3219"/>
  <c r="E3219"/>
  <c r="F3219"/>
  <c r="G3219"/>
  <c r="B3220"/>
  <c r="D3220"/>
  <c r="E3220"/>
  <c r="F3220"/>
  <c r="G3220"/>
  <c r="B3221"/>
  <c r="D3221"/>
  <c r="E3221"/>
  <c r="F3221"/>
  <c r="G3221"/>
  <c r="B3202"/>
  <c r="D3202"/>
  <c r="E3202"/>
  <c r="F3202"/>
  <c r="G3202"/>
  <c r="B3203"/>
  <c r="D3203"/>
  <c r="E3203"/>
  <c r="F3203"/>
  <c r="G3203"/>
  <c r="B3204"/>
  <c r="D3204"/>
  <c r="E3204"/>
  <c r="F3204"/>
  <c r="G3204"/>
  <c r="B3205"/>
  <c r="D3205"/>
  <c r="E3205"/>
  <c r="F3205"/>
  <c r="G3205"/>
  <c r="B3206"/>
  <c r="D3206"/>
  <c r="E3206"/>
  <c r="F3206"/>
  <c r="G3206"/>
  <c r="B3207"/>
  <c r="D3207"/>
  <c r="E3207"/>
  <c r="F3207"/>
  <c r="G3207"/>
  <c r="B3208"/>
  <c r="D3208"/>
  <c r="E3208"/>
  <c r="F3208"/>
  <c r="G3208"/>
  <c r="B3209"/>
  <c r="D3209"/>
  <c r="E3209"/>
  <c r="F3209"/>
  <c r="G3209"/>
  <c r="B3210"/>
  <c r="D3210"/>
  <c r="E3210"/>
  <c r="F3210"/>
  <c r="G3210"/>
  <c r="B3211"/>
  <c r="D3211"/>
  <c r="E3211"/>
  <c r="F3211"/>
  <c r="G3211"/>
  <c r="B3192"/>
  <c r="D3192"/>
  <c r="E3192"/>
  <c r="F3192"/>
  <c r="G3192"/>
  <c r="B3193"/>
  <c r="D3193"/>
  <c r="E3193"/>
  <c r="F3193"/>
  <c r="G3193"/>
  <c r="B3194"/>
  <c r="D3194"/>
  <c r="E3194"/>
  <c r="F3194"/>
  <c r="G3194"/>
  <c r="B3195"/>
  <c r="D3195"/>
  <c r="E3195"/>
  <c r="F3195"/>
  <c r="G3195"/>
  <c r="B3196"/>
  <c r="D3196"/>
  <c r="E3196"/>
  <c r="F3196"/>
  <c r="G3196"/>
  <c r="B3197"/>
  <c r="D3197"/>
  <c r="E3197"/>
  <c r="F3197"/>
  <c r="G3197"/>
  <c r="B3198"/>
  <c r="D3198"/>
  <c r="E3198"/>
  <c r="F3198"/>
  <c r="G3198"/>
  <c r="B3199"/>
  <c r="D3199"/>
  <c r="E3199"/>
  <c r="F3199"/>
  <c r="G3199"/>
  <c r="B3200"/>
  <c r="D3200"/>
  <c r="E3200"/>
  <c r="F3200"/>
  <c r="G3200"/>
  <c r="B3201"/>
  <c r="D3201"/>
  <c r="E3201"/>
  <c r="F3201"/>
  <c r="G3201"/>
  <c r="B3182"/>
  <c r="D3182"/>
  <c r="E3182"/>
  <c r="F3182"/>
  <c r="G3182"/>
  <c r="B3183"/>
  <c r="D3183"/>
  <c r="E3183"/>
  <c r="F3183"/>
  <c r="G3183"/>
  <c r="B3184"/>
  <c r="D3184"/>
  <c r="E3184"/>
  <c r="F3184"/>
  <c r="G3184"/>
  <c r="B3185"/>
  <c r="D3185"/>
  <c r="E3185"/>
  <c r="F3185"/>
  <c r="G3185"/>
  <c r="B3186"/>
  <c r="D3186"/>
  <c r="E3186"/>
  <c r="F3186"/>
  <c r="G3186"/>
  <c r="B3187"/>
  <c r="D3187"/>
  <c r="E3187"/>
  <c r="F3187"/>
  <c r="G3187"/>
  <c r="B3188"/>
  <c r="D3188"/>
  <c r="E3188"/>
  <c r="F3188"/>
  <c r="G3188"/>
  <c r="B3189"/>
  <c r="D3189"/>
  <c r="E3189"/>
  <c r="F3189"/>
  <c r="G3189"/>
  <c r="B3190"/>
  <c r="D3190"/>
  <c r="E3190"/>
  <c r="F3190"/>
  <c r="G3190"/>
  <c r="B3191"/>
  <c r="D3191"/>
  <c r="E3191"/>
  <c r="F3191"/>
  <c r="G3191"/>
  <c r="B3172"/>
  <c r="D3172"/>
  <c r="E3172"/>
  <c r="F3172"/>
  <c r="G3172"/>
  <c r="B3173"/>
  <c r="D3173"/>
  <c r="E3173"/>
  <c r="F3173"/>
  <c r="G3173"/>
  <c r="B3174"/>
  <c r="D3174"/>
  <c r="E3174"/>
  <c r="F3174"/>
  <c r="G3174"/>
  <c r="B3175"/>
  <c r="D3175"/>
  <c r="E3175"/>
  <c r="F3175"/>
  <c r="G3175"/>
  <c r="B3176"/>
  <c r="D3176"/>
  <c r="E3176"/>
  <c r="F3176"/>
  <c r="G3176"/>
  <c r="B3177"/>
  <c r="D3177"/>
  <c r="E3177"/>
  <c r="F3177"/>
  <c r="G3177"/>
  <c r="B3178"/>
  <c r="D3178"/>
  <c r="E3178"/>
  <c r="F3178"/>
  <c r="G3178"/>
  <c r="B3179"/>
  <c r="D3179"/>
  <c r="E3179"/>
  <c r="F3179"/>
  <c r="G3179"/>
  <c r="B3180"/>
  <c r="D3180"/>
  <c r="E3180"/>
  <c r="F3180"/>
  <c r="G3180"/>
  <c r="B3181"/>
  <c r="D3181"/>
  <c r="E3181"/>
  <c r="F3181"/>
  <c r="G3181"/>
  <c r="B3162"/>
  <c r="D3162"/>
  <c r="E3162"/>
  <c r="F3162"/>
  <c r="G3162"/>
  <c r="B3163"/>
  <c r="D3163"/>
  <c r="E3163"/>
  <c r="F3163"/>
  <c r="G3163"/>
  <c r="B3164"/>
  <c r="D3164"/>
  <c r="E3164"/>
  <c r="F3164"/>
  <c r="G3164"/>
  <c r="B3165"/>
  <c r="D3165"/>
  <c r="E3165"/>
  <c r="F3165"/>
  <c r="G3165"/>
  <c r="B3166"/>
  <c r="D3166"/>
  <c r="E3166"/>
  <c r="F3166"/>
  <c r="G3166"/>
  <c r="B3167"/>
  <c r="D3167"/>
  <c r="E3167"/>
  <c r="F3167"/>
  <c r="G3167"/>
  <c r="B3168"/>
  <c r="D3168"/>
  <c r="E3168"/>
  <c r="F3168"/>
  <c r="G3168"/>
  <c r="B3169"/>
  <c r="D3169"/>
  <c r="E3169"/>
  <c r="F3169"/>
  <c r="G3169"/>
  <c r="B3170"/>
  <c r="D3170"/>
  <c r="E3170"/>
  <c r="F3170"/>
  <c r="G3170"/>
  <c r="B3171"/>
  <c r="D3171"/>
  <c r="E3171"/>
  <c r="F3171"/>
  <c r="G3171"/>
  <c r="B3152"/>
  <c r="D3152"/>
  <c r="E3152"/>
  <c r="F3152"/>
  <c r="G3152"/>
  <c r="B3153"/>
  <c r="D3153"/>
  <c r="E3153"/>
  <c r="F3153"/>
  <c r="G3153"/>
  <c r="B3154"/>
  <c r="D3154"/>
  <c r="E3154"/>
  <c r="F3154"/>
  <c r="G3154"/>
  <c r="B3155"/>
  <c r="D3155"/>
  <c r="E3155"/>
  <c r="F3155"/>
  <c r="G3155"/>
  <c r="B3156"/>
  <c r="D3156"/>
  <c r="E3156"/>
  <c r="F3156"/>
  <c r="G3156"/>
  <c r="B3157"/>
  <c r="D3157"/>
  <c r="E3157"/>
  <c r="F3157"/>
  <c r="G3157"/>
  <c r="B3158"/>
  <c r="D3158"/>
  <c r="E3158"/>
  <c r="F3158"/>
  <c r="G3158"/>
  <c r="B3159"/>
  <c r="D3159"/>
  <c r="E3159"/>
  <c r="F3159"/>
  <c r="G3159"/>
  <c r="B3160"/>
  <c r="D3160"/>
  <c r="E3160"/>
  <c r="F3160"/>
  <c r="G3160"/>
  <c r="B3161"/>
  <c r="D3161"/>
  <c r="E3161"/>
  <c r="F3161"/>
  <c r="G3161"/>
  <c r="B3142"/>
  <c r="D3142"/>
  <c r="E3142"/>
  <c r="F3142"/>
  <c r="G3142"/>
  <c r="B3143"/>
  <c r="D3143"/>
  <c r="E3143"/>
  <c r="F3143"/>
  <c r="G3143"/>
  <c r="B3144"/>
  <c r="D3144"/>
  <c r="E3144"/>
  <c r="F3144"/>
  <c r="G3144"/>
  <c r="B3145"/>
  <c r="D3145"/>
  <c r="E3145"/>
  <c r="F3145"/>
  <c r="G3145"/>
  <c r="B3146"/>
  <c r="D3146"/>
  <c r="E3146"/>
  <c r="F3146"/>
  <c r="G3146"/>
  <c r="B3147"/>
  <c r="D3147"/>
  <c r="E3147"/>
  <c r="F3147"/>
  <c r="G3147"/>
  <c r="B3148"/>
  <c r="D3148"/>
  <c r="E3148"/>
  <c r="F3148"/>
  <c r="G3148"/>
  <c r="B3149"/>
  <c r="D3149"/>
  <c r="E3149"/>
  <c r="F3149"/>
  <c r="G3149"/>
  <c r="B3150"/>
  <c r="D3150"/>
  <c r="E3150"/>
  <c r="F3150"/>
  <c r="G3150"/>
  <c r="B3151"/>
  <c r="D3151"/>
  <c r="E3151"/>
  <c r="F3151"/>
  <c r="G3151"/>
  <c r="B3132"/>
  <c r="D3132"/>
  <c r="E3132"/>
  <c r="F3132"/>
  <c r="G3132"/>
  <c r="B3133"/>
  <c r="D3133"/>
  <c r="E3133"/>
  <c r="F3133"/>
  <c r="G3133"/>
  <c r="B3134"/>
  <c r="D3134"/>
  <c r="E3134"/>
  <c r="F3134"/>
  <c r="G3134"/>
  <c r="B3135"/>
  <c r="D3135"/>
  <c r="E3135"/>
  <c r="F3135"/>
  <c r="G3135"/>
  <c r="B3136"/>
  <c r="D3136"/>
  <c r="E3136"/>
  <c r="F3136"/>
  <c r="G3136"/>
  <c r="B3137"/>
  <c r="D3137"/>
  <c r="E3137"/>
  <c r="F3137"/>
  <c r="G3137"/>
  <c r="B3138"/>
  <c r="D3138"/>
  <c r="E3138"/>
  <c r="F3138"/>
  <c r="G3138"/>
  <c r="B3139"/>
  <c r="D3139"/>
  <c r="E3139"/>
  <c r="F3139"/>
  <c r="G3139"/>
  <c r="B3140"/>
  <c r="D3140"/>
  <c r="E3140"/>
  <c r="F3140"/>
  <c r="G3140"/>
  <c r="B3141"/>
  <c r="D3141"/>
  <c r="E3141"/>
  <c r="F3141"/>
  <c r="G3141"/>
  <c r="B3122"/>
  <c r="D3122"/>
  <c r="E3122"/>
  <c r="F3122"/>
  <c r="G3122"/>
  <c r="B3123"/>
  <c r="D3123"/>
  <c r="E3123"/>
  <c r="F3123"/>
  <c r="G3123"/>
  <c r="B3124"/>
  <c r="D3124"/>
  <c r="E3124"/>
  <c r="F3124"/>
  <c r="G3124"/>
  <c r="B3125"/>
  <c r="D3125"/>
  <c r="E3125"/>
  <c r="F3125"/>
  <c r="G3125"/>
  <c r="B3126"/>
  <c r="D3126"/>
  <c r="E3126"/>
  <c r="F3126"/>
  <c r="G3126"/>
  <c r="B3127"/>
  <c r="D3127"/>
  <c r="E3127"/>
  <c r="F3127"/>
  <c r="G3127"/>
  <c r="B3128"/>
  <c r="D3128"/>
  <c r="E3128"/>
  <c r="F3128"/>
  <c r="G3128"/>
  <c r="B3129"/>
  <c r="D3129"/>
  <c r="E3129"/>
  <c r="F3129"/>
  <c r="G3129"/>
  <c r="B3130"/>
  <c r="D3130"/>
  <c r="E3130"/>
  <c r="F3130"/>
  <c r="G3130"/>
  <c r="B3131"/>
  <c r="D3131"/>
  <c r="E3131"/>
  <c r="F3131"/>
  <c r="G3131"/>
  <c r="B3112"/>
  <c r="D3112"/>
  <c r="E3112"/>
  <c r="F3112"/>
  <c r="G3112"/>
  <c r="B3113"/>
  <c r="D3113"/>
  <c r="E3113"/>
  <c r="F3113"/>
  <c r="G3113"/>
  <c r="B3114"/>
  <c r="D3114"/>
  <c r="E3114"/>
  <c r="F3114"/>
  <c r="G3114"/>
  <c r="B3115"/>
  <c r="D3115"/>
  <c r="E3115"/>
  <c r="F3115"/>
  <c r="G3115"/>
  <c r="B3116"/>
  <c r="D3116"/>
  <c r="E3116"/>
  <c r="F3116"/>
  <c r="G3116"/>
  <c r="B3117"/>
  <c r="D3117"/>
  <c r="E3117"/>
  <c r="F3117"/>
  <c r="G3117"/>
  <c r="B3118"/>
  <c r="D3118"/>
  <c r="E3118"/>
  <c r="F3118"/>
  <c r="G3118"/>
  <c r="B3119"/>
  <c r="D3119"/>
  <c r="E3119"/>
  <c r="F3119"/>
  <c r="G3119"/>
  <c r="B3120"/>
  <c r="D3120"/>
  <c r="E3120"/>
  <c r="F3120"/>
  <c r="G3120"/>
  <c r="B3121"/>
  <c r="D3121"/>
  <c r="E3121"/>
  <c r="F3121"/>
  <c r="G3121"/>
  <c r="B3102"/>
  <c r="D3102"/>
  <c r="E3102"/>
  <c r="F3102"/>
  <c r="G3102"/>
  <c r="B3103"/>
  <c r="D3103"/>
  <c r="E3103"/>
  <c r="F3103"/>
  <c r="G3103"/>
  <c r="B3104"/>
  <c r="D3104"/>
  <c r="E3104"/>
  <c r="F3104"/>
  <c r="G3104"/>
  <c r="B3105"/>
  <c r="D3105"/>
  <c r="E3105"/>
  <c r="F3105"/>
  <c r="G3105"/>
  <c r="B3106"/>
  <c r="D3106"/>
  <c r="E3106"/>
  <c r="F3106"/>
  <c r="G3106"/>
  <c r="B3107"/>
  <c r="D3107"/>
  <c r="E3107"/>
  <c r="F3107"/>
  <c r="G3107"/>
  <c r="B3108"/>
  <c r="D3108"/>
  <c r="E3108"/>
  <c r="F3108"/>
  <c r="G3108"/>
  <c r="B3109"/>
  <c r="D3109"/>
  <c r="E3109"/>
  <c r="F3109"/>
  <c r="G3109"/>
  <c r="B3110"/>
  <c r="D3110"/>
  <c r="E3110"/>
  <c r="F3110"/>
  <c r="G3110"/>
  <c r="B3111"/>
  <c r="D3111"/>
  <c r="E3111"/>
  <c r="F3111"/>
  <c r="G3111"/>
  <c r="B3092"/>
  <c r="D3092"/>
  <c r="E3092"/>
  <c r="F3092"/>
  <c r="G3092"/>
  <c r="B3093"/>
  <c r="D3093"/>
  <c r="E3093"/>
  <c r="F3093"/>
  <c r="G3093"/>
  <c r="B3094"/>
  <c r="D3094"/>
  <c r="E3094"/>
  <c r="F3094"/>
  <c r="G3094"/>
  <c r="B3095"/>
  <c r="D3095"/>
  <c r="E3095"/>
  <c r="F3095"/>
  <c r="G3095"/>
  <c r="B3096"/>
  <c r="D3096"/>
  <c r="E3096"/>
  <c r="F3096"/>
  <c r="G3096"/>
  <c r="B3097"/>
  <c r="D3097"/>
  <c r="E3097"/>
  <c r="F3097"/>
  <c r="G3097"/>
  <c r="B3098"/>
  <c r="D3098"/>
  <c r="E3098"/>
  <c r="F3098"/>
  <c r="G3098"/>
  <c r="B3099"/>
  <c r="D3099"/>
  <c r="E3099"/>
  <c r="F3099"/>
  <c r="G3099"/>
  <c r="B3100"/>
  <c r="D3100"/>
  <c r="E3100"/>
  <c r="F3100"/>
  <c r="G3100"/>
  <c r="B3101"/>
  <c r="D3101"/>
  <c r="E3101"/>
  <c r="F3101"/>
  <c r="G3101"/>
  <c r="B3082"/>
  <c r="D3082"/>
  <c r="E3082"/>
  <c r="F3082"/>
  <c r="G3082"/>
  <c r="B3083"/>
  <c r="D3083"/>
  <c r="E3083"/>
  <c r="F3083"/>
  <c r="G3083"/>
  <c r="B3084"/>
  <c r="D3084"/>
  <c r="E3084"/>
  <c r="F3084"/>
  <c r="G3084"/>
  <c r="B3085"/>
  <c r="D3085"/>
  <c r="E3085"/>
  <c r="F3085"/>
  <c r="G3085"/>
  <c r="B3086"/>
  <c r="D3086"/>
  <c r="E3086"/>
  <c r="F3086"/>
  <c r="G3086"/>
  <c r="B3087"/>
  <c r="D3087"/>
  <c r="E3087"/>
  <c r="F3087"/>
  <c r="G3087"/>
  <c r="B3088"/>
  <c r="D3088"/>
  <c r="E3088"/>
  <c r="F3088"/>
  <c r="G3088"/>
  <c r="B3089"/>
  <c r="D3089"/>
  <c r="E3089"/>
  <c r="F3089"/>
  <c r="G3089"/>
  <c r="B3090"/>
  <c r="D3090"/>
  <c r="E3090"/>
  <c r="F3090"/>
  <c r="G3090"/>
  <c r="B3091"/>
  <c r="D3091"/>
  <c r="E3091"/>
  <c r="F3091"/>
  <c r="G3091"/>
  <c r="B3072"/>
  <c r="D3072"/>
  <c r="E3072"/>
  <c r="F3072"/>
  <c r="G3072"/>
  <c r="B3073"/>
  <c r="D3073"/>
  <c r="E3073"/>
  <c r="F3073"/>
  <c r="G3073"/>
  <c r="B3074"/>
  <c r="D3074"/>
  <c r="E3074"/>
  <c r="F3074"/>
  <c r="G3074"/>
  <c r="B3075"/>
  <c r="D3075"/>
  <c r="E3075"/>
  <c r="F3075"/>
  <c r="G3075"/>
  <c r="B3076"/>
  <c r="D3076"/>
  <c r="E3076"/>
  <c r="F3076"/>
  <c r="G3076"/>
  <c r="B3077"/>
  <c r="D3077"/>
  <c r="E3077"/>
  <c r="F3077"/>
  <c r="G3077"/>
  <c r="B3078"/>
  <c r="D3078"/>
  <c r="E3078"/>
  <c r="F3078"/>
  <c r="G3078"/>
  <c r="B3079"/>
  <c r="D3079"/>
  <c r="E3079"/>
  <c r="F3079"/>
  <c r="G3079"/>
  <c r="B3080"/>
  <c r="D3080"/>
  <c r="E3080"/>
  <c r="F3080"/>
  <c r="G3080"/>
  <c r="B3081"/>
  <c r="D3081"/>
  <c r="E3081"/>
  <c r="F3081"/>
  <c r="G3081"/>
  <c r="B3062"/>
  <c r="D3062"/>
  <c r="E3062"/>
  <c r="F3062"/>
  <c r="G3062"/>
  <c r="B3063"/>
  <c r="D3063"/>
  <c r="E3063"/>
  <c r="F3063"/>
  <c r="G3063"/>
  <c r="B3064"/>
  <c r="D3064"/>
  <c r="E3064"/>
  <c r="F3064"/>
  <c r="G3064"/>
  <c r="B3065"/>
  <c r="D3065"/>
  <c r="E3065"/>
  <c r="F3065"/>
  <c r="G3065"/>
  <c r="B3066"/>
  <c r="D3066"/>
  <c r="E3066"/>
  <c r="F3066"/>
  <c r="G3066"/>
  <c r="B3067"/>
  <c r="D3067"/>
  <c r="E3067"/>
  <c r="F3067"/>
  <c r="G3067"/>
  <c r="B3068"/>
  <c r="D3068"/>
  <c r="E3068"/>
  <c r="F3068"/>
  <c r="G3068"/>
  <c r="B3069"/>
  <c r="D3069"/>
  <c r="E3069"/>
  <c r="F3069"/>
  <c r="G3069"/>
  <c r="B3070"/>
  <c r="D3070"/>
  <c r="E3070"/>
  <c r="F3070"/>
  <c r="G3070"/>
  <c r="B3071"/>
  <c r="D3071"/>
  <c r="E3071"/>
  <c r="F3071"/>
  <c r="G3071"/>
  <c r="B3052"/>
  <c r="D3052"/>
  <c r="E3052"/>
  <c r="F3052"/>
  <c r="G3052"/>
  <c r="B3053"/>
  <c r="D3053"/>
  <c r="E3053"/>
  <c r="F3053"/>
  <c r="G3053"/>
  <c r="B3054"/>
  <c r="D3054"/>
  <c r="E3054"/>
  <c r="F3054"/>
  <c r="G3054"/>
  <c r="B3055"/>
  <c r="D3055"/>
  <c r="E3055"/>
  <c r="F3055"/>
  <c r="G3055"/>
  <c r="B3056"/>
  <c r="D3056"/>
  <c r="E3056"/>
  <c r="F3056"/>
  <c r="G3056"/>
  <c r="B3057"/>
  <c r="D3057"/>
  <c r="E3057"/>
  <c r="F3057"/>
  <c r="G3057"/>
  <c r="B3058"/>
  <c r="D3058"/>
  <c r="E3058"/>
  <c r="F3058"/>
  <c r="G3058"/>
  <c r="B3059"/>
  <c r="D3059"/>
  <c r="E3059"/>
  <c r="F3059"/>
  <c r="G3059"/>
  <c r="B3060"/>
  <c r="D3060"/>
  <c r="E3060"/>
  <c r="F3060"/>
  <c r="G3060"/>
  <c r="B3061"/>
  <c r="D3061"/>
  <c r="E3061"/>
  <c r="F3061"/>
  <c r="G3061"/>
  <c r="B3042"/>
  <c r="D3042"/>
  <c r="E3042"/>
  <c r="F3042"/>
  <c r="G3042"/>
  <c r="B3043"/>
  <c r="D3043"/>
  <c r="E3043"/>
  <c r="F3043"/>
  <c r="G3043"/>
  <c r="B3044"/>
  <c r="D3044"/>
  <c r="E3044"/>
  <c r="F3044"/>
  <c r="G3044"/>
  <c r="B3045"/>
  <c r="D3045"/>
  <c r="E3045"/>
  <c r="F3045"/>
  <c r="G3045"/>
  <c r="B3046"/>
  <c r="D3046"/>
  <c r="E3046"/>
  <c r="F3046"/>
  <c r="G3046"/>
  <c r="B3047"/>
  <c r="D3047"/>
  <c r="E3047"/>
  <c r="F3047"/>
  <c r="G3047"/>
  <c r="B3048"/>
  <c r="D3048"/>
  <c r="E3048"/>
  <c r="F3048"/>
  <c r="G3048"/>
  <c r="B3049"/>
  <c r="D3049"/>
  <c r="E3049"/>
  <c r="F3049"/>
  <c r="G3049"/>
  <c r="B3050"/>
  <c r="D3050"/>
  <c r="E3050"/>
  <c r="F3050"/>
  <c r="G3050"/>
  <c r="B3051"/>
  <c r="D3051"/>
  <c r="E3051"/>
  <c r="F3051"/>
  <c r="G3051"/>
  <c r="B3032"/>
  <c r="D3032"/>
  <c r="E3032"/>
  <c r="F3032"/>
  <c r="G3032"/>
  <c r="B3033"/>
  <c r="D3033"/>
  <c r="E3033"/>
  <c r="F3033"/>
  <c r="G3033"/>
  <c r="B3034"/>
  <c r="D3034"/>
  <c r="E3034"/>
  <c r="F3034"/>
  <c r="G3034"/>
  <c r="B3035"/>
  <c r="D3035"/>
  <c r="E3035"/>
  <c r="F3035"/>
  <c r="G3035"/>
  <c r="B3036"/>
  <c r="D3036"/>
  <c r="E3036"/>
  <c r="F3036"/>
  <c r="G3036"/>
  <c r="B3037"/>
  <c r="D3037"/>
  <c r="E3037"/>
  <c r="F3037"/>
  <c r="G3037"/>
  <c r="B3038"/>
  <c r="D3038"/>
  <c r="E3038"/>
  <c r="F3038"/>
  <c r="G3038"/>
  <c r="B3039"/>
  <c r="D3039"/>
  <c r="E3039"/>
  <c r="F3039"/>
  <c r="G3039"/>
  <c r="B3040"/>
  <c r="D3040"/>
  <c r="E3040"/>
  <c r="F3040"/>
  <c r="G3040"/>
  <c r="B3041"/>
  <c r="D3041"/>
  <c r="E3041"/>
  <c r="F3041"/>
  <c r="G3041"/>
  <c r="B3022"/>
  <c r="D3022"/>
  <c r="E3022"/>
  <c r="F3022"/>
  <c r="G3022"/>
  <c r="B3023"/>
  <c r="D3023"/>
  <c r="E3023"/>
  <c r="F3023"/>
  <c r="G3023"/>
  <c r="B3024"/>
  <c r="D3024"/>
  <c r="E3024"/>
  <c r="F3024"/>
  <c r="G3024"/>
  <c r="B3025"/>
  <c r="D3025"/>
  <c r="E3025"/>
  <c r="F3025"/>
  <c r="G3025"/>
  <c r="B3026"/>
  <c r="D3026"/>
  <c r="E3026"/>
  <c r="F3026"/>
  <c r="G3026"/>
  <c r="B3027"/>
  <c r="D3027"/>
  <c r="E3027"/>
  <c r="F3027"/>
  <c r="G3027"/>
  <c r="B3028"/>
  <c r="D3028"/>
  <c r="E3028"/>
  <c r="F3028"/>
  <c r="G3028"/>
  <c r="B3029"/>
  <c r="D3029"/>
  <c r="E3029"/>
  <c r="F3029"/>
  <c r="G3029"/>
  <c r="B3030"/>
  <c r="D3030"/>
  <c r="E3030"/>
  <c r="F3030"/>
  <c r="G3030"/>
  <c r="B3031"/>
  <c r="D3031"/>
  <c r="E3031"/>
  <c r="F3031"/>
  <c r="G3031"/>
  <c r="B3012"/>
  <c r="D3012"/>
  <c r="E3012"/>
  <c r="F3012"/>
  <c r="G3012"/>
  <c r="B3013"/>
  <c r="D3013"/>
  <c r="E3013"/>
  <c r="F3013"/>
  <c r="G3013"/>
  <c r="B3014"/>
  <c r="D3014"/>
  <c r="E3014"/>
  <c r="F3014"/>
  <c r="G3014"/>
  <c r="B3015"/>
  <c r="D3015"/>
  <c r="E3015"/>
  <c r="F3015"/>
  <c r="G3015"/>
  <c r="B3016"/>
  <c r="D3016"/>
  <c r="E3016"/>
  <c r="F3016"/>
  <c r="G3016"/>
  <c r="B3017"/>
  <c r="D3017"/>
  <c r="E3017"/>
  <c r="F3017"/>
  <c r="G3017"/>
  <c r="B3018"/>
  <c r="D3018"/>
  <c r="E3018"/>
  <c r="F3018"/>
  <c r="G3018"/>
  <c r="B3019"/>
  <c r="D3019"/>
  <c r="E3019"/>
  <c r="G3019"/>
  <c r="B3020"/>
  <c r="D3020"/>
  <c r="E3020"/>
  <c r="G3020"/>
  <c r="B3021"/>
  <c r="D3021"/>
  <c r="E3021"/>
  <c r="F3021"/>
  <c r="G3021"/>
  <c r="B3002"/>
  <c r="D3002"/>
  <c r="E3002"/>
  <c r="F3002"/>
  <c r="G3002"/>
  <c r="B3003"/>
  <c r="D3003"/>
  <c r="E3003"/>
  <c r="F3003"/>
  <c r="G3003"/>
  <c r="B3004"/>
  <c r="D3004"/>
  <c r="E3004"/>
  <c r="F3004"/>
  <c r="G3004"/>
  <c r="B3005"/>
  <c r="D3005"/>
  <c r="E3005"/>
  <c r="F3005"/>
  <c r="G3005"/>
  <c r="B3006"/>
  <c r="D3006"/>
  <c r="E3006"/>
  <c r="F3006"/>
  <c r="G3006"/>
  <c r="B3007"/>
  <c r="D3007"/>
  <c r="E3007"/>
  <c r="F3007"/>
  <c r="G3007"/>
  <c r="B3008"/>
  <c r="D3008"/>
  <c r="E3008"/>
  <c r="F3008"/>
  <c r="G3008"/>
  <c r="B3009"/>
  <c r="D3009"/>
  <c r="E3009"/>
  <c r="F3009"/>
  <c r="G3009"/>
  <c r="B3010"/>
  <c r="D3010"/>
  <c r="E3010"/>
  <c r="F3010"/>
  <c r="G3010"/>
  <c r="B3011"/>
  <c r="D3011"/>
  <c r="E3011"/>
  <c r="F3011"/>
  <c r="G3011"/>
  <c r="B2992"/>
  <c r="D2992"/>
  <c r="E2992"/>
  <c r="F2992"/>
  <c r="G2992"/>
  <c r="B2993"/>
  <c r="D2993"/>
  <c r="E2993"/>
  <c r="F2993"/>
  <c r="G2993"/>
  <c r="B2994"/>
  <c r="D2994"/>
  <c r="E2994"/>
  <c r="F2994"/>
  <c r="G2994"/>
  <c r="B2995"/>
  <c r="D2995"/>
  <c r="E2995"/>
  <c r="F2995"/>
  <c r="G2995"/>
  <c r="B2996"/>
  <c r="D2996"/>
  <c r="E2996"/>
  <c r="F2996"/>
  <c r="G2996"/>
  <c r="B2997"/>
  <c r="D2997"/>
  <c r="E2997"/>
  <c r="F2997"/>
  <c r="G2997"/>
  <c r="B2998"/>
  <c r="D2998"/>
  <c r="E2998"/>
  <c r="F2998"/>
  <c r="G2998"/>
  <c r="B2999"/>
  <c r="D2999"/>
  <c r="E2999"/>
  <c r="F2999"/>
  <c r="G2999"/>
  <c r="B3000"/>
  <c r="D3000"/>
  <c r="E3000"/>
  <c r="F3000"/>
  <c r="G3000"/>
  <c r="B3001"/>
  <c r="D3001"/>
  <c r="E3001"/>
  <c r="F3001"/>
  <c r="G3001"/>
  <c r="B2982"/>
  <c r="D2982"/>
  <c r="E2982"/>
  <c r="F2982"/>
  <c r="G2982"/>
  <c r="B2983"/>
  <c r="D2983"/>
  <c r="E2983"/>
  <c r="F2983"/>
  <c r="G2983"/>
  <c r="B2984"/>
  <c r="D2984"/>
  <c r="E2984"/>
  <c r="F2984"/>
  <c r="G2984"/>
  <c r="B2985"/>
  <c r="D2985"/>
  <c r="E2985"/>
  <c r="F2985"/>
  <c r="G2985"/>
  <c r="B2986"/>
  <c r="D2986"/>
  <c r="E2986"/>
  <c r="F2986"/>
  <c r="G2986"/>
  <c r="B2987"/>
  <c r="D2987"/>
  <c r="E2987"/>
  <c r="F2987"/>
  <c r="G2987"/>
  <c r="B2988"/>
  <c r="D2988"/>
  <c r="E2988"/>
  <c r="F2988"/>
  <c r="G2988"/>
  <c r="B2989"/>
  <c r="D2989"/>
  <c r="E2989"/>
  <c r="F2989"/>
  <c r="G2989"/>
  <c r="B2990"/>
  <c r="D2990"/>
  <c r="E2990"/>
  <c r="F2990"/>
  <c r="G2990"/>
  <c r="B2991"/>
  <c r="D2991"/>
  <c r="E2991"/>
  <c r="F2991"/>
  <c r="G2991"/>
  <c r="B2972"/>
  <c r="D2972"/>
  <c r="E2972"/>
  <c r="F2972"/>
  <c r="G2972"/>
  <c r="B2973"/>
  <c r="D2973"/>
  <c r="E2973"/>
  <c r="F2973"/>
  <c r="G2973"/>
  <c r="B2974"/>
  <c r="D2974"/>
  <c r="E2974"/>
  <c r="G2974"/>
  <c r="B2975"/>
  <c r="D2975"/>
  <c r="E2975"/>
  <c r="G2975"/>
  <c r="B2976"/>
  <c r="D2976"/>
  <c r="E2976"/>
  <c r="G2976"/>
  <c r="B2977"/>
  <c r="D2977"/>
  <c r="E2977"/>
  <c r="G2977"/>
  <c r="B2978"/>
  <c r="D2978"/>
  <c r="E2978"/>
  <c r="F2978"/>
  <c r="G2978"/>
  <c r="B2979"/>
  <c r="D2979"/>
  <c r="E2979"/>
  <c r="F2979"/>
  <c r="G2979"/>
  <c r="B2980"/>
  <c r="D2980"/>
  <c r="E2980"/>
  <c r="F2980"/>
  <c r="G2980"/>
  <c r="B2981"/>
  <c r="D2981"/>
  <c r="E2981"/>
  <c r="F2981"/>
  <c r="G2981"/>
  <c r="B2962"/>
  <c r="D2962"/>
  <c r="E2962"/>
  <c r="F2962"/>
  <c r="G2962"/>
  <c r="B2963"/>
  <c r="D2963"/>
  <c r="E2963"/>
  <c r="F2963"/>
  <c r="G2963"/>
  <c r="B2964"/>
  <c r="D2964"/>
  <c r="E2964"/>
  <c r="F2964"/>
  <c r="G2964"/>
  <c r="B2965"/>
  <c r="D2965"/>
  <c r="E2965"/>
  <c r="F2965"/>
  <c r="G2965"/>
  <c r="B2966"/>
  <c r="D2966"/>
  <c r="E2966"/>
  <c r="F2966"/>
  <c r="G2966"/>
  <c r="B2967"/>
  <c r="D2967"/>
  <c r="E2967"/>
  <c r="F2967"/>
  <c r="G2967"/>
  <c r="B2968"/>
  <c r="D2968"/>
  <c r="E2968"/>
  <c r="F2968"/>
  <c r="G2968"/>
  <c r="B2969"/>
  <c r="D2969"/>
  <c r="E2969"/>
  <c r="F2969"/>
  <c r="G2969"/>
  <c r="B2970"/>
  <c r="D2970"/>
  <c r="E2970"/>
  <c r="F2970"/>
  <c r="G2970"/>
  <c r="B2971"/>
  <c r="D2971"/>
  <c r="E2971"/>
  <c r="F2971"/>
  <c r="G2971"/>
  <c r="B2952"/>
  <c r="D2952"/>
  <c r="E2952"/>
  <c r="F2952"/>
  <c r="G2952"/>
  <c r="B2953"/>
  <c r="D2953"/>
  <c r="E2953"/>
  <c r="F2953"/>
  <c r="G2953"/>
  <c r="B2954"/>
  <c r="D2954"/>
  <c r="E2954"/>
  <c r="F2954"/>
  <c r="G2954"/>
  <c r="B2955"/>
  <c r="D2955"/>
  <c r="E2955"/>
  <c r="F2955"/>
  <c r="G2955"/>
  <c r="B2956"/>
  <c r="D2956"/>
  <c r="E2956"/>
  <c r="F2956"/>
  <c r="G2956"/>
  <c r="B2957"/>
  <c r="D2957"/>
  <c r="E2957"/>
  <c r="F2957"/>
  <c r="G2957"/>
  <c r="B2958"/>
  <c r="D2958"/>
  <c r="E2958"/>
  <c r="F2958"/>
  <c r="G2958"/>
  <c r="B2959"/>
  <c r="D2959"/>
  <c r="E2959"/>
  <c r="F2959"/>
  <c r="G2959"/>
  <c r="B2960"/>
  <c r="D2960"/>
  <c r="E2960"/>
  <c r="F2960"/>
  <c r="G2960"/>
  <c r="B2961"/>
  <c r="D2961"/>
  <c r="E2961"/>
  <c r="F2961"/>
  <c r="G2961"/>
  <c r="B2942"/>
  <c r="D2942"/>
  <c r="E2942"/>
  <c r="F2942"/>
  <c r="G2942"/>
  <c r="B2943"/>
  <c r="D2943"/>
  <c r="E2943"/>
  <c r="F2943"/>
  <c r="G2943"/>
  <c r="B2944"/>
  <c r="D2944"/>
  <c r="E2944"/>
  <c r="F2944"/>
  <c r="G2944"/>
  <c r="B2945"/>
  <c r="D2945"/>
  <c r="E2945"/>
  <c r="F2945"/>
  <c r="G2945"/>
  <c r="B2946"/>
  <c r="D2946"/>
  <c r="E2946"/>
  <c r="F2946"/>
  <c r="G2946"/>
  <c r="B2947"/>
  <c r="D2947"/>
  <c r="E2947"/>
  <c r="F2947"/>
  <c r="G2947"/>
  <c r="B2948"/>
  <c r="D2948"/>
  <c r="E2948"/>
  <c r="F2948"/>
  <c r="G2948"/>
  <c r="B2949"/>
  <c r="D2949"/>
  <c r="E2949"/>
  <c r="F2949"/>
  <c r="G2949"/>
  <c r="B2950"/>
  <c r="D2950"/>
  <c r="E2950"/>
  <c r="F2950"/>
  <c r="G2950"/>
  <c r="B2951"/>
  <c r="D2951"/>
  <c r="E2951"/>
  <c r="F2951"/>
  <c r="G2951"/>
  <c r="B2932"/>
  <c r="D2932"/>
  <c r="E2932"/>
  <c r="F2932"/>
  <c r="G2932"/>
  <c r="B2933"/>
  <c r="D2933"/>
  <c r="E2933"/>
  <c r="F2933"/>
  <c r="G2933"/>
  <c r="B2934"/>
  <c r="D2934"/>
  <c r="E2934"/>
  <c r="F2934"/>
  <c r="G2934"/>
  <c r="B2935"/>
  <c r="D2935"/>
  <c r="E2935"/>
  <c r="F2935"/>
  <c r="G2935"/>
  <c r="B2936"/>
  <c r="D2936"/>
  <c r="E2936"/>
  <c r="F2936"/>
  <c r="G2936"/>
  <c r="B2937"/>
  <c r="D2937"/>
  <c r="E2937"/>
  <c r="F2937"/>
  <c r="G2937"/>
  <c r="B2938"/>
  <c r="D2938"/>
  <c r="E2938"/>
  <c r="F2938"/>
  <c r="G2938"/>
  <c r="B2939"/>
  <c r="D2939"/>
  <c r="E2939"/>
  <c r="F2939"/>
  <c r="G2939"/>
  <c r="B2940"/>
  <c r="D2940"/>
  <c r="E2940"/>
  <c r="F2940"/>
  <c r="G2940"/>
  <c r="B2941"/>
  <c r="D2941"/>
  <c r="E2941"/>
  <c r="F2941"/>
  <c r="G2941"/>
  <c r="B2922"/>
  <c r="D2922"/>
  <c r="E2922"/>
  <c r="F2922"/>
  <c r="G2922"/>
  <c r="B2923"/>
  <c r="D2923"/>
  <c r="E2923"/>
  <c r="F2923"/>
  <c r="G2923"/>
  <c r="B2924"/>
  <c r="D2924"/>
  <c r="E2924"/>
  <c r="F2924"/>
  <c r="G2924"/>
  <c r="B2925"/>
  <c r="D2925"/>
  <c r="E2925"/>
  <c r="F2925"/>
  <c r="G2925"/>
  <c r="B2926"/>
  <c r="D2926"/>
  <c r="E2926"/>
  <c r="F2926"/>
  <c r="G2926"/>
  <c r="B2927"/>
  <c r="D2927"/>
  <c r="E2927"/>
  <c r="F2927"/>
  <c r="G2927"/>
  <c r="B2928"/>
  <c r="D2928"/>
  <c r="E2928"/>
  <c r="F2928"/>
  <c r="G2928"/>
  <c r="B2929"/>
  <c r="D2929"/>
  <c r="E2929"/>
  <c r="F2929"/>
  <c r="G2929"/>
  <c r="B2930"/>
  <c r="D2930"/>
  <c r="E2930"/>
  <c r="F2930"/>
  <c r="G2930"/>
  <c r="B2931"/>
  <c r="D2931"/>
  <c r="E2931"/>
  <c r="F2931"/>
  <c r="G2931"/>
  <c r="B2912"/>
  <c r="D2912"/>
  <c r="E2912"/>
  <c r="F2912"/>
  <c r="G2912"/>
  <c r="B2913"/>
  <c r="D2913"/>
  <c r="E2913"/>
  <c r="F2913"/>
  <c r="G2913"/>
  <c r="B2914"/>
  <c r="D2914"/>
  <c r="E2914"/>
  <c r="F2914"/>
  <c r="G2914"/>
  <c r="B2915"/>
  <c r="D2915"/>
  <c r="E2915"/>
  <c r="F2915"/>
  <c r="G2915"/>
  <c r="B2916"/>
  <c r="D2916"/>
  <c r="E2916"/>
  <c r="F2916"/>
  <c r="G2916"/>
  <c r="B2917"/>
  <c r="D2917"/>
  <c r="E2917"/>
  <c r="F2917"/>
  <c r="G2917"/>
  <c r="B2918"/>
  <c r="D2918"/>
  <c r="E2918"/>
  <c r="F2918"/>
  <c r="G2918"/>
  <c r="B2919"/>
  <c r="D2919"/>
  <c r="E2919"/>
  <c r="F2919"/>
  <c r="G2919"/>
  <c r="B2920"/>
  <c r="D2920"/>
  <c r="E2920"/>
  <c r="F2920"/>
  <c r="G2920"/>
  <c r="B2921"/>
  <c r="D2921"/>
  <c r="E2921"/>
  <c r="F2921"/>
  <c r="G2921"/>
  <c r="B2902"/>
  <c r="D2902"/>
  <c r="E2902"/>
  <c r="F2902"/>
  <c r="G2902"/>
  <c r="B2903"/>
  <c r="D2903"/>
  <c r="E2903"/>
  <c r="F2903"/>
  <c r="G2903"/>
  <c r="B2904"/>
  <c r="D2904"/>
  <c r="E2904"/>
  <c r="F2904"/>
  <c r="G2904"/>
  <c r="B2905"/>
  <c r="D2905"/>
  <c r="E2905"/>
  <c r="F2905"/>
  <c r="G2905"/>
  <c r="B2906"/>
  <c r="D2906"/>
  <c r="E2906"/>
  <c r="F2906"/>
  <c r="G2906"/>
  <c r="B2907"/>
  <c r="D2907"/>
  <c r="E2907"/>
  <c r="F2907"/>
  <c r="G2907"/>
  <c r="B2908"/>
  <c r="D2908"/>
  <c r="E2908"/>
  <c r="F2908"/>
  <c r="G2908"/>
  <c r="B2909"/>
  <c r="D2909"/>
  <c r="E2909"/>
  <c r="F2909"/>
  <c r="G2909"/>
  <c r="B2910"/>
  <c r="D2910"/>
  <c r="E2910"/>
  <c r="F2910"/>
  <c r="G2910"/>
  <c r="B2911"/>
  <c r="D2911"/>
  <c r="E2911"/>
  <c r="F2911"/>
  <c r="G2911"/>
  <c r="B2892"/>
  <c r="D2892"/>
  <c r="E2892"/>
  <c r="G2892"/>
  <c r="B2893"/>
  <c r="D2893"/>
  <c r="E2893"/>
  <c r="G2893"/>
  <c r="B2894"/>
  <c r="D2894"/>
  <c r="E2894"/>
  <c r="G2894"/>
  <c r="B2895"/>
  <c r="D2895"/>
  <c r="E2895"/>
  <c r="G2895"/>
  <c r="B2896"/>
  <c r="D2896"/>
  <c r="E2896"/>
  <c r="F2896"/>
  <c r="G2896"/>
  <c r="B2897"/>
  <c r="D2897"/>
  <c r="E2897"/>
  <c r="F2897"/>
  <c r="G2897"/>
  <c r="B2898"/>
  <c r="D2898"/>
  <c r="E2898"/>
  <c r="F2898"/>
  <c r="G2898"/>
  <c r="B2899"/>
  <c r="D2899"/>
  <c r="E2899"/>
  <c r="F2899"/>
  <c r="G2899"/>
  <c r="B2900"/>
  <c r="D2900"/>
  <c r="E2900"/>
  <c r="F2900"/>
  <c r="G2900"/>
  <c r="B2901"/>
  <c r="D2901"/>
  <c r="E2901"/>
  <c r="F2901"/>
  <c r="G2901"/>
  <c r="B2882"/>
  <c r="D2882"/>
  <c r="E2882"/>
  <c r="F2882"/>
  <c r="G2882"/>
  <c r="B2883"/>
  <c r="D2883"/>
  <c r="E2883"/>
  <c r="F2883"/>
  <c r="G2883"/>
  <c r="B2884"/>
  <c r="D2884"/>
  <c r="E2884"/>
  <c r="F2884"/>
  <c r="G2884"/>
  <c r="B2885"/>
  <c r="D2885"/>
  <c r="E2885"/>
  <c r="F2885"/>
  <c r="G2885"/>
  <c r="B2886"/>
  <c r="D2886"/>
  <c r="E2886"/>
  <c r="F2886"/>
  <c r="G2886"/>
  <c r="B2887"/>
  <c r="D2887"/>
  <c r="E2887"/>
  <c r="F2887"/>
  <c r="G2887"/>
  <c r="B2888"/>
  <c r="D2888"/>
  <c r="E2888"/>
  <c r="F2888"/>
  <c r="G2888"/>
  <c r="B2889"/>
  <c r="D2889"/>
  <c r="E2889"/>
  <c r="F2889"/>
  <c r="G2889"/>
  <c r="B2890"/>
  <c r="D2890"/>
  <c r="E2890"/>
  <c r="F2890"/>
  <c r="G2890"/>
  <c r="B2891"/>
  <c r="D2891"/>
  <c r="E2891"/>
  <c r="F2891"/>
  <c r="G2891"/>
  <c r="B2872"/>
  <c r="D2872"/>
  <c r="E2872"/>
  <c r="F2872"/>
  <c r="G2872"/>
  <c r="B2873"/>
  <c r="D2873"/>
  <c r="E2873"/>
  <c r="F2873"/>
  <c r="G2873"/>
  <c r="B2874"/>
  <c r="D2874"/>
  <c r="E2874"/>
  <c r="F2874"/>
  <c r="G2874"/>
  <c r="B2875"/>
  <c r="D2875"/>
  <c r="E2875"/>
  <c r="F2875"/>
  <c r="G2875"/>
  <c r="B2876"/>
  <c r="D2876"/>
  <c r="E2876"/>
  <c r="F2876"/>
  <c r="G2876"/>
  <c r="B2877"/>
  <c r="D2877"/>
  <c r="E2877"/>
  <c r="F2877"/>
  <c r="G2877"/>
  <c r="B2878"/>
  <c r="D2878"/>
  <c r="E2878"/>
  <c r="F2878"/>
  <c r="G2878"/>
  <c r="B2879"/>
  <c r="D2879"/>
  <c r="E2879"/>
  <c r="F2879"/>
  <c r="G2879"/>
  <c r="B2880"/>
  <c r="D2880"/>
  <c r="E2880"/>
  <c r="F2880"/>
  <c r="G2880"/>
  <c r="B2881"/>
  <c r="D2881"/>
  <c r="E2881"/>
  <c r="F2881"/>
  <c r="G2881"/>
  <c r="B2862"/>
  <c r="D2862"/>
  <c r="E2862"/>
  <c r="F2862"/>
  <c r="G2862"/>
  <c r="B2863"/>
  <c r="D2863"/>
  <c r="E2863"/>
  <c r="F2863"/>
  <c r="G2863"/>
  <c r="B2864"/>
  <c r="D2864"/>
  <c r="E2864"/>
  <c r="F2864"/>
  <c r="G2864"/>
  <c r="B2865"/>
  <c r="D2865"/>
  <c r="E2865"/>
  <c r="F2865"/>
  <c r="G2865"/>
  <c r="B2866"/>
  <c r="D2866"/>
  <c r="E2866"/>
  <c r="F2866"/>
  <c r="G2866"/>
  <c r="B2867"/>
  <c r="D2867"/>
  <c r="E2867"/>
  <c r="F2867"/>
  <c r="G2867"/>
  <c r="B2868"/>
  <c r="D2868"/>
  <c r="E2868"/>
  <c r="F2868"/>
  <c r="G2868"/>
  <c r="B2869"/>
  <c r="D2869"/>
  <c r="E2869"/>
  <c r="F2869"/>
  <c r="G2869"/>
  <c r="B2870"/>
  <c r="D2870"/>
  <c r="E2870"/>
  <c r="F2870"/>
  <c r="G2870"/>
  <c r="B2871"/>
  <c r="D2871"/>
  <c r="E2871"/>
  <c r="F2871"/>
  <c r="G2871"/>
  <c r="B2852"/>
  <c r="D2852"/>
  <c r="E2852"/>
  <c r="F2852"/>
  <c r="G2852"/>
  <c r="B2853"/>
  <c r="D2853"/>
  <c r="E2853"/>
  <c r="F2853"/>
  <c r="G2853"/>
  <c r="B2854"/>
  <c r="D2854"/>
  <c r="E2854"/>
  <c r="F2854"/>
  <c r="G2854"/>
  <c r="B2855"/>
  <c r="D2855"/>
  <c r="E2855"/>
  <c r="F2855"/>
  <c r="G2855"/>
  <c r="B2856"/>
  <c r="D2856"/>
  <c r="E2856"/>
  <c r="F2856"/>
  <c r="G2856"/>
  <c r="B2857"/>
  <c r="D2857"/>
  <c r="E2857"/>
  <c r="F2857"/>
  <c r="G2857"/>
  <c r="B2858"/>
  <c r="D2858"/>
  <c r="E2858"/>
  <c r="F2858"/>
  <c r="G2858"/>
  <c r="B2859"/>
  <c r="D2859"/>
  <c r="E2859"/>
  <c r="F2859"/>
  <c r="G2859"/>
  <c r="B2860"/>
  <c r="D2860"/>
  <c r="E2860"/>
  <c r="F2860"/>
  <c r="G2860"/>
  <c r="B2861"/>
  <c r="D2861"/>
  <c r="E2861"/>
  <c r="F2861"/>
  <c r="G2861"/>
  <c r="B2842"/>
  <c r="D2842"/>
  <c r="E2842"/>
  <c r="F2842"/>
  <c r="G2842"/>
  <c r="B2843"/>
  <c r="D2843"/>
  <c r="E2843"/>
  <c r="F2843"/>
  <c r="G2843"/>
  <c r="B2844"/>
  <c r="D2844"/>
  <c r="E2844"/>
  <c r="F2844"/>
  <c r="G2844"/>
  <c r="B2845"/>
  <c r="D2845"/>
  <c r="E2845"/>
  <c r="F2845"/>
  <c r="G2845"/>
  <c r="B2846"/>
  <c r="D2846"/>
  <c r="E2846"/>
  <c r="F2846"/>
  <c r="G2846"/>
  <c r="B2847"/>
  <c r="D2847"/>
  <c r="E2847"/>
  <c r="F2847"/>
  <c r="G2847"/>
  <c r="B2848"/>
  <c r="D2848"/>
  <c r="E2848"/>
  <c r="F2848"/>
  <c r="G2848"/>
  <c r="B2849"/>
  <c r="D2849"/>
  <c r="E2849"/>
  <c r="F2849"/>
  <c r="G2849"/>
  <c r="B2850"/>
  <c r="D2850"/>
  <c r="E2850"/>
  <c r="F2850"/>
  <c r="G2850"/>
  <c r="B2851"/>
  <c r="D2851"/>
  <c r="E2851"/>
  <c r="F2851"/>
  <c r="G2851"/>
  <c r="B2832"/>
  <c r="D2832"/>
  <c r="E2832"/>
  <c r="F2832"/>
  <c r="G2832"/>
  <c r="B2833"/>
  <c r="D2833"/>
  <c r="E2833"/>
  <c r="F2833"/>
  <c r="G2833"/>
  <c r="B2834"/>
  <c r="D2834"/>
  <c r="E2834"/>
  <c r="F2834"/>
  <c r="G2834"/>
  <c r="B2835"/>
  <c r="D2835"/>
  <c r="E2835"/>
  <c r="F2835"/>
  <c r="G2835"/>
  <c r="B2836"/>
  <c r="D2836"/>
  <c r="E2836"/>
  <c r="F2836"/>
  <c r="G2836"/>
  <c r="B2837"/>
  <c r="D2837"/>
  <c r="E2837"/>
  <c r="F2837"/>
  <c r="G2837"/>
  <c r="B2838"/>
  <c r="D2838"/>
  <c r="E2838"/>
  <c r="F2838"/>
  <c r="G2838"/>
  <c r="B2839"/>
  <c r="D2839"/>
  <c r="E2839"/>
  <c r="F2839"/>
  <c r="G2839"/>
  <c r="B2840"/>
  <c r="D2840"/>
  <c r="E2840"/>
  <c r="F2840"/>
  <c r="G2840"/>
  <c r="B2841"/>
  <c r="D2841"/>
  <c r="E2841"/>
  <c r="F2841"/>
  <c r="G2841"/>
  <c r="B2822"/>
  <c r="D2822"/>
  <c r="E2822"/>
  <c r="F2822"/>
  <c r="G2822"/>
  <c r="B2823"/>
  <c r="D2823"/>
  <c r="E2823"/>
  <c r="F2823"/>
  <c r="G2823"/>
  <c r="B2824"/>
  <c r="D2824"/>
  <c r="E2824"/>
  <c r="F2824"/>
  <c r="G2824"/>
  <c r="B2825"/>
  <c r="D2825"/>
  <c r="E2825"/>
  <c r="F2825"/>
  <c r="G2825"/>
  <c r="B2826"/>
  <c r="D2826"/>
  <c r="E2826"/>
  <c r="F2826"/>
  <c r="G2826"/>
  <c r="B2827"/>
  <c r="D2827"/>
  <c r="E2827"/>
  <c r="F2827"/>
  <c r="G2827"/>
  <c r="B2828"/>
  <c r="D2828"/>
  <c r="E2828"/>
  <c r="F2828"/>
  <c r="G2828"/>
  <c r="B2829"/>
  <c r="D2829"/>
  <c r="E2829"/>
  <c r="F2829"/>
  <c r="G2829"/>
  <c r="B2830"/>
  <c r="D2830"/>
  <c r="E2830"/>
  <c r="F2830"/>
  <c r="G2830"/>
  <c r="B2831"/>
  <c r="D2831"/>
  <c r="E2831"/>
  <c r="F2831"/>
  <c r="G2831"/>
  <c r="B2812"/>
  <c r="D2812"/>
  <c r="E2812"/>
  <c r="F2812"/>
  <c r="G2812"/>
  <c r="B2813"/>
  <c r="D2813"/>
  <c r="E2813"/>
  <c r="F2813"/>
  <c r="G2813"/>
  <c r="B2814"/>
  <c r="D2814"/>
  <c r="E2814"/>
  <c r="F2814"/>
  <c r="G2814"/>
  <c r="B2815"/>
  <c r="D2815"/>
  <c r="E2815"/>
  <c r="F2815"/>
  <c r="G2815"/>
  <c r="B2816"/>
  <c r="D2816"/>
  <c r="E2816"/>
  <c r="F2816"/>
  <c r="G2816"/>
  <c r="B2817"/>
  <c r="D2817"/>
  <c r="E2817"/>
  <c r="F2817"/>
  <c r="G2817"/>
  <c r="B2818"/>
  <c r="D2818"/>
  <c r="E2818"/>
  <c r="F2818"/>
  <c r="G2818"/>
  <c r="B2819"/>
  <c r="D2819"/>
  <c r="E2819"/>
  <c r="F2819"/>
  <c r="G2819"/>
  <c r="B2820"/>
  <c r="D2820"/>
  <c r="E2820"/>
  <c r="F2820"/>
  <c r="G2820"/>
  <c r="B2821"/>
  <c r="D2821"/>
  <c r="E2821"/>
  <c r="F2821"/>
  <c r="G2821"/>
  <c r="B2802"/>
  <c r="D2802"/>
  <c r="E2802"/>
  <c r="F2802"/>
  <c r="G2802"/>
  <c r="B2803"/>
  <c r="D2803"/>
  <c r="E2803"/>
  <c r="F2803"/>
  <c r="G2803"/>
  <c r="B2804"/>
  <c r="D2804"/>
  <c r="E2804"/>
  <c r="F2804"/>
  <c r="G2804"/>
  <c r="B2805"/>
  <c r="D2805"/>
  <c r="E2805"/>
  <c r="F2805"/>
  <c r="G2805"/>
  <c r="B2806"/>
  <c r="D2806"/>
  <c r="E2806"/>
  <c r="F2806"/>
  <c r="G2806"/>
  <c r="B2807"/>
  <c r="D2807"/>
  <c r="E2807"/>
  <c r="F2807"/>
  <c r="G2807"/>
  <c r="B2808"/>
  <c r="D2808"/>
  <c r="E2808"/>
  <c r="F2808"/>
  <c r="G2808"/>
  <c r="B2809"/>
  <c r="D2809"/>
  <c r="E2809"/>
  <c r="F2809"/>
  <c r="G2809"/>
  <c r="B2810"/>
  <c r="D2810"/>
  <c r="E2810"/>
  <c r="F2810"/>
  <c r="G2810"/>
  <c r="B2811"/>
  <c r="D2811"/>
  <c r="E2811"/>
  <c r="F2811"/>
  <c r="G2811"/>
  <c r="B2792"/>
  <c r="D2792"/>
  <c r="E2792"/>
  <c r="F2792"/>
  <c r="G2792"/>
  <c r="B2793"/>
  <c r="D2793"/>
  <c r="E2793"/>
  <c r="F2793"/>
  <c r="G2793"/>
  <c r="B2794"/>
  <c r="D2794"/>
  <c r="E2794"/>
  <c r="F2794"/>
  <c r="G2794"/>
  <c r="B2795"/>
  <c r="D2795"/>
  <c r="E2795"/>
  <c r="F2795"/>
  <c r="G2795"/>
  <c r="B2796"/>
  <c r="D2796"/>
  <c r="E2796"/>
  <c r="F2796"/>
  <c r="G2796"/>
  <c r="B2797"/>
  <c r="D2797"/>
  <c r="E2797"/>
  <c r="F2797"/>
  <c r="G2797"/>
  <c r="B2798"/>
  <c r="D2798"/>
  <c r="E2798"/>
  <c r="F2798"/>
  <c r="G2798"/>
  <c r="B2799"/>
  <c r="D2799"/>
  <c r="E2799"/>
  <c r="F2799"/>
  <c r="G2799"/>
  <c r="B2800"/>
  <c r="D2800"/>
  <c r="E2800"/>
  <c r="F2800"/>
  <c r="G2800"/>
  <c r="B2801"/>
  <c r="D2801"/>
  <c r="E2801"/>
  <c r="F2801"/>
  <c r="G2801"/>
  <c r="B2782"/>
  <c r="D2782"/>
  <c r="E2782"/>
  <c r="F2782"/>
  <c r="G2782"/>
  <c r="B2783"/>
  <c r="D2783"/>
  <c r="E2783"/>
  <c r="F2783"/>
  <c r="G2783"/>
  <c r="B2784"/>
  <c r="D2784"/>
  <c r="E2784"/>
  <c r="F2784"/>
  <c r="G2784"/>
  <c r="B2785"/>
  <c r="D2785"/>
  <c r="E2785"/>
  <c r="F2785"/>
  <c r="G2785"/>
  <c r="B2786"/>
  <c r="D2786"/>
  <c r="E2786"/>
  <c r="F2786"/>
  <c r="G2786"/>
  <c r="B2787"/>
  <c r="D2787"/>
  <c r="E2787"/>
  <c r="F2787"/>
  <c r="G2787"/>
  <c r="B2788"/>
  <c r="D2788"/>
  <c r="E2788"/>
  <c r="F2788"/>
  <c r="G2788"/>
  <c r="B2789"/>
  <c r="D2789"/>
  <c r="E2789"/>
  <c r="F2789"/>
  <c r="G2789"/>
  <c r="B2790"/>
  <c r="D2790"/>
  <c r="E2790"/>
  <c r="F2790"/>
  <c r="G2790"/>
  <c r="B2791"/>
  <c r="D2791"/>
  <c r="E2791"/>
  <c r="F2791"/>
  <c r="G2791"/>
  <c r="B2772"/>
  <c r="D2772"/>
  <c r="E2772"/>
  <c r="F2772"/>
  <c r="G2772"/>
  <c r="B2773"/>
  <c r="D2773"/>
  <c r="E2773"/>
  <c r="F2773"/>
  <c r="G2773"/>
  <c r="B2774"/>
  <c r="D2774"/>
  <c r="E2774"/>
  <c r="F2774"/>
  <c r="G2774"/>
  <c r="B2775"/>
  <c r="D2775"/>
  <c r="E2775"/>
  <c r="F2775"/>
  <c r="G2775"/>
  <c r="B2776"/>
  <c r="D2776"/>
  <c r="E2776"/>
  <c r="F2776"/>
  <c r="G2776"/>
  <c r="B2777"/>
  <c r="D2777"/>
  <c r="E2777"/>
  <c r="F2777"/>
  <c r="G2777"/>
  <c r="B2778"/>
  <c r="D2778"/>
  <c r="E2778"/>
  <c r="F2778"/>
  <c r="G2778"/>
  <c r="B2779"/>
  <c r="D2779"/>
  <c r="E2779"/>
  <c r="F2779"/>
  <c r="G2779"/>
  <c r="B2780"/>
  <c r="D2780"/>
  <c r="E2780"/>
  <c r="F2780"/>
  <c r="G2780"/>
  <c r="B2781"/>
  <c r="D2781"/>
  <c r="E2781"/>
  <c r="F2781"/>
  <c r="G2781"/>
  <c r="B2762"/>
  <c r="D2762"/>
  <c r="E2762"/>
  <c r="F2762"/>
  <c r="G2762"/>
  <c r="B2763"/>
  <c r="D2763"/>
  <c r="E2763"/>
  <c r="F2763"/>
  <c r="G2763"/>
  <c r="B2764"/>
  <c r="D2764"/>
  <c r="E2764"/>
  <c r="F2764"/>
  <c r="G2764"/>
  <c r="B2765"/>
  <c r="D2765"/>
  <c r="E2765"/>
  <c r="F2765"/>
  <c r="G2765"/>
  <c r="B2766"/>
  <c r="D2766"/>
  <c r="E2766"/>
  <c r="F2766"/>
  <c r="G2766"/>
  <c r="B2767"/>
  <c r="D2767"/>
  <c r="E2767"/>
  <c r="F2767"/>
  <c r="G2767"/>
  <c r="B2768"/>
  <c r="D2768"/>
  <c r="E2768"/>
  <c r="F2768"/>
  <c r="G2768"/>
  <c r="B2769"/>
  <c r="D2769"/>
  <c r="E2769"/>
  <c r="F2769"/>
  <c r="G2769"/>
  <c r="B2770"/>
  <c r="D2770"/>
  <c r="E2770"/>
  <c r="F2770"/>
  <c r="G2770"/>
  <c r="B2771"/>
  <c r="D2771"/>
  <c r="E2771"/>
  <c r="F2771"/>
  <c r="G2771"/>
  <c r="B2752"/>
  <c r="D2752"/>
  <c r="E2752"/>
  <c r="F2752"/>
  <c r="G2752"/>
  <c r="B2753"/>
  <c r="D2753"/>
  <c r="E2753"/>
  <c r="F2753"/>
  <c r="G2753"/>
  <c r="B2754"/>
  <c r="D2754"/>
  <c r="E2754"/>
  <c r="F2754"/>
  <c r="G2754"/>
  <c r="B2755"/>
  <c r="D2755"/>
  <c r="E2755"/>
  <c r="F2755"/>
  <c r="G2755"/>
  <c r="B2756"/>
  <c r="D2756"/>
  <c r="E2756"/>
  <c r="F2756"/>
  <c r="G2756"/>
  <c r="B2757"/>
  <c r="D2757"/>
  <c r="E2757"/>
  <c r="F2757"/>
  <c r="G2757"/>
  <c r="B2758"/>
  <c r="D2758"/>
  <c r="E2758"/>
  <c r="F2758"/>
  <c r="G2758"/>
  <c r="B2759"/>
  <c r="D2759"/>
  <c r="E2759"/>
  <c r="F2759"/>
  <c r="G2759"/>
  <c r="B2760"/>
  <c r="D2760"/>
  <c r="E2760"/>
  <c r="F2760"/>
  <c r="G2760"/>
  <c r="B2761"/>
  <c r="D2761"/>
  <c r="E2761"/>
  <c r="F2761"/>
  <c r="G2761"/>
  <c r="B2742"/>
  <c r="D2742"/>
  <c r="E2742"/>
  <c r="F2742"/>
  <c r="G2742"/>
  <c r="B2743"/>
  <c r="D2743"/>
  <c r="E2743"/>
  <c r="F2743"/>
  <c r="G2743"/>
  <c r="B2744"/>
  <c r="D2744"/>
  <c r="E2744"/>
  <c r="F2744"/>
  <c r="G2744"/>
  <c r="B2745"/>
  <c r="D2745"/>
  <c r="E2745"/>
  <c r="F2745"/>
  <c r="G2745"/>
  <c r="B2746"/>
  <c r="D2746"/>
  <c r="E2746"/>
  <c r="F2746"/>
  <c r="G2746"/>
  <c r="B2747"/>
  <c r="D2747"/>
  <c r="E2747"/>
  <c r="F2747"/>
  <c r="G2747"/>
  <c r="B2748"/>
  <c r="D2748"/>
  <c r="E2748"/>
  <c r="F2748"/>
  <c r="G2748"/>
  <c r="B2749"/>
  <c r="D2749"/>
  <c r="E2749"/>
  <c r="F2749"/>
  <c r="G2749"/>
  <c r="B2750"/>
  <c r="D2750"/>
  <c r="E2750"/>
  <c r="F2750"/>
  <c r="G2750"/>
  <c r="B2751"/>
  <c r="D2751"/>
  <c r="E2751"/>
  <c r="F2751"/>
  <c r="G2751"/>
  <c r="B2732"/>
  <c r="D2732"/>
  <c r="E2732"/>
  <c r="F2732"/>
  <c r="G2732"/>
  <c r="B2733"/>
  <c r="D2733"/>
  <c r="E2733"/>
  <c r="F2733"/>
  <c r="G2733"/>
  <c r="B2734"/>
  <c r="D2734"/>
  <c r="E2734"/>
  <c r="F2734"/>
  <c r="G2734"/>
  <c r="B2735"/>
  <c r="D2735"/>
  <c r="E2735"/>
  <c r="F2735"/>
  <c r="G2735"/>
  <c r="B2736"/>
  <c r="D2736"/>
  <c r="E2736"/>
  <c r="F2736"/>
  <c r="G2736"/>
  <c r="B2737"/>
  <c r="D2737"/>
  <c r="E2737"/>
  <c r="F2737"/>
  <c r="G2737"/>
  <c r="B2738"/>
  <c r="D2738"/>
  <c r="E2738"/>
  <c r="F2738"/>
  <c r="G2738"/>
  <c r="B2739"/>
  <c r="D2739"/>
  <c r="E2739"/>
  <c r="F2739"/>
  <c r="G2739"/>
  <c r="B2740"/>
  <c r="D2740"/>
  <c r="E2740"/>
  <c r="F2740"/>
  <c r="G2740"/>
  <c r="B2741"/>
  <c r="D2741"/>
  <c r="E2741"/>
  <c r="F2741"/>
  <c r="G2741"/>
  <c r="B2722"/>
  <c r="D2722"/>
  <c r="E2722"/>
  <c r="F2722"/>
  <c r="G2722"/>
  <c r="B2723"/>
  <c r="D2723"/>
  <c r="E2723"/>
  <c r="F2723"/>
  <c r="G2723"/>
  <c r="B2724"/>
  <c r="D2724"/>
  <c r="E2724"/>
  <c r="F2724"/>
  <c r="G2724"/>
  <c r="B2725"/>
  <c r="D2725"/>
  <c r="E2725"/>
  <c r="F2725"/>
  <c r="G2725"/>
  <c r="B2726"/>
  <c r="D2726"/>
  <c r="E2726"/>
  <c r="F2726"/>
  <c r="G2726"/>
  <c r="B2727"/>
  <c r="D2727"/>
  <c r="E2727"/>
  <c r="F2727"/>
  <c r="G2727"/>
  <c r="B2728"/>
  <c r="D2728"/>
  <c r="E2728"/>
  <c r="F2728"/>
  <c r="G2728"/>
  <c r="B2729"/>
  <c r="D2729"/>
  <c r="E2729"/>
  <c r="F2729"/>
  <c r="G2729"/>
  <c r="B2730"/>
  <c r="D2730"/>
  <c r="E2730"/>
  <c r="F2730"/>
  <c r="G2730"/>
  <c r="B2731"/>
  <c r="D2731"/>
  <c r="E2731"/>
  <c r="F2731"/>
  <c r="G2731"/>
  <c r="B2712"/>
  <c r="D2712"/>
  <c r="E2712"/>
  <c r="F2712"/>
  <c r="G2712"/>
  <c r="B2713"/>
  <c r="D2713"/>
  <c r="E2713"/>
  <c r="F2713"/>
  <c r="G2713"/>
  <c r="B2714"/>
  <c r="D2714"/>
  <c r="E2714"/>
  <c r="F2714"/>
  <c r="G2714"/>
  <c r="B2715"/>
  <c r="D2715"/>
  <c r="E2715"/>
  <c r="F2715"/>
  <c r="G2715"/>
  <c r="B2716"/>
  <c r="D2716"/>
  <c r="E2716"/>
  <c r="F2716"/>
  <c r="G2716"/>
  <c r="B2717"/>
  <c r="D2717"/>
  <c r="E2717"/>
  <c r="F2717"/>
  <c r="G2717"/>
  <c r="B2718"/>
  <c r="D2718"/>
  <c r="E2718"/>
  <c r="F2718"/>
  <c r="G2718"/>
  <c r="B2719"/>
  <c r="D2719"/>
  <c r="E2719"/>
  <c r="F2719"/>
  <c r="G2719"/>
  <c r="B2720"/>
  <c r="D2720"/>
  <c r="E2720"/>
  <c r="F2720"/>
  <c r="G2720"/>
  <c r="B2721"/>
  <c r="D2721"/>
  <c r="E2721"/>
  <c r="F2721"/>
  <c r="G2721"/>
  <c r="B2702"/>
  <c r="D2702"/>
  <c r="E2702"/>
  <c r="F2702"/>
  <c r="G2702"/>
  <c r="B2703"/>
  <c r="D2703"/>
  <c r="E2703"/>
  <c r="F2703"/>
  <c r="G2703"/>
  <c r="B2704"/>
  <c r="D2704"/>
  <c r="E2704"/>
  <c r="F2704"/>
  <c r="G2704"/>
  <c r="B2705"/>
  <c r="D2705"/>
  <c r="E2705"/>
  <c r="F2705"/>
  <c r="G2705"/>
  <c r="B2706"/>
  <c r="D2706"/>
  <c r="E2706"/>
  <c r="F2706"/>
  <c r="G2706"/>
  <c r="B2707"/>
  <c r="D2707"/>
  <c r="E2707"/>
  <c r="F2707"/>
  <c r="G2707"/>
  <c r="B2708"/>
  <c r="D2708"/>
  <c r="E2708"/>
  <c r="F2708"/>
  <c r="G2708"/>
  <c r="B2709"/>
  <c r="D2709"/>
  <c r="E2709"/>
  <c r="F2709"/>
  <c r="G2709"/>
  <c r="B2710"/>
  <c r="D2710"/>
  <c r="E2710"/>
  <c r="F2710"/>
  <c r="G2710"/>
  <c r="B2711"/>
  <c r="D2711"/>
  <c r="E2711"/>
  <c r="F2711"/>
  <c r="G2711"/>
  <c r="B2692"/>
  <c r="D2692"/>
  <c r="E2692"/>
  <c r="F2692"/>
  <c r="G2692"/>
  <c r="B2693"/>
  <c r="D2693"/>
  <c r="E2693"/>
  <c r="F2693"/>
  <c r="G2693"/>
  <c r="B2694"/>
  <c r="D2694"/>
  <c r="E2694"/>
  <c r="F2694"/>
  <c r="G2694"/>
  <c r="B2695"/>
  <c r="D2695"/>
  <c r="E2695"/>
  <c r="F2695"/>
  <c r="G2695"/>
  <c r="B2696"/>
  <c r="D2696"/>
  <c r="E2696"/>
  <c r="F2696"/>
  <c r="G2696"/>
  <c r="B2697"/>
  <c r="D2697"/>
  <c r="E2697"/>
  <c r="F2697"/>
  <c r="G2697"/>
  <c r="B2698"/>
  <c r="D2698"/>
  <c r="E2698"/>
  <c r="F2698"/>
  <c r="G2698"/>
  <c r="B2699"/>
  <c r="D2699"/>
  <c r="E2699"/>
  <c r="F2699"/>
  <c r="G2699"/>
  <c r="B2700"/>
  <c r="D2700"/>
  <c r="E2700"/>
  <c r="F2700"/>
  <c r="G2700"/>
  <c r="B2701"/>
  <c r="D2701"/>
  <c r="E2701"/>
  <c r="F2701"/>
  <c r="G2701"/>
  <c r="B2682"/>
  <c r="D2682"/>
  <c r="E2682"/>
  <c r="F2682"/>
  <c r="G2682"/>
  <c r="B2683"/>
  <c r="D2683"/>
  <c r="E2683"/>
  <c r="F2683"/>
  <c r="G2683"/>
  <c r="B2684"/>
  <c r="D2684"/>
  <c r="E2684"/>
  <c r="F2684"/>
  <c r="G2684"/>
  <c r="B2685"/>
  <c r="D2685"/>
  <c r="E2685"/>
  <c r="F2685"/>
  <c r="G2685"/>
  <c r="B2686"/>
  <c r="D2686"/>
  <c r="E2686"/>
  <c r="F2686"/>
  <c r="G2686"/>
  <c r="B2687"/>
  <c r="D2687"/>
  <c r="E2687"/>
  <c r="F2687"/>
  <c r="G2687"/>
  <c r="B2688"/>
  <c r="D2688"/>
  <c r="E2688"/>
  <c r="F2688"/>
  <c r="G2688"/>
  <c r="B2689"/>
  <c r="D2689"/>
  <c r="E2689"/>
  <c r="F2689"/>
  <c r="G2689"/>
  <c r="B2690"/>
  <c r="D2690"/>
  <c r="E2690"/>
  <c r="F2690"/>
  <c r="G2690"/>
  <c r="B2691"/>
  <c r="D2691"/>
  <c r="E2691"/>
  <c r="F2691"/>
  <c r="G2691"/>
  <c r="B2672"/>
  <c r="D2672"/>
  <c r="E2672"/>
  <c r="F2672"/>
  <c r="G2672"/>
  <c r="B2673"/>
  <c r="D2673"/>
  <c r="E2673"/>
  <c r="F2673"/>
  <c r="G2673"/>
  <c r="B2674"/>
  <c r="D2674"/>
  <c r="E2674"/>
  <c r="F2674"/>
  <c r="G2674"/>
  <c r="B2675"/>
  <c r="D2675"/>
  <c r="E2675"/>
  <c r="F2675"/>
  <c r="G2675"/>
  <c r="B2676"/>
  <c r="D2676"/>
  <c r="E2676"/>
  <c r="G2676"/>
  <c r="B2677"/>
  <c r="D2677"/>
  <c r="E2677"/>
  <c r="F2677"/>
  <c r="G2677"/>
  <c r="B2678"/>
  <c r="D2678"/>
  <c r="E2678"/>
  <c r="F2678"/>
  <c r="G2678"/>
  <c r="B2679"/>
  <c r="D2679"/>
  <c r="E2679"/>
  <c r="G2679"/>
  <c r="B2680"/>
  <c r="D2680"/>
  <c r="E2680"/>
  <c r="G2680"/>
  <c r="B2681"/>
  <c r="D2681"/>
  <c r="E2681"/>
  <c r="F2681"/>
  <c r="G2681"/>
  <c r="B2662"/>
  <c r="D2662"/>
  <c r="E2662"/>
  <c r="F2662"/>
  <c r="G2662"/>
  <c r="B2663"/>
  <c r="D2663"/>
  <c r="E2663"/>
  <c r="G2663"/>
  <c r="B2664"/>
  <c r="D2664"/>
  <c r="E2664"/>
  <c r="G2664"/>
  <c r="B2665"/>
  <c r="D2665"/>
  <c r="E2665"/>
  <c r="G2665"/>
  <c r="B2666"/>
  <c r="D2666"/>
  <c r="E2666"/>
  <c r="F2666"/>
  <c r="G2666"/>
  <c r="B2667"/>
  <c r="D2667"/>
  <c r="E2667"/>
  <c r="F2667"/>
  <c r="G2667"/>
  <c r="B2668"/>
  <c r="D2668"/>
  <c r="E2668"/>
  <c r="F2668"/>
  <c r="G2668"/>
  <c r="B2669"/>
  <c r="D2669"/>
  <c r="E2669"/>
  <c r="F2669"/>
  <c r="G2669"/>
  <c r="B2670"/>
  <c r="D2670"/>
  <c r="E2670"/>
  <c r="F2670"/>
  <c r="G2670"/>
  <c r="B2671"/>
  <c r="D2671"/>
  <c r="E2671"/>
  <c r="F2671"/>
  <c r="G2671"/>
  <c r="B2652"/>
  <c r="D2652"/>
  <c r="E2652"/>
  <c r="G2652"/>
  <c r="B2653"/>
  <c r="D2653"/>
  <c r="E2653"/>
  <c r="F2653"/>
  <c r="G2653"/>
  <c r="B2654"/>
  <c r="D2654"/>
  <c r="E2654"/>
  <c r="F2654"/>
  <c r="G2654"/>
  <c r="B2655"/>
  <c r="D2655"/>
  <c r="E2655"/>
  <c r="F2655"/>
  <c r="G2655"/>
  <c r="B2656"/>
  <c r="D2656"/>
  <c r="E2656"/>
  <c r="F2656"/>
  <c r="G2656"/>
  <c r="B2657"/>
  <c r="D2657"/>
  <c r="E2657"/>
  <c r="F2657"/>
  <c r="G2657"/>
  <c r="B2658"/>
  <c r="D2658"/>
  <c r="E2658"/>
  <c r="F2658"/>
  <c r="G2658"/>
  <c r="B2659"/>
  <c r="D2659"/>
  <c r="E2659"/>
  <c r="F2659"/>
  <c r="G2659"/>
  <c r="B2660"/>
  <c r="D2660"/>
  <c r="E2660"/>
  <c r="F2660"/>
  <c r="G2660"/>
  <c r="B2661"/>
  <c r="D2661"/>
  <c r="E2661"/>
  <c r="F2661"/>
  <c r="G2661"/>
  <c r="B2642"/>
  <c r="D2642"/>
  <c r="E2642"/>
  <c r="F2642"/>
  <c r="G2642"/>
  <c r="B2643"/>
  <c r="D2643"/>
  <c r="E2643"/>
  <c r="F2643"/>
  <c r="G2643"/>
  <c r="B2644"/>
  <c r="D2644"/>
  <c r="E2644"/>
  <c r="F2644"/>
  <c r="G2644"/>
  <c r="B2645"/>
  <c r="D2645"/>
  <c r="E2645"/>
  <c r="F2645"/>
  <c r="G2645"/>
  <c r="B2646"/>
  <c r="D2646"/>
  <c r="E2646"/>
  <c r="F2646"/>
  <c r="G2646"/>
  <c r="B2647"/>
  <c r="D2647"/>
  <c r="E2647"/>
  <c r="G2647"/>
  <c r="B2648"/>
  <c r="D2648"/>
  <c r="E2648"/>
  <c r="F2648"/>
  <c r="G2648"/>
  <c r="B2649"/>
  <c r="D2649"/>
  <c r="E2649"/>
  <c r="F2649"/>
  <c r="G2649"/>
  <c r="B2650"/>
  <c r="D2650"/>
  <c r="E2650"/>
  <c r="G2650"/>
  <c r="B2651"/>
  <c r="D2651"/>
  <c r="E2651"/>
  <c r="G2651"/>
  <c r="B2632"/>
  <c r="D2632"/>
  <c r="E2632"/>
  <c r="F2632"/>
  <c r="G2632"/>
  <c r="B2633"/>
  <c r="D2633"/>
  <c r="E2633"/>
  <c r="F2633"/>
  <c r="G2633"/>
  <c r="B2634"/>
  <c r="D2634"/>
  <c r="E2634"/>
  <c r="F2634"/>
  <c r="G2634"/>
  <c r="B2635"/>
  <c r="D2635"/>
  <c r="E2635"/>
  <c r="F2635"/>
  <c r="G2635"/>
  <c r="B2636"/>
  <c r="D2636"/>
  <c r="E2636"/>
  <c r="F2636"/>
  <c r="G2636"/>
  <c r="B2637"/>
  <c r="D2637"/>
  <c r="E2637"/>
  <c r="F2637"/>
  <c r="G2637"/>
  <c r="B2638"/>
  <c r="D2638"/>
  <c r="E2638"/>
  <c r="F2638"/>
  <c r="G2638"/>
  <c r="B2639"/>
  <c r="D2639"/>
  <c r="E2639"/>
  <c r="F2639"/>
  <c r="G2639"/>
  <c r="B2640"/>
  <c r="D2640"/>
  <c r="E2640"/>
  <c r="F2640"/>
  <c r="G2640"/>
  <c r="B2641"/>
  <c r="D2641"/>
  <c r="E2641"/>
  <c r="F2641"/>
  <c r="G2641"/>
  <c r="B2622"/>
  <c r="D2622"/>
  <c r="E2622"/>
  <c r="F2622"/>
  <c r="G2622"/>
  <c r="B2623"/>
  <c r="D2623"/>
  <c r="E2623"/>
  <c r="F2623"/>
  <c r="G2623"/>
  <c r="B2624"/>
  <c r="D2624"/>
  <c r="E2624"/>
  <c r="F2624"/>
  <c r="G2624"/>
  <c r="B2625"/>
  <c r="D2625"/>
  <c r="E2625"/>
  <c r="F2625"/>
  <c r="G2625"/>
  <c r="B2626"/>
  <c r="D2626"/>
  <c r="E2626"/>
  <c r="F2626"/>
  <c r="G2626"/>
  <c r="B2627"/>
  <c r="D2627"/>
  <c r="E2627"/>
  <c r="F2627"/>
  <c r="G2627"/>
  <c r="B2628"/>
  <c r="D2628"/>
  <c r="E2628"/>
  <c r="F2628"/>
  <c r="G2628"/>
  <c r="B2629"/>
  <c r="D2629"/>
  <c r="E2629"/>
  <c r="F2629"/>
  <c r="G2629"/>
  <c r="B2630"/>
  <c r="D2630"/>
  <c r="E2630"/>
  <c r="F2630"/>
  <c r="G2630"/>
  <c r="B2631"/>
  <c r="D2631"/>
  <c r="E2631"/>
  <c r="F2631"/>
  <c r="G2631"/>
  <c r="B2612"/>
  <c r="D2612"/>
  <c r="E2612"/>
  <c r="F2612"/>
  <c r="G2612"/>
  <c r="B2613"/>
  <c r="D2613"/>
  <c r="E2613"/>
  <c r="F2613"/>
  <c r="G2613"/>
  <c r="B2614"/>
  <c r="D2614"/>
  <c r="E2614"/>
  <c r="F2614"/>
  <c r="G2614"/>
  <c r="B2615"/>
  <c r="D2615"/>
  <c r="E2615"/>
  <c r="F2615"/>
  <c r="G2615"/>
  <c r="B2616"/>
  <c r="D2616"/>
  <c r="E2616"/>
  <c r="F2616"/>
  <c r="G2616"/>
  <c r="B2617"/>
  <c r="D2617"/>
  <c r="E2617"/>
  <c r="F2617"/>
  <c r="G2617"/>
  <c r="B2618"/>
  <c r="D2618"/>
  <c r="E2618"/>
  <c r="F2618"/>
  <c r="G2618"/>
  <c r="B2619"/>
  <c r="D2619"/>
  <c r="E2619"/>
  <c r="F2619"/>
  <c r="G2619"/>
  <c r="B2620"/>
  <c r="D2620"/>
  <c r="E2620"/>
  <c r="F2620"/>
  <c r="G2620"/>
  <c r="B2621"/>
  <c r="D2621"/>
  <c r="E2621"/>
  <c r="F2621"/>
  <c r="G2621"/>
  <c r="B2602"/>
  <c r="D2602"/>
  <c r="E2602"/>
  <c r="F2602"/>
  <c r="G2602"/>
  <c r="B2603"/>
  <c r="D2603"/>
  <c r="E2603"/>
  <c r="F2603"/>
  <c r="G2603"/>
  <c r="B2604"/>
  <c r="D2604"/>
  <c r="E2604"/>
  <c r="F2604"/>
  <c r="G2604"/>
  <c r="B2605"/>
  <c r="D2605"/>
  <c r="E2605"/>
  <c r="F2605"/>
  <c r="G2605"/>
  <c r="B2606"/>
  <c r="D2606"/>
  <c r="E2606"/>
  <c r="F2606"/>
  <c r="G2606"/>
  <c r="B2607"/>
  <c r="D2607"/>
  <c r="E2607"/>
  <c r="F2607"/>
  <c r="G2607"/>
  <c r="B2608"/>
  <c r="D2608"/>
  <c r="E2608"/>
  <c r="F2608"/>
  <c r="G2608"/>
  <c r="B2609"/>
  <c r="D2609"/>
  <c r="E2609"/>
  <c r="F2609"/>
  <c r="G2609"/>
  <c r="B2610"/>
  <c r="D2610"/>
  <c r="E2610"/>
  <c r="F2610"/>
  <c r="G2610"/>
  <c r="B2611"/>
  <c r="D2611"/>
  <c r="E2611"/>
  <c r="F2611"/>
  <c r="G2611"/>
  <c r="B2592"/>
  <c r="D2592"/>
  <c r="E2592"/>
  <c r="F2592"/>
  <c r="G2592"/>
  <c r="B2593"/>
  <c r="D2593"/>
  <c r="E2593"/>
  <c r="G2593"/>
  <c r="B2594"/>
  <c r="D2594"/>
  <c r="E2594"/>
  <c r="G2594"/>
  <c r="B2595"/>
  <c r="D2595"/>
  <c r="E2595"/>
  <c r="F2595"/>
  <c r="G2595"/>
  <c r="B2596"/>
  <c r="D2596"/>
  <c r="E2596"/>
  <c r="G2596"/>
  <c r="B2597"/>
  <c r="D2597"/>
  <c r="E2597"/>
  <c r="F2597"/>
  <c r="G2597"/>
  <c r="B2598"/>
  <c r="D2598"/>
  <c r="E2598"/>
  <c r="F2598"/>
  <c r="G2598"/>
  <c r="B2599"/>
  <c r="D2599"/>
  <c r="E2599"/>
  <c r="F2599"/>
  <c r="G2599"/>
  <c r="B2600"/>
  <c r="D2600"/>
  <c r="E2600"/>
  <c r="F2600"/>
  <c r="G2600"/>
  <c r="B2601"/>
  <c r="D2601"/>
  <c r="E2601"/>
  <c r="F2601"/>
  <c r="G2601"/>
  <c r="B2582"/>
  <c r="D2582"/>
  <c r="E2582"/>
  <c r="F2582"/>
  <c r="G2582"/>
  <c r="B2583"/>
  <c r="D2583"/>
  <c r="E2583"/>
  <c r="F2583"/>
  <c r="G2583"/>
  <c r="B2584"/>
  <c r="D2584"/>
  <c r="E2584"/>
  <c r="F2584"/>
  <c r="G2584"/>
  <c r="B2585"/>
  <c r="D2585"/>
  <c r="E2585"/>
  <c r="F2585"/>
  <c r="G2585"/>
  <c r="B2586"/>
  <c r="D2586"/>
  <c r="E2586"/>
  <c r="F2586"/>
  <c r="G2586"/>
  <c r="B2587"/>
  <c r="D2587"/>
  <c r="E2587"/>
  <c r="F2587"/>
  <c r="G2587"/>
  <c r="B2588"/>
  <c r="D2588"/>
  <c r="E2588"/>
  <c r="G2588"/>
  <c r="B2589"/>
  <c r="D2589"/>
  <c r="E2589"/>
  <c r="F2589"/>
  <c r="G2589"/>
  <c r="B2590"/>
  <c r="D2590"/>
  <c r="E2590"/>
  <c r="F2590"/>
  <c r="G2590"/>
  <c r="B2591"/>
  <c r="D2591"/>
  <c r="E2591"/>
  <c r="F2591"/>
  <c r="G2591"/>
  <c r="B2572"/>
  <c r="D2572"/>
  <c r="E2572"/>
  <c r="F2572"/>
  <c r="G2572"/>
  <c r="B2573"/>
  <c r="D2573"/>
  <c r="E2573"/>
  <c r="F2573"/>
  <c r="G2573"/>
  <c r="B2574"/>
  <c r="D2574"/>
  <c r="E2574"/>
  <c r="F2574"/>
  <c r="G2574"/>
  <c r="B2575"/>
  <c r="D2575"/>
  <c r="E2575"/>
  <c r="F2575"/>
  <c r="G2575"/>
  <c r="B2576"/>
  <c r="D2576"/>
  <c r="E2576"/>
  <c r="F2576"/>
  <c r="G2576"/>
  <c r="B2577"/>
  <c r="D2577"/>
  <c r="E2577"/>
  <c r="G2577"/>
  <c r="B2578"/>
  <c r="D2578"/>
  <c r="E2578"/>
  <c r="F2578"/>
  <c r="G2578"/>
  <c r="B2579"/>
  <c r="D2579"/>
  <c r="E2579"/>
  <c r="F2579"/>
  <c r="G2579"/>
  <c r="B2580"/>
  <c r="D2580"/>
  <c r="E2580"/>
  <c r="F2580"/>
  <c r="G2580"/>
  <c r="B2581"/>
  <c r="D2581"/>
  <c r="E2581"/>
  <c r="G2581"/>
  <c r="B2562"/>
  <c r="D2562"/>
  <c r="E2562"/>
  <c r="F2562"/>
  <c r="G2562"/>
  <c r="B2563"/>
  <c r="D2563"/>
  <c r="E2563"/>
  <c r="F2563"/>
  <c r="G2563"/>
  <c r="B2564"/>
  <c r="D2564"/>
  <c r="E2564"/>
  <c r="F2564"/>
  <c r="G2564"/>
  <c r="B2565"/>
  <c r="D2565"/>
  <c r="E2565"/>
  <c r="F2565"/>
  <c r="G2565"/>
  <c r="B2566"/>
  <c r="D2566"/>
  <c r="E2566"/>
  <c r="F2566"/>
  <c r="G2566"/>
  <c r="B2567"/>
  <c r="D2567"/>
  <c r="E2567"/>
  <c r="F2567"/>
  <c r="G2567"/>
  <c r="B2568"/>
  <c r="D2568"/>
  <c r="E2568"/>
  <c r="F2568"/>
  <c r="G2568"/>
  <c r="B2569"/>
  <c r="D2569"/>
  <c r="E2569"/>
  <c r="F2569"/>
  <c r="G2569"/>
  <c r="B2570"/>
  <c r="D2570"/>
  <c r="E2570"/>
  <c r="F2570"/>
  <c r="G2570"/>
  <c r="B2571"/>
  <c r="D2571"/>
  <c r="E2571"/>
  <c r="F2571"/>
  <c r="G2571"/>
  <c r="B2552"/>
  <c r="D2552"/>
  <c r="E2552"/>
  <c r="F2552"/>
  <c r="G2552"/>
  <c r="B2553"/>
  <c r="D2553"/>
  <c r="E2553"/>
  <c r="F2553"/>
  <c r="G2553"/>
  <c r="B2554"/>
  <c r="D2554"/>
  <c r="E2554"/>
  <c r="F2554"/>
  <c r="G2554"/>
  <c r="B2555"/>
  <c r="D2555"/>
  <c r="E2555"/>
  <c r="F2555"/>
  <c r="G2555"/>
  <c r="B2556"/>
  <c r="D2556"/>
  <c r="E2556"/>
  <c r="F2556"/>
  <c r="G2556"/>
  <c r="B2557"/>
  <c r="D2557"/>
  <c r="E2557"/>
  <c r="F2557"/>
  <c r="G2557"/>
  <c r="B2558"/>
  <c r="D2558"/>
  <c r="E2558"/>
  <c r="F2558"/>
  <c r="G2558"/>
  <c r="B2559"/>
  <c r="D2559"/>
  <c r="E2559"/>
  <c r="F2559"/>
  <c r="G2559"/>
  <c r="B2560"/>
  <c r="D2560"/>
  <c r="E2560"/>
  <c r="F2560"/>
  <c r="G2560"/>
  <c r="B2561"/>
  <c r="D2561"/>
  <c r="E2561"/>
  <c r="F2561"/>
  <c r="G2561"/>
  <c r="B2542"/>
  <c r="D2542"/>
  <c r="E2542"/>
  <c r="F2542"/>
  <c r="G2542"/>
  <c r="B2543"/>
  <c r="D2543"/>
  <c r="E2543"/>
  <c r="F2543"/>
  <c r="G2543"/>
  <c r="B2544"/>
  <c r="D2544"/>
  <c r="E2544"/>
  <c r="F2544"/>
  <c r="G2544"/>
  <c r="B2545"/>
  <c r="D2545"/>
  <c r="E2545"/>
  <c r="F2545"/>
  <c r="G2545"/>
  <c r="B2546"/>
  <c r="D2546"/>
  <c r="E2546"/>
  <c r="F2546"/>
  <c r="G2546"/>
  <c r="B2547"/>
  <c r="D2547"/>
  <c r="E2547"/>
  <c r="F2547"/>
  <c r="G2547"/>
  <c r="B2548"/>
  <c r="D2548"/>
  <c r="E2548"/>
  <c r="F2548"/>
  <c r="G2548"/>
  <c r="B2549"/>
  <c r="D2549"/>
  <c r="E2549"/>
  <c r="F2549"/>
  <c r="G2549"/>
  <c r="B2550"/>
  <c r="D2550"/>
  <c r="E2550"/>
  <c r="F2550"/>
  <c r="G2550"/>
  <c r="B2551"/>
  <c r="D2551"/>
  <c r="E2551"/>
  <c r="F2551"/>
  <c r="G2551"/>
  <c r="B2532"/>
  <c r="D2532"/>
  <c r="E2532"/>
  <c r="G2532"/>
  <c r="B2533"/>
  <c r="D2533"/>
  <c r="E2533"/>
  <c r="F2533"/>
  <c r="G2533"/>
  <c r="B2534"/>
  <c r="D2534"/>
  <c r="E2534"/>
  <c r="F2534"/>
  <c r="G2534"/>
  <c r="B2535"/>
  <c r="D2535"/>
  <c r="E2535"/>
  <c r="F2535"/>
  <c r="G2535"/>
  <c r="B2536"/>
  <c r="D2536"/>
  <c r="E2536"/>
  <c r="F2536"/>
  <c r="G2536"/>
  <c r="B2537"/>
  <c r="D2537"/>
  <c r="E2537"/>
  <c r="F2537"/>
  <c r="G2537"/>
  <c r="B2538"/>
  <c r="D2538"/>
  <c r="E2538"/>
  <c r="F2538"/>
  <c r="G2538"/>
  <c r="B2539"/>
  <c r="D2539"/>
  <c r="E2539"/>
  <c r="F2539"/>
  <c r="G2539"/>
  <c r="B2540"/>
  <c r="D2540"/>
  <c r="E2540"/>
  <c r="F2540"/>
  <c r="G2540"/>
  <c r="B2541"/>
  <c r="D2541"/>
  <c r="E2541"/>
  <c r="F2541"/>
  <c r="G2541"/>
  <c r="B2522"/>
  <c r="D2522"/>
  <c r="E2522"/>
  <c r="F2522"/>
  <c r="G2522"/>
  <c r="B2523"/>
  <c r="D2523"/>
  <c r="E2523"/>
  <c r="F2523"/>
  <c r="G2523"/>
  <c r="B2524"/>
  <c r="D2524"/>
  <c r="E2524"/>
  <c r="F2524"/>
  <c r="G2524"/>
  <c r="B2525"/>
  <c r="D2525"/>
  <c r="E2525"/>
  <c r="F2525"/>
  <c r="G2525"/>
  <c r="B2526"/>
  <c r="D2526"/>
  <c r="E2526"/>
  <c r="G2526"/>
  <c r="B2527"/>
  <c r="D2527"/>
  <c r="E2527"/>
  <c r="F2527"/>
  <c r="G2527"/>
  <c r="B2528"/>
  <c r="D2528"/>
  <c r="E2528"/>
  <c r="F2528"/>
  <c r="G2528"/>
  <c r="B2529"/>
  <c r="D2529"/>
  <c r="E2529"/>
  <c r="F2529"/>
  <c r="G2529"/>
  <c r="B2530"/>
  <c r="D2530"/>
  <c r="E2530"/>
  <c r="G2530"/>
  <c r="B2531"/>
  <c r="D2531"/>
  <c r="E2531"/>
  <c r="F2531"/>
  <c r="G2531"/>
  <c r="B2512"/>
  <c r="D2512"/>
  <c r="E2512"/>
  <c r="F2512"/>
  <c r="G2512"/>
  <c r="B2513"/>
  <c r="D2513"/>
  <c r="E2513"/>
  <c r="F2513"/>
  <c r="G2513"/>
  <c r="B2514"/>
  <c r="D2514"/>
  <c r="E2514"/>
  <c r="F2514"/>
  <c r="G2514"/>
  <c r="B2515"/>
  <c r="D2515"/>
  <c r="E2515"/>
  <c r="F2515"/>
  <c r="G2515"/>
  <c r="B2516"/>
  <c r="D2516"/>
  <c r="E2516"/>
  <c r="F2516"/>
  <c r="G2516"/>
  <c r="B2517"/>
  <c r="D2517"/>
  <c r="E2517"/>
  <c r="F2517"/>
  <c r="G2517"/>
  <c r="B2518"/>
  <c r="D2518"/>
  <c r="E2518"/>
  <c r="F2518"/>
  <c r="G2518"/>
  <c r="B2519"/>
  <c r="D2519"/>
  <c r="E2519"/>
  <c r="F2519"/>
  <c r="G2519"/>
  <c r="B2520"/>
  <c r="D2520"/>
  <c r="E2520"/>
  <c r="F2520"/>
  <c r="G2520"/>
  <c r="B2521"/>
  <c r="D2521"/>
  <c r="E2521"/>
  <c r="F2521"/>
  <c r="G2521"/>
  <c r="B2502"/>
  <c r="D2502"/>
  <c r="E2502"/>
  <c r="F2502"/>
  <c r="G2502"/>
  <c r="B2503"/>
  <c r="D2503"/>
  <c r="E2503"/>
  <c r="F2503"/>
  <c r="G2503"/>
  <c r="B2504"/>
  <c r="D2504"/>
  <c r="E2504"/>
  <c r="F2504"/>
  <c r="G2504"/>
  <c r="B2505"/>
  <c r="D2505"/>
  <c r="E2505"/>
  <c r="F2505"/>
  <c r="G2505"/>
  <c r="B2506"/>
  <c r="D2506"/>
  <c r="E2506"/>
  <c r="F2506"/>
  <c r="G2506"/>
  <c r="B2507"/>
  <c r="D2507"/>
  <c r="E2507"/>
  <c r="F2507"/>
  <c r="G2507"/>
  <c r="B2508"/>
  <c r="D2508"/>
  <c r="E2508"/>
  <c r="F2508"/>
  <c r="G2508"/>
  <c r="B2509"/>
  <c r="D2509"/>
  <c r="E2509"/>
  <c r="F2509"/>
  <c r="G2509"/>
  <c r="B2510"/>
  <c r="D2510"/>
  <c r="E2510"/>
  <c r="F2510"/>
  <c r="G2510"/>
  <c r="B2511"/>
  <c r="D2511"/>
  <c r="E2511"/>
  <c r="F2511"/>
  <c r="G2511"/>
  <c r="B2492"/>
  <c r="D2492"/>
  <c r="E2492"/>
  <c r="F2492"/>
  <c r="G2492"/>
  <c r="B2493"/>
  <c r="D2493"/>
  <c r="E2493"/>
  <c r="F2493"/>
  <c r="G2493"/>
  <c r="B2494"/>
  <c r="D2494"/>
  <c r="E2494"/>
  <c r="F2494"/>
  <c r="G2494"/>
  <c r="B2495"/>
  <c r="D2495"/>
  <c r="E2495"/>
  <c r="F2495"/>
  <c r="G2495"/>
  <c r="B2496"/>
  <c r="D2496"/>
  <c r="E2496"/>
  <c r="F2496"/>
  <c r="G2496"/>
  <c r="B2497"/>
  <c r="D2497"/>
  <c r="E2497"/>
  <c r="F2497"/>
  <c r="G2497"/>
  <c r="B2498"/>
  <c r="D2498"/>
  <c r="E2498"/>
  <c r="F2498"/>
  <c r="G2498"/>
  <c r="B2499"/>
  <c r="D2499"/>
  <c r="E2499"/>
  <c r="F2499"/>
  <c r="G2499"/>
  <c r="B2500"/>
  <c r="D2500"/>
  <c r="E2500"/>
  <c r="F2500"/>
  <c r="G2500"/>
  <c r="B2501"/>
  <c r="D2501"/>
  <c r="E2501"/>
  <c r="F2501"/>
  <c r="G2501"/>
  <c r="B2482"/>
  <c r="D2482"/>
  <c r="E2482"/>
  <c r="F2482"/>
  <c r="G2482"/>
  <c r="B2483"/>
  <c r="D2483"/>
  <c r="E2483"/>
  <c r="F2483"/>
  <c r="G2483"/>
  <c r="B2484"/>
  <c r="D2484"/>
  <c r="E2484"/>
  <c r="F2484"/>
  <c r="G2484"/>
  <c r="B2485"/>
  <c r="D2485"/>
  <c r="E2485"/>
  <c r="F2485"/>
  <c r="G2485"/>
  <c r="B2486"/>
  <c r="D2486"/>
  <c r="E2486"/>
  <c r="F2486"/>
  <c r="G2486"/>
  <c r="B2487"/>
  <c r="D2487"/>
  <c r="E2487"/>
  <c r="F2487"/>
  <c r="G2487"/>
  <c r="B2488"/>
  <c r="D2488"/>
  <c r="E2488"/>
  <c r="F2488"/>
  <c r="G2488"/>
  <c r="B2489"/>
  <c r="D2489"/>
  <c r="E2489"/>
  <c r="F2489"/>
  <c r="G2489"/>
  <c r="B2490"/>
  <c r="D2490"/>
  <c r="E2490"/>
  <c r="F2490"/>
  <c r="G2490"/>
  <c r="B2491"/>
  <c r="D2491"/>
  <c r="E2491"/>
  <c r="F2491"/>
  <c r="G2491"/>
  <c r="B2472"/>
  <c r="D2472"/>
  <c r="E2472"/>
  <c r="F2472"/>
  <c r="G2472"/>
  <c r="B2473"/>
  <c r="D2473"/>
  <c r="E2473"/>
  <c r="F2473"/>
  <c r="G2473"/>
  <c r="B2474"/>
  <c r="D2474"/>
  <c r="E2474"/>
  <c r="F2474"/>
  <c r="G2474"/>
  <c r="B2475"/>
  <c r="D2475"/>
  <c r="E2475"/>
  <c r="F2475"/>
  <c r="G2475"/>
  <c r="B2476"/>
  <c r="D2476"/>
  <c r="E2476"/>
  <c r="F2476"/>
  <c r="G2476"/>
  <c r="B2477"/>
  <c r="D2477"/>
  <c r="E2477"/>
  <c r="F2477"/>
  <c r="G2477"/>
  <c r="B2478"/>
  <c r="D2478"/>
  <c r="E2478"/>
  <c r="F2478"/>
  <c r="G2478"/>
  <c r="B2479"/>
  <c r="D2479"/>
  <c r="E2479"/>
  <c r="F2479"/>
  <c r="G2479"/>
  <c r="B2480"/>
  <c r="D2480"/>
  <c r="E2480"/>
  <c r="F2480"/>
  <c r="G2480"/>
  <c r="B2481"/>
  <c r="D2481"/>
  <c r="E2481"/>
  <c r="F2481"/>
  <c r="G2481"/>
  <c r="B2462"/>
  <c r="D2462"/>
  <c r="E2462"/>
  <c r="F2462"/>
  <c r="G2462"/>
  <c r="B2463"/>
  <c r="D2463"/>
  <c r="E2463"/>
  <c r="F2463"/>
  <c r="G2463"/>
  <c r="B2464"/>
  <c r="D2464"/>
  <c r="E2464"/>
  <c r="F2464"/>
  <c r="G2464"/>
  <c r="B2465"/>
  <c r="D2465"/>
  <c r="E2465"/>
  <c r="F2465"/>
  <c r="G2465"/>
  <c r="B2466"/>
  <c r="D2466"/>
  <c r="E2466"/>
  <c r="F2466"/>
  <c r="G2466"/>
  <c r="B2467"/>
  <c r="D2467"/>
  <c r="E2467"/>
  <c r="F2467"/>
  <c r="G2467"/>
  <c r="B2468"/>
  <c r="D2468"/>
  <c r="E2468"/>
  <c r="F2468"/>
  <c r="G2468"/>
  <c r="B2469"/>
  <c r="D2469"/>
  <c r="E2469"/>
  <c r="F2469"/>
  <c r="G2469"/>
  <c r="B2470"/>
  <c r="D2470"/>
  <c r="E2470"/>
  <c r="F2470"/>
  <c r="G2470"/>
  <c r="B2471"/>
  <c r="D2471"/>
  <c r="E2471"/>
  <c r="F2471"/>
  <c r="G2471"/>
  <c r="B2452"/>
  <c r="D2452"/>
  <c r="E2452"/>
  <c r="F2452"/>
  <c r="G2452"/>
  <c r="B2453"/>
  <c r="D2453"/>
  <c r="E2453"/>
  <c r="F2453"/>
  <c r="G2453"/>
  <c r="B2454"/>
  <c r="D2454"/>
  <c r="E2454"/>
  <c r="F2454"/>
  <c r="G2454"/>
  <c r="B2455"/>
  <c r="D2455"/>
  <c r="E2455"/>
  <c r="F2455"/>
  <c r="G2455"/>
  <c r="B2456"/>
  <c r="D2456"/>
  <c r="E2456"/>
  <c r="F2456"/>
  <c r="G2456"/>
  <c r="B2457"/>
  <c r="D2457"/>
  <c r="E2457"/>
  <c r="F2457"/>
  <c r="G2457"/>
  <c r="B2458"/>
  <c r="D2458"/>
  <c r="E2458"/>
  <c r="F2458"/>
  <c r="G2458"/>
  <c r="B2459"/>
  <c r="D2459"/>
  <c r="E2459"/>
  <c r="F2459"/>
  <c r="G2459"/>
  <c r="B2460"/>
  <c r="D2460"/>
  <c r="E2460"/>
  <c r="F2460"/>
  <c r="G2460"/>
  <c r="B2461"/>
  <c r="D2461"/>
  <c r="E2461"/>
  <c r="F2461"/>
  <c r="G2461"/>
  <c r="B2442"/>
  <c r="D2442"/>
  <c r="E2442"/>
  <c r="F2442"/>
  <c r="G2442"/>
  <c r="B2443"/>
  <c r="D2443"/>
  <c r="E2443"/>
  <c r="F2443"/>
  <c r="G2443"/>
  <c r="B2444"/>
  <c r="D2444"/>
  <c r="E2444"/>
  <c r="F2444"/>
  <c r="G2444"/>
  <c r="B2445"/>
  <c r="D2445"/>
  <c r="E2445"/>
  <c r="F2445"/>
  <c r="G2445"/>
  <c r="B2446"/>
  <c r="D2446"/>
  <c r="E2446"/>
  <c r="F2446"/>
  <c r="G2446"/>
  <c r="B2447"/>
  <c r="D2447"/>
  <c r="E2447"/>
  <c r="F2447"/>
  <c r="G2447"/>
  <c r="B2448"/>
  <c r="D2448"/>
  <c r="E2448"/>
  <c r="F2448"/>
  <c r="G2448"/>
  <c r="B2449"/>
  <c r="D2449"/>
  <c r="E2449"/>
  <c r="F2449"/>
  <c r="G2449"/>
  <c r="B2450"/>
  <c r="D2450"/>
  <c r="E2450"/>
  <c r="F2450"/>
  <c r="G2450"/>
  <c r="B2451"/>
  <c r="D2451"/>
  <c r="E2451"/>
  <c r="F2451"/>
  <c r="G2451"/>
  <c r="B2432"/>
  <c r="D2432"/>
  <c r="E2432"/>
  <c r="F2432"/>
  <c r="G2432"/>
  <c r="B2433"/>
  <c r="D2433"/>
  <c r="E2433"/>
  <c r="F2433"/>
  <c r="G2433"/>
  <c r="B2434"/>
  <c r="D2434"/>
  <c r="E2434"/>
  <c r="G2434"/>
  <c r="B2435"/>
  <c r="D2435"/>
  <c r="E2435"/>
  <c r="F2435"/>
  <c r="G2435"/>
  <c r="B2436"/>
  <c r="D2436"/>
  <c r="E2436"/>
  <c r="F2436"/>
  <c r="G2436"/>
  <c r="B2437"/>
  <c r="D2437"/>
  <c r="E2437"/>
  <c r="F2437"/>
  <c r="G2437"/>
  <c r="B2438"/>
  <c r="D2438"/>
  <c r="E2438"/>
  <c r="F2438"/>
  <c r="G2438"/>
  <c r="B2439"/>
  <c r="D2439"/>
  <c r="E2439"/>
  <c r="F2439"/>
  <c r="G2439"/>
  <c r="B2440"/>
  <c r="D2440"/>
  <c r="E2440"/>
  <c r="F2440"/>
  <c r="G2440"/>
  <c r="B2441"/>
  <c r="D2441"/>
  <c r="E2441"/>
  <c r="F2441"/>
  <c r="G2441"/>
  <c r="B2422"/>
  <c r="D2422"/>
  <c r="E2422"/>
  <c r="F2422"/>
  <c r="G2422"/>
  <c r="B2423"/>
  <c r="D2423"/>
  <c r="E2423"/>
  <c r="F2423"/>
  <c r="G2423"/>
  <c r="B2424"/>
  <c r="D2424"/>
  <c r="E2424"/>
  <c r="F2424"/>
  <c r="G2424"/>
  <c r="B2425"/>
  <c r="D2425"/>
  <c r="E2425"/>
  <c r="F2425"/>
  <c r="G2425"/>
  <c r="B2426"/>
  <c r="D2426"/>
  <c r="E2426"/>
  <c r="F2426"/>
  <c r="G2426"/>
  <c r="B2427"/>
  <c r="D2427"/>
  <c r="E2427"/>
  <c r="F2427"/>
  <c r="G2427"/>
  <c r="B2428"/>
  <c r="D2428"/>
  <c r="E2428"/>
  <c r="F2428"/>
  <c r="G2428"/>
  <c r="B2429"/>
  <c r="D2429"/>
  <c r="E2429"/>
  <c r="F2429"/>
  <c r="G2429"/>
  <c r="B2430"/>
  <c r="D2430"/>
  <c r="E2430"/>
  <c r="F2430"/>
  <c r="G2430"/>
  <c r="B2431"/>
  <c r="D2431"/>
  <c r="E2431"/>
  <c r="F2431"/>
  <c r="G2431"/>
  <c r="B2412"/>
  <c r="D2412"/>
  <c r="E2412"/>
  <c r="F2412"/>
  <c r="G2412"/>
  <c r="B2413"/>
  <c r="D2413"/>
  <c r="E2413"/>
  <c r="F2413"/>
  <c r="G2413"/>
  <c r="B2414"/>
  <c r="D2414"/>
  <c r="E2414"/>
  <c r="F2414"/>
  <c r="G2414"/>
  <c r="B2415"/>
  <c r="D2415"/>
  <c r="E2415"/>
  <c r="F2415"/>
  <c r="G2415"/>
  <c r="B2416"/>
  <c r="D2416"/>
  <c r="E2416"/>
  <c r="F2416"/>
  <c r="G2416"/>
  <c r="B2417"/>
  <c r="D2417"/>
  <c r="E2417"/>
  <c r="F2417"/>
  <c r="G2417"/>
  <c r="B2418"/>
  <c r="D2418"/>
  <c r="E2418"/>
  <c r="F2418"/>
  <c r="G2418"/>
  <c r="B2419"/>
  <c r="D2419"/>
  <c r="E2419"/>
  <c r="F2419"/>
  <c r="G2419"/>
  <c r="B2420"/>
  <c r="D2420"/>
  <c r="E2420"/>
  <c r="F2420"/>
  <c r="G2420"/>
  <c r="B2421"/>
  <c r="D2421"/>
  <c r="E2421"/>
  <c r="F2421"/>
  <c r="G2421"/>
  <c r="B2402"/>
  <c r="D2402"/>
  <c r="E2402"/>
  <c r="F2402"/>
  <c r="G2402"/>
  <c r="B2403"/>
  <c r="D2403"/>
  <c r="E2403"/>
  <c r="F2403"/>
  <c r="G2403"/>
  <c r="B2404"/>
  <c r="D2404"/>
  <c r="E2404"/>
  <c r="F2404"/>
  <c r="G2404"/>
  <c r="B2405"/>
  <c r="D2405"/>
  <c r="E2405"/>
  <c r="F2405"/>
  <c r="G2405"/>
  <c r="B2406"/>
  <c r="D2406"/>
  <c r="E2406"/>
  <c r="F2406"/>
  <c r="G2406"/>
  <c r="B2407"/>
  <c r="D2407"/>
  <c r="E2407"/>
  <c r="F2407"/>
  <c r="G2407"/>
  <c r="B2408"/>
  <c r="D2408"/>
  <c r="E2408"/>
  <c r="F2408"/>
  <c r="G2408"/>
  <c r="B2409"/>
  <c r="D2409"/>
  <c r="E2409"/>
  <c r="F2409"/>
  <c r="G2409"/>
  <c r="B2410"/>
  <c r="D2410"/>
  <c r="E2410"/>
  <c r="F2410"/>
  <c r="G2410"/>
  <c r="B2411"/>
  <c r="D2411"/>
  <c r="E2411"/>
  <c r="F2411"/>
  <c r="G2411"/>
  <c r="B2392"/>
  <c r="D2392"/>
  <c r="E2392"/>
  <c r="F2392"/>
  <c r="G2392"/>
  <c r="B2393"/>
  <c r="D2393"/>
  <c r="E2393"/>
  <c r="F2393"/>
  <c r="G2393"/>
  <c r="B2394"/>
  <c r="D2394"/>
  <c r="E2394"/>
  <c r="F2394"/>
  <c r="G2394"/>
  <c r="B2395"/>
  <c r="D2395"/>
  <c r="E2395"/>
  <c r="F2395"/>
  <c r="G2395"/>
  <c r="B2396"/>
  <c r="D2396"/>
  <c r="E2396"/>
  <c r="F2396"/>
  <c r="G2396"/>
  <c r="B2397"/>
  <c r="D2397"/>
  <c r="E2397"/>
  <c r="F2397"/>
  <c r="G2397"/>
  <c r="B2398"/>
  <c r="D2398"/>
  <c r="E2398"/>
  <c r="F2398"/>
  <c r="G2398"/>
  <c r="B2399"/>
  <c r="D2399"/>
  <c r="E2399"/>
  <c r="F2399"/>
  <c r="G2399"/>
  <c r="B2400"/>
  <c r="D2400"/>
  <c r="E2400"/>
  <c r="F2400"/>
  <c r="G2400"/>
  <c r="B2401"/>
  <c r="D2401"/>
  <c r="E2401"/>
  <c r="F2401"/>
  <c r="G2401"/>
  <c r="B2382"/>
  <c r="D2382"/>
  <c r="E2382"/>
  <c r="F2382"/>
  <c r="G2382"/>
  <c r="B2383"/>
  <c r="D2383"/>
  <c r="E2383"/>
  <c r="F2383"/>
  <c r="G2383"/>
  <c r="B2384"/>
  <c r="D2384"/>
  <c r="E2384"/>
  <c r="F2384"/>
  <c r="G2384"/>
  <c r="B2385"/>
  <c r="D2385"/>
  <c r="E2385"/>
  <c r="G2385"/>
  <c r="B2386"/>
  <c r="D2386"/>
  <c r="E2386"/>
  <c r="G2386"/>
  <c r="B2387"/>
  <c r="D2387"/>
  <c r="E2387"/>
  <c r="G2387"/>
  <c r="B2388"/>
  <c r="D2388"/>
  <c r="E2388"/>
  <c r="F2388"/>
  <c r="G2388"/>
  <c r="B2389"/>
  <c r="D2389"/>
  <c r="E2389"/>
  <c r="F2389"/>
  <c r="G2389"/>
  <c r="B2390"/>
  <c r="D2390"/>
  <c r="E2390"/>
  <c r="F2390"/>
  <c r="G2390"/>
  <c r="B2391"/>
  <c r="D2391"/>
  <c r="E2391"/>
  <c r="F2391"/>
  <c r="G2391"/>
  <c r="B2372"/>
  <c r="D2372"/>
  <c r="E2372"/>
  <c r="F2372"/>
  <c r="G2372"/>
  <c r="B2373"/>
  <c r="D2373"/>
  <c r="E2373"/>
  <c r="F2373"/>
  <c r="G2373"/>
  <c r="B2374"/>
  <c r="D2374"/>
  <c r="E2374"/>
  <c r="F2374"/>
  <c r="G2374"/>
  <c r="B2375"/>
  <c r="D2375"/>
  <c r="E2375"/>
  <c r="F2375"/>
  <c r="G2375"/>
  <c r="B2376"/>
  <c r="D2376"/>
  <c r="E2376"/>
  <c r="F2376"/>
  <c r="G2376"/>
  <c r="B2377"/>
  <c r="D2377"/>
  <c r="E2377"/>
  <c r="F2377"/>
  <c r="G2377"/>
  <c r="B2378"/>
  <c r="D2378"/>
  <c r="E2378"/>
  <c r="F2378"/>
  <c r="G2378"/>
  <c r="B2379"/>
  <c r="D2379"/>
  <c r="E2379"/>
  <c r="F2379"/>
  <c r="G2379"/>
  <c r="B2380"/>
  <c r="D2380"/>
  <c r="E2380"/>
  <c r="F2380"/>
  <c r="G2380"/>
  <c r="B2381"/>
  <c r="D2381"/>
  <c r="E2381"/>
  <c r="F2381"/>
  <c r="G2381"/>
  <c r="B2362"/>
  <c r="D2362"/>
  <c r="E2362"/>
  <c r="F2362"/>
  <c r="G2362"/>
  <c r="B2363"/>
  <c r="D2363"/>
  <c r="E2363"/>
  <c r="F2363"/>
  <c r="G2363"/>
  <c r="B2364"/>
  <c r="D2364"/>
  <c r="E2364"/>
  <c r="F2364"/>
  <c r="G2364"/>
  <c r="B2365"/>
  <c r="D2365"/>
  <c r="E2365"/>
  <c r="F2365"/>
  <c r="G2365"/>
  <c r="B2366"/>
  <c r="D2366"/>
  <c r="E2366"/>
  <c r="F2366"/>
  <c r="G2366"/>
  <c r="B2367"/>
  <c r="D2367"/>
  <c r="E2367"/>
  <c r="F2367"/>
  <c r="G2367"/>
  <c r="B2368"/>
  <c r="D2368"/>
  <c r="E2368"/>
  <c r="F2368"/>
  <c r="G2368"/>
  <c r="B2369"/>
  <c r="D2369"/>
  <c r="E2369"/>
  <c r="F2369"/>
  <c r="G2369"/>
  <c r="B2370"/>
  <c r="D2370"/>
  <c r="E2370"/>
  <c r="F2370"/>
  <c r="G2370"/>
  <c r="B2371"/>
  <c r="D2371"/>
  <c r="E2371"/>
  <c r="F2371"/>
  <c r="G2371"/>
  <c r="B2352"/>
  <c r="D2352"/>
  <c r="E2352"/>
  <c r="F2352"/>
  <c r="G2352"/>
  <c r="B2353"/>
  <c r="D2353"/>
  <c r="E2353"/>
  <c r="F2353"/>
  <c r="G2353"/>
  <c r="B2354"/>
  <c r="D2354"/>
  <c r="E2354"/>
  <c r="F2354"/>
  <c r="G2354"/>
  <c r="B2355"/>
  <c r="D2355"/>
  <c r="E2355"/>
  <c r="F2355"/>
  <c r="G2355"/>
  <c r="B2356"/>
  <c r="D2356"/>
  <c r="E2356"/>
  <c r="F2356"/>
  <c r="G2356"/>
  <c r="B2357"/>
  <c r="D2357"/>
  <c r="E2357"/>
  <c r="F2357"/>
  <c r="G2357"/>
  <c r="B2358"/>
  <c r="D2358"/>
  <c r="E2358"/>
  <c r="F2358"/>
  <c r="G2358"/>
  <c r="B2359"/>
  <c r="D2359"/>
  <c r="E2359"/>
  <c r="F2359"/>
  <c r="G2359"/>
  <c r="B2360"/>
  <c r="D2360"/>
  <c r="E2360"/>
  <c r="F2360"/>
  <c r="G2360"/>
  <c r="B2361"/>
  <c r="D2361"/>
  <c r="E2361"/>
  <c r="F2361"/>
  <c r="G2361"/>
  <c r="B2342"/>
  <c r="D2342"/>
  <c r="E2342"/>
  <c r="F2342"/>
  <c r="G2342"/>
  <c r="B2343"/>
  <c r="D2343"/>
  <c r="E2343"/>
  <c r="F2343"/>
  <c r="G2343"/>
  <c r="B2344"/>
  <c r="D2344"/>
  <c r="E2344"/>
  <c r="F2344"/>
  <c r="G2344"/>
  <c r="B2345"/>
  <c r="D2345"/>
  <c r="E2345"/>
  <c r="F2345"/>
  <c r="G2345"/>
  <c r="B2346"/>
  <c r="D2346"/>
  <c r="E2346"/>
  <c r="F2346"/>
  <c r="G2346"/>
  <c r="B2347"/>
  <c r="D2347"/>
  <c r="E2347"/>
  <c r="F2347"/>
  <c r="G2347"/>
  <c r="B2348"/>
  <c r="D2348"/>
  <c r="E2348"/>
  <c r="F2348"/>
  <c r="G2348"/>
  <c r="B2349"/>
  <c r="D2349"/>
  <c r="E2349"/>
  <c r="F2349"/>
  <c r="G2349"/>
  <c r="B2350"/>
  <c r="D2350"/>
  <c r="E2350"/>
  <c r="F2350"/>
  <c r="G2350"/>
  <c r="B2351"/>
  <c r="D2351"/>
  <c r="E2351"/>
  <c r="F2351"/>
  <c r="G2351"/>
  <c r="B2332"/>
  <c r="D2332"/>
  <c r="E2332"/>
  <c r="F2332"/>
  <c r="G2332"/>
  <c r="B2333"/>
  <c r="D2333"/>
  <c r="E2333"/>
  <c r="F2333"/>
  <c r="G2333"/>
  <c r="B2334"/>
  <c r="D2334"/>
  <c r="E2334"/>
  <c r="F2334"/>
  <c r="G2334"/>
  <c r="B2335"/>
  <c r="D2335"/>
  <c r="E2335"/>
  <c r="F2335"/>
  <c r="G2335"/>
  <c r="B2336"/>
  <c r="D2336"/>
  <c r="E2336"/>
  <c r="F2336"/>
  <c r="G2336"/>
  <c r="B2337"/>
  <c r="D2337"/>
  <c r="E2337"/>
  <c r="F2337"/>
  <c r="G2337"/>
  <c r="B2338"/>
  <c r="D2338"/>
  <c r="E2338"/>
  <c r="F2338"/>
  <c r="G2338"/>
  <c r="B2339"/>
  <c r="D2339"/>
  <c r="E2339"/>
  <c r="F2339"/>
  <c r="G2339"/>
  <c r="B2340"/>
  <c r="D2340"/>
  <c r="E2340"/>
  <c r="F2340"/>
  <c r="G2340"/>
  <c r="B2341"/>
  <c r="D2341"/>
  <c r="E2341"/>
  <c r="F2341"/>
  <c r="G2341"/>
  <c r="B2322"/>
  <c r="D2322"/>
  <c r="E2322"/>
  <c r="F2322"/>
  <c r="G2322"/>
  <c r="B2323"/>
  <c r="D2323"/>
  <c r="E2323"/>
  <c r="F2323"/>
  <c r="G2323"/>
  <c r="B2324"/>
  <c r="D2324"/>
  <c r="E2324"/>
  <c r="F2324"/>
  <c r="G2324"/>
  <c r="B2325"/>
  <c r="D2325"/>
  <c r="E2325"/>
  <c r="F2325"/>
  <c r="G2325"/>
  <c r="B2326"/>
  <c r="D2326"/>
  <c r="E2326"/>
  <c r="F2326"/>
  <c r="G2326"/>
  <c r="B2327"/>
  <c r="D2327"/>
  <c r="E2327"/>
  <c r="F2327"/>
  <c r="G2327"/>
  <c r="B2328"/>
  <c r="D2328"/>
  <c r="E2328"/>
  <c r="F2328"/>
  <c r="G2328"/>
  <c r="B2329"/>
  <c r="D2329"/>
  <c r="E2329"/>
  <c r="F2329"/>
  <c r="G2329"/>
  <c r="B2330"/>
  <c r="D2330"/>
  <c r="E2330"/>
  <c r="F2330"/>
  <c r="G2330"/>
  <c r="B2331"/>
  <c r="D2331"/>
  <c r="E2331"/>
  <c r="F2331"/>
  <c r="G2331"/>
  <c r="B2312"/>
  <c r="D2312"/>
  <c r="E2312"/>
  <c r="F2312"/>
  <c r="G2312"/>
  <c r="B2313"/>
  <c r="D2313"/>
  <c r="E2313"/>
  <c r="F2313"/>
  <c r="G2313"/>
  <c r="B2314"/>
  <c r="D2314"/>
  <c r="E2314"/>
  <c r="F2314"/>
  <c r="G2314"/>
  <c r="B2315"/>
  <c r="D2315"/>
  <c r="E2315"/>
  <c r="F2315"/>
  <c r="G2315"/>
  <c r="B2316"/>
  <c r="D2316"/>
  <c r="E2316"/>
  <c r="F2316"/>
  <c r="G2316"/>
  <c r="B2317"/>
  <c r="D2317"/>
  <c r="E2317"/>
  <c r="F2317"/>
  <c r="G2317"/>
  <c r="B2318"/>
  <c r="D2318"/>
  <c r="E2318"/>
  <c r="F2318"/>
  <c r="G2318"/>
  <c r="B2319"/>
  <c r="D2319"/>
  <c r="E2319"/>
  <c r="F2319"/>
  <c r="G2319"/>
  <c r="B2320"/>
  <c r="D2320"/>
  <c r="E2320"/>
  <c r="F2320"/>
  <c r="G2320"/>
  <c r="B2321"/>
  <c r="D2321"/>
  <c r="E2321"/>
  <c r="F2321"/>
  <c r="G2321"/>
  <c r="B2302"/>
  <c r="D2302"/>
  <c r="E2302"/>
  <c r="F2302"/>
  <c r="G2302"/>
  <c r="B2303"/>
  <c r="D2303"/>
  <c r="E2303"/>
  <c r="F2303"/>
  <c r="G2303"/>
  <c r="B2304"/>
  <c r="D2304"/>
  <c r="E2304"/>
  <c r="F2304"/>
  <c r="G2304"/>
  <c r="B2305"/>
  <c r="D2305"/>
  <c r="E2305"/>
  <c r="F2305"/>
  <c r="G2305"/>
  <c r="B2306"/>
  <c r="D2306"/>
  <c r="E2306"/>
  <c r="F2306"/>
  <c r="G2306"/>
  <c r="B2307"/>
  <c r="D2307"/>
  <c r="E2307"/>
  <c r="F2307"/>
  <c r="G2307"/>
  <c r="B2308"/>
  <c r="D2308"/>
  <c r="E2308"/>
  <c r="F2308"/>
  <c r="G2308"/>
  <c r="B2309"/>
  <c r="D2309"/>
  <c r="E2309"/>
  <c r="F2309"/>
  <c r="G2309"/>
  <c r="B2310"/>
  <c r="D2310"/>
  <c r="E2310"/>
  <c r="F2310"/>
  <c r="G2310"/>
  <c r="B2311"/>
  <c r="D2311"/>
  <c r="E2311"/>
  <c r="F2311"/>
  <c r="G2311"/>
  <c r="B2292"/>
  <c r="D2292"/>
  <c r="E2292"/>
  <c r="F2292"/>
  <c r="G2292"/>
  <c r="B2293"/>
  <c r="D2293"/>
  <c r="E2293"/>
  <c r="F2293"/>
  <c r="G2293"/>
  <c r="B2294"/>
  <c r="D2294"/>
  <c r="E2294"/>
  <c r="F2294"/>
  <c r="G2294"/>
  <c r="B2295"/>
  <c r="D2295"/>
  <c r="E2295"/>
  <c r="F2295"/>
  <c r="G2295"/>
  <c r="B2296"/>
  <c r="D2296"/>
  <c r="E2296"/>
  <c r="F2296"/>
  <c r="G2296"/>
  <c r="B2297"/>
  <c r="D2297"/>
  <c r="E2297"/>
  <c r="F2297"/>
  <c r="G2297"/>
  <c r="B2298"/>
  <c r="D2298"/>
  <c r="E2298"/>
  <c r="F2298"/>
  <c r="G2298"/>
  <c r="B2299"/>
  <c r="D2299"/>
  <c r="E2299"/>
  <c r="F2299"/>
  <c r="G2299"/>
  <c r="B2300"/>
  <c r="D2300"/>
  <c r="E2300"/>
  <c r="F2300"/>
  <c r="G2300"/>
  <c r="B2301"/>
  <c r="D2301"/>
  <c r="E2301"/>
  <c r="F2301"/>
  <c r="G2301"/>
  <c r="B2282"/>
  <c r="D2282"/>
  <c r="E2282"/>
  <c r="F2282"/>
  <c r="G2282"/>
  <c r="B2283"/>
  <c r="D2283"/>
  <c r="E2283"/>
  <c r="F2283"/>
  <c r="G2283"/>
  <c r="B2284"/>
  <c r="D2284"/>
  <c r="E2284"/>
  <c r="F2284"/>
  <c r="G2284"/>
  <c r="B2285"/>
  <c r="D2285"/>
  <c r="E2285"/>
  <c r="F2285"/>
  <c r="G2285"/>
  <c r="B2286"/>
  <c r="D2286"/>
  <c r="E2286"/>
  <c r="F2286"/>
  <c r="G2286"/>
  <c r="B2287"/>
  <c r="D2287"/>
  <c r="E2287"/>
  <c r="F2287"/>
  <c r="G2287"/>
  <c r="B2288"/>
  <c r="D2288"/>
  <c r="E2288"/>
  <c r="F2288"/>
  <c r="G2288"/>
  <c r="B2289"/>
  <c r="D2289"/>
  <c r="E2289"/>
  <c r="F2289"/>
  <c r="G2289"/>
  <c r="B2290"/>
  <c r="D2290"/>
  <c r="E2290"/>
  <c r="F2290"/>
  <c r="G2290"/>
  <c r="B2291"/>
  <c r="D2291"/>
  <c r="E2291"/>
  <c r="F2291"/>
  <c r="G2291"/>
  <c r="B2272"/>
  <c r="D2272"/>
  <c r="E2272"/>
  <c r="F2272"/>
  <c r="G2272"/>
  <c r="B2273"/>
  <c r="D2273"/>
  <c r="E2273"/>
  <c r="F2273"/>
  <c r="G2273"/>
  <c r="B2274"/>
  <c r="D2274"/>
  <c r="E2274"/>
  <c r="F2274"/>
  <c r="G2274"/>
  <c r="B2275"/>
  <c r="D2275"/>
  <c r="E2275"/>
  <c r="F2275"/>
  <c r="G2275"/>
  <c r="B2276"/>
  <c r="D2276"/>
  <c r="E2276"/>
  <c r="F2276"/>
  <c r="G2276"/>
  <c r="B2277"/>
  <c r="D2277"/>
  <c r="E2277"/>
  <c r="F2277"/>
  <c r="G2277"/>
  <c r="B2278"/>
  <c r="D2278"/>
  <c r="E2278"/>
  <c r="F2278"/>
  <c r="G2278"/>
  <c r="B2279"/>
  <c r="D2279"/>
  <c r="E2279"/>
  <c r="F2279"/>
  <c r="G2279"/>
  <c r="B2280"/>
  <c r="D2280"/>
  <c r="E2280"/>
  <c r="F2280"/>
  <c r="G2280"/>
  <c r="B2281"/>
  <c r="D2281"/>
  <c r="E2281"/>
  <c r="F2281"/>
  <c r="G2281"/>
  <c r="B2262"/>
  <c r="D2262"/>
  <c r="E2262"/>
  <c r="F2262"/>
  <c r="G2262"/>
  <c r="B2263"/>
  <c r="D2263"/>
  <c r="E2263"/>
  <c r="F2263"/>
  <c r="G2263"/>
  <c r="B2264"/>
  <c r="D2264"/>
  <c r="E2264"/>
  <c r="F2264"/>
  <c r="G2264"/>
  <c r="B2265"/>
  <c r="D2265"/>
  <c r="E2265"/>
  <c r="F2265"/>
  <c r="G2265"/>
  <c r="B2266"/>
  <c r="D2266"/>
  <c r="E2266"/>
  <c r="F2266"/>
  <c r="G2266"/>
  <c r="B2267"/>
  <c r="D2267"/>
  <c r="E2267"/>
  <c r="F2267"/>
  <c r="G2267"/>
  <c r="B2268"/>
  <c r="D2268"/>
  <c r="E2268"/>
  <c r="F2268"/>
  <c r="G2268"/>
  <c r="B2269"/>
  <c r="D2269"/>
  <c r="E2269"/>
  <c r="F2269"/>
  <c r="G2269"/>
  <c r="B2270"/>
  <c r="D2270"/>
  <c r="E2270"/>
  <c r="F2270"/>
  <c r="G2270"/>
  <c r="B2271"/>
  <c r="D2271"/>
  <c r="E2271"/>
  <c r="F2271"/>
  <c r="G2271"/>
  <c r="B2252"/>
  <c r="D2252"/>
  <c r="E2252"/>
  <c r="F2252"/>
  <c r="G2252"/>
  <c r="B2253"/>
  <c r="D2253"/>
  <c r="E2253"/>
  <c r="F2253"/>
  <c r="G2253"/>
  <c r="B2254"/>
  <c r="D2254"/>
  <c r="E2254"/>
  <c r="F2254"/>
  <c r="G2254"/>
  <c r="B2255"/>
  <c r="D2255"/>
  <c r="E2255"/>
  <c r="F2255"/>
  <c r="G2255"/>
  <c r="B2256"/>
  <c r="D2256"/>
  <c r="E2256"/>
  <c r="F2256"/>
  <c r="G2256"/>
  <c r="B2257"/>
  <c r="D2257"/>
  <c r="E2257"/>
  <c r="F2257"/>
  <c r="G2257"/>
  <c r="B2258"/>
  <c r="D2258"/>
  <c r="E2258"/>
  <c r="F2258"/>
  <c r="G2258"/>
  <c r="B2259"/>
  <c r="D2259"/>
  <c r="E2259"/>
  <c r="F2259"/>
  <c r="G2259"/>
  <c r="B2260"/>
  <c r="D2260"/>
  <c r="E2260"/>
  <c r="F2260"/>
  <c r="G2260"/>
  <c r="B2261"/>
  <c r="D2261"/>
  <c r="E2261"/>
  <c r="F2261"/>
  <c r="G2261"/>
  <c r="B2242"/>
  <c r="D2242"/>
  <c r="E2242"/>
  <c r="F2242"/>
  <c r="G2242"/>
  <c r="B2243"/>
  <c r="D2243"/>
  <c r="E2243"/>
  <c r="F2243"/>
  <c r="G2243"/>
  <c r="B2244"/>
  <c r="D2244"/>
  <c r="E2244"/>
  <c r="F2244"/>
  <c r="G2244"/>
  <c r="B2245"/>
  <c r="D2245"/>
  <c r="E2245"/>
  <c r="F2245"/>
  <c r="G2245"/>
  <c r="B2246"/>
  <c r="D2246"/>
  <c r="E2246"/>
  <c r="F2246"/>
  <c r="G2246"/>
  <c r="B2247"/>
  <c r="D2247"/>
  <c r="E2247"/>
  <c r="F2247"/>
  <c r="G2247"/>
  <c r="B2248"/>
  <c r="D2248"/>
  <c r="E2248"/>
  <c r="F2248"/>
  <c r="G2248"/>
  <c r="B2249"/>
  <c r="D2249"/>
  <c r="E2249"/>
  <c r="F2249"/>
  <c r="G2249"/>
  <c r="B2250"/>
  <c r="D2250"/>
  <c r="E2250"/>
  <c r="F2250"/>
  <c r="G2250"/>
  <c r="B2251"/>
  <c r="D2251"/>
  <c r="E2251"/>
  <c r="F2251"/>
  <c r="G2251"/>
  <c r="B2232"/>
  <c r="D2232"/>
  <c r="E2232"/>
  <c r="F2232"/>
  <c r="G2232"/>
  <c r="B2233"/>
  <c r="D2233"/>
  <c r="E2233"/>
  <c r="F2233"/>
  <c r="G2233"/>
  <c r="B2234"/>
  <c r="D2234"/>
  <c r="E2234"/>
  <c r="F2234"/>
  <c r="G2234"/>
  <c r="B2235"/>
  <c r="D2235"/>
  <c r="E2235"/>
  <c r="F2235"/>
  <c r="G2235"/>
  <c r="B2236"/>
  <c r="D2236"/>
  <c r="E2236"/>
  <c r="F2236"/>
  <c r="G2236"/>
  <c r="B2237"/>
  <c r="D2237"/>
  <c r="E2237"/>
  <c r="F2237"/>
  <c r="G2237"/>
  <c r="B2238"/>
  <c r="D2238"/>
  <c r="E2238"/>
  <c r="F2238"/>
  <c r="G2238"/>
  <c r="B2239"/>
  <c r="D2239"/>
  <c r="E2239"/>
  <c r="F2239"/>
  <c r="G2239"/>
  <c r="B2240"/>
  <c r="D2240"/>
  <c r="E2240"/>
  <c r="F2240"/>
  <c r="G2240"/>
  <c r="B2241"/>
  <c r="D2241"/>
  <c r="E2241"/>
  <c r="F2241"/>
  <c r="G2241"/>
  <c r="B2222"/>
  <c r="D2222"/>
  <c r="E2222"/>
  <c r="F2222"/>
  <c r="G2222"/>
  <c r="B2223"/>
  <c r="D2223"/>
  <c r="E2223"/>
  <c r="F2223"/>
  <c r="G2223"/>
  <c r="B2224"/>
  <c r="D2224"/>
  <c r="E2224"/>
  <c r="F2224"/>
  <c r="G2224"/>
  <c r="B2225"/>
  <c r="D2225"/>
  <c r="E2225"/>
  <c r="F2225"/>
  <c r="G2225"/>
  <c r="B2226"/>
  <c r="D2226"/>
  <c r="E2226"/>
  <c r="F2226"/>
  <c r="G2226"/>
  <c r="B2227"/>
  <c r="D2227"/>
  <c r="E2227"/>
  <c r="F2227"/>
  <c r="G2227"/>
  <c r="B2228"/>
  <c r="D2228"/>
  <c r="E2228"/>
  <c r="F2228"/>
  <c r="G2228"/>
  <c r="B2229"/>
  <c r="D2229"/>
  <c r="E2229"/>
  <c r="F2229"/>
  <c r="G2229"/>
  <c r="B2230"/>
  <c r="D2230"/>
  <c r="E2230"/>
  <c r="F2230"/>
  <c r="G2230"/>
  <c r="B2231"/>
  <c r="D2231"/>
  <c r="E2231"/>
  <c r="F2231"/>
  <c r="G2231"/>
  <c r="B2212"/>
  <c r="D2212"/>
  <c r="E2212"/>
  <c r="G2212"/>
  <c r="B2213"/>
  <c r="D2213"/>
  <c r="E2213"/>
  <c r="F2213"/>
  <c r="G2213"/>
  <c r="B2214"/>
  <c r="D2214"/>
  <c r="E2214"/>
  <c r="F2214"/>
  <c r="G2214"/>
  <c r="B2215"/>
  <c r="D2215"/>
  <c r="E2215"/>
  <c r="F2215"/>
  <c r="G2215"/>
  <c r="B2216"/>
  <c r="D2216"/>
  <c r="E2216"/>
  <c r="G2216"/>
  <c r="B2217"/>
  <c r="D2217"/>
  <c r="E2217"/>
  <c r="F2217"/>
  <c r="G2217"/>
  <c r="B2218"/>
  <c r="D2218"/>
  <c r="E2218"/>
  <c r="F2218"/>
  <c r="G2218"/>
  <c r="B2219"/>
  <c r="D2219"/>
  <c r="E2219"/>
  <c r="F2219"/>
  <c r="G2219"/>
  <c r="B2220"/>
  <c r="D2220"/>
  <c r="E2220"/>
  <c r="F2220"/>
  <c r="G2220"/>
  <c r="B2221"/>
  <c r="D2221"/>
  <c r="E2221"/>
  <c r="F2221"/>
  <c r="G2221"/>
  <c r="B2202"/>
  <c r="D2202"/>
  <c r="E2202"/>
  <c r="F2202"/>
  <c r="G2202"/>
  <c r="B2203"/>
  <c r="D2203"/>
  <c r="E2203"/>
  <c r="F2203"/>
  <c r="G2203"/>
  <c r="B2204"/>
  <c r="D2204"/>
  <c r="E2204"/>
  <c r="F2204"/>
  <c r="G2204"/>
  <c r="B2205"/>
  <c r="D2205"/>
  <c r="E2205"/>
  <c r="G2205"/>
  <c r="B2206"/>
  <c r="D2206"/>
  <c r="E2206"/>
  <c r="G2206"/>
  <c r="B2207"/>
  <c r="D2207"/>
  <c r="E2207"/>
  <c r="F2207"/>
  <c r="G2207"/>
  <c r="B2208"/>
  <c r="D2208"/>
  <c r="E2208"/>
  <c r="G2208"/>
  <c r="B2209"/>
  <c r="D2209"/>
  <c r="E2209"/>
  <c r="F2209"/>
  <c r="G2209"/>
  <c r="B2210"/>
  <c r="D2210"/>
  <c r="E2210"/>
  <c r="F2210"/>
  <c r="G2210"/>
  <c r="B2211"/>
  <c r="D2211"/>
  <c r="E2211"/>
  <c r="F2211"/>
  <c r="G2211"/>
  <c r="B2192"/>
  <c r="D2192"/>
  <c r="E2192"/>
  <c r="F2192"/>
  <c r="G2192"/>
  <c r="B2193"/>
  <c r="D2193"/>
  <c r="E2193"/>
  <c r="F2193"/>
  <c r="G2193"/>
  <c r="B2194"/>
  <c r="D2194"/>
  <c r="E2194"/>
  <c r="F2194"/>
  <c r="G2194"/>
  <c r="B2195"/>
  <c r="D2195"/>
  <c r="E2195"/>
  <c r="F2195"/>
  <c r="G2195"/>
  <c r="B2196"/>
  <c r="D2196"/>
  <c r="E2196"/>
  <c r="F2196"/>
  <c r="G2196"/>
  <c r="B2197"/>
  <c r="D2197"/>
  <c r="E2197"/>
  <c r="F2197"/>
  <c r="G2197"/>
  <c r="B2198"/>
  <c r="D2198"/>
  <c r="E2198"/>
  <c r="G2198"/>
  <c r="B2199"/>
  <c r="D2199"/>
  <c r="E2199"/>
  <c r="F2199"/>
  <c r="G2199"/>
  <c r="B2200"/>
  <c r="D2200"/>
  <c r="E2200"/>
  <c r="G2200"/>
  <c r="B2201"/>
  <c r="D2201"/>
  <c r="E2201"/>
  <c r="F2201"/>
  <c r="G2201"/>
  <c r="B2182"/>
  <c r="D2182"/>
  <c r="E2182"/>
  <c r="F2182"/>
  <c r="G2182"/>
  <c r="B2183"/>
  <c r="D2183"/>
  <c r="E2183"/>
  <c r="F2183"/>
  <c r="G2183"/>
  <c r="B2184"/>
  <c r="D2184"/>
  <c r="E2184"/>
  <c r="F2184"/>
  <c r="G2184"/>
  <c r="B2185"/>
  <c r="D2185"/>
  <c r="E2185"/>
  <c r="F2185"/>
  <c r="G2185"/>
  <c r="B2186"/>
  <c r="D2186"/>
  <c r="E2186"/>
  <c r="F2186"/>
  <c r="G2186"/>
  <c r="B2187"/>
  <c r="D2187"/>
  <c r="E2187"/>
  <c r="F2187"/>
  <c r="G2187"/>
  <c r="B2188"/>
  <c r="D2188"/>
  <c r="E2188"/>
  <c r="F2188"/>
  <c r="G2188"/>
  <c r="B2189"/>
  <c r="D2189"/>
  <c r="E2189"/>
  <c r="F2189"/>
  <c r="G2189"/>
  <c r="B2190"/>
  <c r="D2190"/>
  <c r="E2190"/>
  <c r="F2190"/>
  <c r="G2190"/>
  <c r="B2191"/>
  <c r="D2191"/>
  <c r="E2191"/>
  <c r="F2191"/>
  <c r="G2191"/>
  <c r="B2172"/>
  <c r="D2172"/>
  <c r="E2172"/>
  <c r="F2172"/>
  <c r="G2172"/>
  <c r="B2173"/>
  <c r="D2173"/>
  <c r="E2173"/>
  <c r="F2173"/>
  <c r="G2173"/>
  <c r="B2174"/>
  <c r="D2174"/>
  <c r="E2174"/>
  <c r="F2174"/>
  <c r="G2174"/>
  <c r="B2175"/>
  <c r="D2175"/>
  <c r="E2175"/>
  <c r="F2175"/>
  <c r="G2175"/>
  <c r="B2176"/>
  <c r="D2176"/>
  <c r="E2176"/>
  <c r="F2176"/>
  <c r="G2176"/>
  <c r="B2177"/>
  <c r="D2177"/>
  <c r="E2177"/>
  <c r="F2177"/>
  <c r="G2177"/>
  <c r="B2178"/>
  <c r="D2178"/>
  <c r="E2178"/>
  <c r="F2178"/>
  <c r="G2178"/>
  <c r="B2179"/>
  <c r="D2179"/>
  <c r="E2179"/>
  <c r="F2179"/>
  <c r="G2179"/>
  <c r="B2180"/>
  <c r="D2180"/>
  <c r="E2180"/>
  <c r="F2180"/>
  <c r="G2180"/>
  <c r="B2181"/>
  <c r="D2181"/>
  <c r="E2181"/>
  <c r="F2181"/>
  <c r="G2181"/>
  <c r="B2162"/>
  <c r="D2162"/>
  <c r="E2162"/>
  <c r="F2162"/>
  <c r="G2162"/>
  <c r="B2163"/>
  <c r="D2163"/>
  <c r="E2163"/>
  <c r="F2163"/>
  <c r="G2163"/>
  <c r="B2164"/>
  <c r="D2164"/>
  <c r="E2164"/>
  <c r="F2164"/>
  <c r="G2164"/>
  <c r="B2165"/>
  <c r="D2165"/>
  <c r="E2165"/>
  <c r="F2165"/>
  <c r="G2165"/>
  <c r="B2166"/>
  <c r="D2166"/>
  <c r="E2166"/>
  <c r="F2166"/>
  <c r="G2166"/>
  <c r="B2167"/>
  <c r="D2167"/>
  <c r="E2167"/>
  <c r="F2167"/>
  <c r="G2167"/>
  <c r="B2168"/>
  <c r="D2168"/>
  <c r="E2168"/>
  <c r="F2168"/>
  <c r="G2168"/>
  <c r="B2169"/>
  <c r="D2169"/>
  <c r="E2169"/>
  <c r="F2169"/>
  <c r="G2169"/>
  <c r="B2170"/>
  <c r="D2170"/>
  <c r="E2170"/>
  <c r="F2170"/>
  <c r="G2170"/>
  <c r="B2171"/>
  <c r="D2171"/>
  <c r="E2171"/>
  <c r="F2171"/>
  <c r="G2171"/>
  <c r="B2152"/>
  <c r="D2152"/>
  <c r="E2152"/>
  <c r="F2152"/>
  <c r="G2152"/>
  <c r="B2153"/>
  <c r="D2153"/>
  <c r="E2153"/>
  <c r="F2153"/>
  <c r="G2153"/>
  <c r="B2154"/>
  <c r="D2154"/>
  <c r="E2154"/>
  <c r="F2154"/>
  <c r="G2154"/>
  <c r="B2155"/>
  <c r="D2155"/>
  <c r="E2155"/>
  <c r="F2155"/>
  <c r="G2155"/>
  <c r="B2156"/>
  <c r="D2156"/>
  <c r="E2156"/>
  <c r="F2156"/>
  <c r="G2156"/>
  <c r="B2157"/>
  <c r="D2157"/>
  <c r="E2157"/>
  <c r="F2157"/>
  <c r="G2157"/>
  <c r="B2158"/>
  <c r="D2158"/>
  <c r="E2158"/>
  <c r="F2158"/>
  <c r="G2158"/>
  <c r="B2159"/>
  <c r="D2159"/>
  <c r="E2159"/>
  <c r="F2159"/>
  <c r="G2159"/>
  <c r="B2160"/>
  <c r="D2160"/>
  <c r="E2160"/>
  <c r="F2160"/>
  <c r="G2160"/>
  <c r="B2161"/>
  <c r="D2161"/>
  <c r="E2161"/>
  <c r="F2161"/>
  <c r="G2161"/>
  <c r="B2142"/>
  <c r="D2142"/>
  <c r="E2142"/>
  <c r="F2142"/>
  <c r="G2142"/>
  <c r="B2143"/>
  <c r="D2143"/>
  <c r="E2143"/>
  <c r="F2143"/>
  <c r="G2143"/>
  <c r="B2144"/>
  <c r="D2144"/>
  <c r="E2144"/>
  <c r="F2144"/>
  <c r="G2144"/>
  <c r="B2145"/>
  <c r="D2145"/>
  <c r="E2145"/>
  <c r="F2145"/>
  <c r="G2145"/>
  <c r="B2146"/>
  <c r="D2146"/>
  <c r="E2146"/>
  <c r="F2146"/>
  <c r="G2146"/>
  <c r="B2147"/>
  <c r="D2147"/>
  <c r="E2147"/>
  <c r="F2147"/>
  <c r="G2147"/>
  <c r="B2148"/>
  <c r="D2148"/>
  <c r="E2148"/>
  <c r="F2148"/>
  <c r="G2148"/>
  <c r="B2149"/>
  <c r="D2149"/>
  <c r="E2149"/>
  <c r="F2149"/>
  <c r="G2149"/>
  <c r="B2150"/>
  <c r="D2150"/>
  <c r="E2150"/>
  <c r="F2150"/>
  <c r="G2150"/>
  <c r="B2151"/>
  <c r="D2151"/>
  <c r="E2151"/>
  <c r="F2151"/>
  <c r="G2151"/>
  <c r="B2132"/>
  <c r="D2132"/>
  <c r="E2132"/>
  <c r="F2132"/>
  <c r="G2132"/>
  <c r="B2133"/>
  <c r="D2133"/>
  <c r="E2133"/>
  <c r="F2133"/>
  <c r="G2133"/>
  <c r="B2134"/>
  <c r="D2134"/>
  <c r="E2134"/>
  <c r="F2134"/>
  <c r="G2134"/>
  <c r="B2135"/>
  <c r="D2135"/>
  <c r="E2135"/>
  <c r="F2135"/>
  <c r="G2135"/>
  <c r="B2136"/>
  <c r="D2136"/>
  <c r="E2136"/>
  <c r="F2136"/>
  <c r="G2136"/>
  <c r="B2137"/>
  <c r="D2137"/>
  <c r="E2137"/>
  <c r="F2137"/>
  <c r="G2137"/>
  <c r="B2138"/>
  <c r="D2138"/>
  <c r="E2138"/>
  <c r="F2138"/>
  <c r="G2138"/>
  <c r="B2139"/>
  <c r="D2139"/>
  <c r="E2139"/>
  <c r="F2139"/>
  <c r="G2139"/>
  <c r="B2140"/>
  <c r="D2140"/>
  <c r="E2140"/>
  <c r="F2140"/>
  <c r="G2140"/>
  <c r="B2141"/>
  <c r="D2141"/>
  <c r="E2141"/>
  <c r="F2141"/>
  <c r="G2141"/>
  <c r="B2122"/>
  <c r="D2122"/>
  <c r="E2122"/>
  <c r="F2122"/>
  <c r="G2122"/>
  <c r="B2123"/>
  <c r="D2123"/>
  <c r="E2123"/>
  <c r="F2123"/>
  <c r="G2123"/>
  <c r="B2124"/>
  <c r="D2124"/>
  <c r="E2124"/>
  <c r="F2124"/>
  <c r="G2124"/>
  <c r="B2125"/>
  <c r="D2125"/>
  <c r="E2125"/>
  <c r="F2125"/>
  <c r="G2125"/>
  <c r="B2126"/>
  <c r="D2126"/>
  <c r="E2126"/>
  <c r="F2126"/>
  <c r="G2126"/>
  <c r="B2127"/>
  <c r="D2127"/>
  <c r="E2127"/>
  <c r="F2127"/>
  <c r="G2127"/>
  <c r="B2128"/>
  <c r="D2128"/>
  <c r="E2128"/>
  <c r="F2128"/>
  <c r="G2128"/>
  <c r="B2129"/>
  <c r="D2129"/>
  <c r="E2129"/>
  <c r="F2129"/>
  <c r="G2129"/>
  <c r="B2130"/>
  <c r="D2130"/>
  <c r="E2130"/>
  <c r="F2130"/>
  <c r="G2130"/>
  <c r="B2131"/>
  <c r="D2131"/>
  <c r="E2131"/>
  <c r="F2131"/>
  <c r="G2131"/>
  <c r="B2112"/>
  <c r="D2112"/>
  <c r="E2112"/>
  <c r="F2112"/>
  <c r="G2112"/>
  <c r="B2113"/>
  <c r="D2113"/>
  <c r="E2113"/>
  <c r="F2113"/>
  <c r="G2113"/>
  <c r="B2114"/>
  <c r="D2114"/>
  <c r="E2114"/>
  <c r="F2114"/>
  <c r="G2114"/>
  <c r="B2115"/>
  <c r="D2115"/>
  <c r="E2115"/>
  <c r="F2115"/>
  <c r="G2115"/>
  <c r="B2116"/>
  <c r="D2116"/>
  <c r="E2116"/>
  <c r="F2116"/>
  <c r="G2116"/>
  <c r="B2117"/>
  <c r="D2117"/>
  <c r="E2117"/>
  <c r="F2117"/>
  <c r="G2117"/>
  <c r="B2118"/>
  <c r="D2118"/>
  <c r="E2118"/>
  <c r="F2118"/>
  <c r="G2118"/>
  <c r="B2119"/>
  <c r="D2119"/>
  <c r="E2119"/>
  <c r="F2119"/>
  <c r="G2119"/>
  <c r="B2120"/>
  <c r="D2120"/>
  <c r="E2120"/>
  <c r="F2120"/>
  <c r="G2120"/>
  <c r="B2121"/>
  <c r="D2121"/>
  <c r="E2121"/>
  <c r="F2121"/>
  <c r="G2121"/>
  <c r="B2102"/>
  <c r="D2102"/>
  <c r="E2102"/>
  <c r="F2102"/>
  <c r="G2102"/>
  <c r="B2103"/>
  <c r="D2103"/>
  <c r="E2103"/>
  <c r="F2103"/>
  <c r="G2103"/>
  <c r="B2104"/>
  <c r="D2104"/>
  <c r="E2104"/>
  <c r="F2104"/>
  <c r="G2104"/>
  <c r="B2105"/>
  <c r="D2105"/>
  <c r="E2105"/>
  <c r="F2105"/>
  <c r="G2105"/>
  <c r="B2106"/>
  <c r="D2106"/>
  <c r="E2106"/>
  <c r="F2106"/>
  <c r="G2106"/>
  <c r="B2107"/>
  <c r="D2107"/>
  <c r="E2107"/>
  <c r="F2107"/>
  <c r="G2107"/>
  <c r="B2108"/>
  <c r="D2108"/>
  <c r="E2108"/>
  <c r="F2108"/>
  <c r="G2108"/>
  <c r="B2109"/>
  <c r="D2109"/>
  <c r="E2109"/>
  <c r="F2109"/>
  <c r="G2109"/>
  <c r="B2110"/>
  <c r="D2110"/>
  <c r="E2110"/>
  <c r="F2110"/>
  <c r="G2110"/>
  <c r="B2111"/>
  <c r="D2111"/>
  <c r="E2111"/>
  <c r="F2111"/>
  <c r="G2111"/>
  <c r="B2092"/>
  <c r="D2092"/>
  <c r="E2092"/>
  <c r="F2092"/>
  <c r="G2092"/>
  <c r="B2093"/>
  <c r="D2093"/>
  <c r="E2093"/>
  <c r="F2093"/>
  <c r="G2093"/>
  <c r="B2094"/>
  <c r="D2094"/>
  <c r="E2094"/>
  <c r="F2094"/>
  <c r="G2094"/>
  <c r="B2095"/>
  <c r="D2095"/>
  <c r="E2095"/>
  <c r="F2095"/>
  <c r="G2095"/>
  <c r="B2096"/>
  <c r="D2096"/>
  <c r="E2096"/>
  <c r="F2096"/>
  <c r="G2096"/>
  <c r="B2097"/>
  <c r="D2097"/>
  <c r="E2097"/>
  <c r="F2097"/>
  <c r="G2097"/>
  <c r="B2098"/>
  <c r="D2098"/>
  <c r="E2098"/>
  <c r="F2098"/>
  <c r="G2098"/>
  <c r="B2099"/>
  <c r="D2099"/>
  <c r="E2099"/>
  <c r="F2099"/>
  <c r="G2099"/>
  <c r="B2100"/>
  <c r="D2100"/>
  <c r="E2100"/>
  <c r="F2100"/>
  <c r="G2100"/>
  <c r="B2101"/>
  <c r="D2101"/>
  <c r="E2101"/>
  <c r="F2101"/>
  <c r="G2101"/>
  <c r="B2082"/>
  <c r="D2082"/>
  <c r="E2082"/>
  <c r="F2082"/>
  <c r="G2082"/>
  <c r="B2083"/>
  <c r="D2083"/>
  <c r="E2083"/>
  <c r="F2083"/>
  <c r="G2083"/>
  <c r="B2084"/>
  <c r="D2084"/>
  <c r="E2084"/>
  <c r="F2084"/>
  <c r="G2084"/>
  <c r="B2085"/>
  <c r="D2085"/>
  <c r="E2085"/>
  <c r="F2085"/>
  <c r="G2085"/>
  <c r="B2086"/>
  <c r="D2086"/>
  <c r="E2086"/>
  <c r="F2086"/>
  <c r="G2086"/>
  <c r="B2087"/>
  <c r="D2087"/>
  <c r="E2087"/>
  <c r="F2087"/>
  <c r="G2087"/>
  <c r="B2088"/>
  <c r="D2088"/>
  <c r="E2088"/>
  <c r="F2088"/>
  <c r="G2088"/>
  <c r="B2089"/>
  <c r="D2089"/>
  <c r="E2089"/>
  <c r="F2089"/>
  <c r="G2089"/>
  <c r="B2090"/>
  <c r="D2090"/>
  <c r="E2090"/>
  <c r="F2090"/>
  <c r="G2090"/>
  <c r="B2091"/>
  <c r="D2091"/>
  <c r="E2091"/>
  <c r="F2091"/>
  <c r="G2091"/>
  <c r="B2072"/>
  <c r="D2072"/>
  <c r="E2072"/>
  <c r="F2072"/>
  <c r="G2072"/>
  <c r="B2073"/>
  <c r="D2073"/>
  <c r="E2073"/>
  <c r="F2073"/>
  <c r="G2073"/>
  <c r="B2074"/>
  <c r="D2074"/>
  <c r="E2074"/>
  <c r="F2074"/>
  <c r="G2074"/>
  <c r="B2075"/>
  <c r="D2075"/>
  <c r="E2075"/>
  <c r="F2075"/>
  <c r="G2075"/>
  <c r="B2076"/>
  <c r="D2076"/>
  <c r="E2076"/>
  <c r="F2076"/>
  <c r="G2076"/>
  <c r="B2077"/>
  <c r="D2077"/>
  <c r="E2077"/>
  <c r="F2077"/>
  <c r="G2077"/>
  <c r="B2078"/>
  <c r="D2078"/>
  <c r="E2078"/>
  <c r="F2078"/>
  <c r="G2078"/>
  <c r="B2079"/>
  <c r="D2079"/>
  <c r="E2079"/>
  <c r="F2079"/>
  <c r="G2079"/>
  <c r="B2080"/>
  <c r="D2080"/>
  <c r="E2080"/>
  <c r="F2080"/>
  <c r="G2080"/>
  <c r="B2081"/>
  <c r="D2081"/>
  <c r="E2081"/>
  <c r="F2081"/>
  <c r="G2081"/>
  <c r="B2062"/>
  <c r="D2062"/>
  <c r="E2062"/>
  <c r="F2062"/>
  <c r="G2062"/>
  <c r="B2063"/>
  <c r="D2063"/>
  <c r="E2063"/>
  <c r="F2063"/>
  <c r="G2063"/>
  <c r="B2064"/>
  <c r="D2064"/>
  <c r="E2064"/>
  <c r="F2064"/>
  <c r="G2064"/>
  <c r="B2065"/>
  <c r="D2065"/>
  <c r="E2065"/>
  <c r="F2065"/>
  <c r="G2065"/>
  <c r="B2066"/>
  <c r="D2066"/>
  <c r="E2066"/>
  <c r="F2066"/>
  <c r="G2066"/>
  <c r="B2067"/>
  <c r="D2067"/>
  <c r="E2067"/>
  <c r="F2067"/>
  <c r="G2067"/>
  <c r="B2068"/>
  <c r="D2068"/>
  <c r="E2068"/>
  <c r="F2068"/>
  <c r="G2068"/>
  <c r="B2069"/>
  <c r="D2069"/>
  <c r="E2069"/>
  <c r="F2069"/>
  <c r="G2069"/>
  <c r="B2070"/>
  <c r="D2070"/>
  <c r="E2070"/>
  <c r="F2070"/>
  <c r="G2070"/>
  <c r="B2071"/>
  <c r="D2071"/>
  <c r="E2071"/>
  <c r="F2071"/>
  <c r="G2071"/>
  <c r="B2052"/>
  <c r="D2052"/>
  <c r="E2052"/>
  <c r="G2052"/>
  <c r="B2053"/>
  <c r="D2053"/>
  <c r="E2053"/>
  <c r="G2053"/>
  <c r="B2054"/>
  <c r="D2054"/>
  <c r="E2054"/>
  <c r="F2054"/>
  <c r="G2054"/>
  <c r="B2055"/>
  <c r="D2055"/>
  <c r="E2055"/>
  <c r="F2055"/>
  <c r="G2055"/>
  <c r="B2056"/>
  <c r="D2056"/>
  <c r="E2056"/>
  <c r="F2056"/>
  <c r="G2056"/>
  <c r="B2057"/>
  <c r="D2057"/>
  <c r="E2057"/>
  <c r="F2057"/>
  <c r="G2057"/>
  <c r="B2058"/>
  <c r="D2058"/>
  <c r="E2058"/>
  <c r="F2058"/>
  <c r="G2058"/>
  <c r="B2059"/>
  <c r="D2059"/>
  <c r="E2059"/>
  <c r="F2059"/>
  <c r="G2059"/>
  <c r="B2060"/>
  <c r="D2060"/>
  <c r="E2060"/>
  <c r="F2060"/>
  <c r="G2060"/>
  <c r="B2061"/>
  <c r="D2061"/>
  <c r="E2061"/>
  <c r="F2061"/>
  <c r="G2061"/>
  <c r="B2042"/>
  <c r="D2042"/>
  <c r="E2042"/>
  <c r="F2042"/>
  <c r="G2042"/>
  <c r="B2043"/>
  <c r="D2043"/>
  <c r="E2043"/>
  <c r="F2043"/>
  <c r="G2043"/>
  <c r="B2044"/>
  <c r="D2044"/>
  <c r="E2044"/>
  <c r="F2044"/>
  <c r="G2044"/>
  <c r="B2045"/>
  <c r="D2045"/>
  <c r="E2045"/>
  <c r="F2045"/>
  <c r="G2045"/>
  <c r="B2046"/>
  <c r="D2046"/>
  <c r="E2046"/>
  <c r="F2046"/>
  <c r="G2046"/>
  <c r="B2047"/>
  <c r="D2047"/>
  <c r="E2047"/>
  <c r="F2047"/>
  <c r="G2047"/>
  <c r="B2048"/>
  <c r="D2048"/>
  <c r="E2048"/>
  <c r="F2048"/>
  <c r="G2048"/>
  <c r="B2049"/>
  <c r="D2049"/>
  <c r="E2049"/>
  <c r="F2049"/>
  <c r="G2049"/>
  <c r="B2050"/>
  <c r="D2050"/>
  <c r="E2050"/>
  <c r="G2050"/>
  <c r="B2051"/>
  <c r="D2051"/>
  <c r="E2051"/>
  <c r="G2051"/>
  <c r="B2032"/>
  <c r="D2032"/>
  <c r="E2032"/>
  <c r="F2032"/>
  <c r="G2032"/>
  <c r="B2033"/>
  <c r="D2033"/>
  <c r="E2033"/>
  <c r="F2033"/>
  <c r="G2033"/>
  <c r="B2034"/>
  <c r="D2034"/>
  <c r="E2034"/>
  <c r="F2034"/>
  <c r="G2034"/>
  <c r="B2035"/>
  <c r="D2035"/>
  <c r="E2035"/>
  <c r="F2035"/>
  <c r="G2035"/>
  <c r="B2036"/>
  <c r="D2036"/>
  <c r="E2036"/>
  <c r="F2036"/>
  <c r="G2036"/>
  <c r="B2037"/>
  <c r="D2037"/>
  <c r="E2037"/>
  <c r="F2037"/>
  <c r="G2037"/>
  <c r="B2038"/>
  <c r="D2038"/>
  <c r="E2038"/>
  <c r="F2038"/>
  <c r="G2038"/>
  <c r="B2039"/>
  <c r="D2039"/>
  <c r="E2039"/>
  <c r="G2039"/>
  <c r="B2040"/>
  <c r="D2040"/>
  <c r="E2040"/>
  <c r="G2040"/>
  <c r="B2041"/>
  <c r="D2041"/>
  <c r="E2041"/>
  <c r="G2041"/>
  <c r="B2022"/>
  <c r="D2022"/>
  <c r="E2022"/>
  <c r="F2022"/>
  <c r="G2022"/>
  <c r="B2023"/>
  <c r="D2023"/>
  <c r="E2023"/>
  <c r="F2023"/>
  <c r="G2023"/>
  <c r="B2024"/>
  <c r="D2024"/>
  <c r="E2024"/>
  <c r="F2024"/>
  <c r="G2024"/>
  <c r="B2025"/>
  <c r="D2025"/>
  <c r="E2025"/>
  <c r="F2025"/>
  <c r="G2025"/>
  <c r="B2026"/>
  <c r="D2026"/>
  <c r="E2026"/>
  <c r="F2026"/>
  <c r="G2026"/>
  <c r="B2027"/>
  <c r="D2027"/>
  <c r="E2027"/>
  <c r="F2027"/>
  <c r="G2027"/>
  <c r="B2028"/>
  <c r="D2028"/>
  <c r="E2028"/>
  <c r="F2028"/>
  <c r="G2028"/>
  <c r="B2029"/>
  <c r="D2029"/>
  <c r="E2029"/>
  <c r="F2029"/>
  <c r="G2029"/>
  <c r="B2030"/>
  <c r="D2030"/>
  <c r="E2030"/>
  <c r="F2030"/>
  <c r="G2030"/>
  <c r="B2031"/>
  <c r="D2031"/>
  <c r="E2031"/>
  <c r="F2031"/>
  <c r="G2031"/>
  <c r="B2012"/>
  <c r="D2012"/>
  <c r="E2012"/>
  <c r="F2012"/>
  <c r="G2012"/>
  <c r="B2013"/>
  <c r="D2013"/>
  <c r="E2013"/>
  <c r="F2013"/>
  <c r="G2013"/>
  <c r="B2014"/>
  <c r="D2014"/>
  <c r="E2014"/>
  <c r="F2014"/>
  <c r="G2014"/>
  <c r="B2015"/>
  <c r="D2015"/>
  <c r="E2015"/>
  <c r="F2015"/>
  <c r="G2015"/>
  <c r="B2016"/>
  <c r="D2016"/>
  <c r="E2016"/>
  <c r="F2016"/>
  <c r="G2016"/>
  <c r="B2017"/>
  <c r="D2017"/>
  <c r="E2017"/>
  <c r="F2017"/>
  <c r="G2017"/>
  <c r="B2018"/>
  <c r="D2018"/>
  <c r="E2018"/>
  <c r="F2018"/>
  <c r="G2018"/>
  <c r="B2019"/>
  <c r="D2019"/>
  <c r="E2019"/>
  <c r="F2019"/>
  <c r="G2019"/>
  <c r="B2020"/>
  <c r="D2020"/>
  <c r="E2020"/>
  <c r="F2020"/>
  <c r="G2020"/>
  <c r="B2021"/>
  <c r="D2021"/>
  <c r="E2021"/>
  <c r="F2021"/>
  <c r="G2021"/>
  <c r="B2002"/>
  <c r="D2002"/>
  <c r="E2002"/>
  <c r="F2002"/>
  <c r="G2002"/>
  <c r="B2003"/>
  <c r="D2003"/>
  <c r="E2003"/>
  <c r="F2003"/>
  <c r="G2003"/>
  <c r="B2004"/>
  <c r="D2004"/>
  <c r="E2004"/>
  <c r="F2004"/>
  <c r="G2004"/>
  <c r="B2005"/>
  <c r="D2005"/>
  <c r="E2005"/>
  <c r="F2005"/>
  <c r="G2005"/>
  <c r="B2006"/>
  <c r="D2006"/>
  <c r="E2006"/>
  <c r="F2006"/>
  <c r="G2006"/>
  <c r="B2007"/>
  <c r="D2007"/>
  <c r="E2007"/>
  <c r="F2007"/>
  <c r="G2007"/>
  <c r="B2008"/>
  <c r="D2008"/>
  <c r="E2008"/>
  <c r="F2008"/>
  <c r="G2008"/>
  <c r="B2009"/>
  <c r="D2009"/>
  <c r="E2009"/>
  <c r="F2009"/>
  <c r="G2009"/>
  <c r="B2010"/>
  <c r="D2010"/>
  <c r="E2010"/>
  <c r="F2010"/>
  <c r="G2010"/>
  <c r="B2011"/>
  <c r="D2011"/>
  <c r="E2011"/>
  <c r="F2011"/>
  <c r="G2011"/>
  <c r="B1992"/>
  <c r="D1992"/>
  <c r="E1992"/>
  <c r="F1992"/>
  <c r="G1992"/>
  <c r="B1993"/>
  <c r="D1993"/>
  <c r="E1993"/>
  <c r="F1993"/>
  <c r="G1993"/>
  <c r="B1994"/>
  <c r="D1994"/>
  <c r="E1994"/>
  <c r="F1994"/>
  <c r="G1994"/>
  <c r="B1995"/>
  <c r="D1995"/>
  <c r="E1995"/>
  <c r="F1995"/>
  <c r="G1995"/>
  <c r="B1996"/>
  <c r="D1996"/>
  <c r="E1996"/>
  <c r="F1996"/>
  <c r="G1996"/>
  <c r="B1997"/>
  <c r="D1997"/>
  <c r="E1997"/>
  <c r="F1997"/>
  <c r="G1997"/>
  <c r="B1998"/>
  <c r="D1998"/>
  <c r="E1998"/>
  <c r="F1998"/>
  <c r="G1998"/>
  <c r="B1999"/>
  <c r="D1999"/>
  <c r="E1999"/>
  <c r="F1999"/>
  <c r="G1999"/>
  <c r="B2000"/>
  <c r="D2000"/>
  <c r="E2000"/>
  <c r="F2000"/>
  <c r="G2000"/>
  <c r="B2001"/>
  <c r="D2001"/>
  <c r="E2001"/>
  <c r="F2001"/>
  <c r="G2001"/>
  <c r="B1982"/>
  <c r="D1982"/>
  <c r="E1982"/>
  <c r="F1982"/>
  <c r="G1982"/>
  <c r="B1983"/>
  <c r="D1983"/>
  <c r="E1983"/>
  <c r="F1983"/>
  <c r="G1983"/>
  <c r="B1984"/>
  <c r="D1984"/>
  <c r="E1984"/>
  <c r="F1984"/>
  <c r="G1984"/>
  <c r="B1985"/>
  <c r="D1985"/>
  <c r="E1985"/>
  <c r="F1985"/>
  <c r="G1985"/>
  <c r="B1986"/>
  <c r="D1986"/>
  <c r="E1986"/>
  <c r="F1986"/>
  <c r="G1986"/>
  <c r="B1987"/>
  <c r="D1987"/>
  <c r="E1987"/>
  <c r="F1987"/>
  <c r="G1987"/>
  <c r="B1988"/>
  <c r="D1988"/>
  <c r="E1988"/>
  <c r="F1988"/>
  <c r="G1988"/>
  <c r="B1989"/>
  <c r="D1989"/>
  <c r="E1989"/>
  <c r="G1989"/>
  <c r="B1990"/>
  <c r="D1990"/>
  <c r="E1990"/>
  <c r="G1990"/>
  <c r="B1991"/>
  <c r="D1991"/>
  <c r="E1991"/>
  <c r="F1991"/>
  <c r="G1991"/>
  <c r="B1972"/>
  <c r="D1972"/>
  <c r="E1972"/>
  <c r="F1972"/>
  <c r="G1972"/>
  <c r="B1973"/>
  <c r="D1973"/>
  <c r="E1973"/>
  <c r="F1973"/>
  <c r="G1973"/>
  <c r="B1974"/>
  <c r="D1974"/>
  <c r="E1974"/>
  <c r="F1974"/>
  <c r="G1974"/>
  <c r="B1975"/>
  <c r="D1975"/>
  <c r="E1975"/>
  <c r="F1975"/>
  <c r="G1975"/>
  <c r="B1976"/>
  <c r="D1976"/>
  <c r="E1976"/>
  <c r="F1976"/>
  <c r="G1976"/>
  <c r="B1977"/>
  <c r="D1977"/>
  <c r="E1977"/>
  <c r="F1977"/>
  <c r="G1977"/>
  <c r="B1978"/>
  <c r="D1978"/>
  <c r="E1978"/>
  <c r="F1978"/>
  <c r="G1978"/>
  <c r="B1979"/>
  <c r="D1979"/>
  <c r="E1979"/>
  <c r="F1979"/>
  <c r="G1979"/>
  <c r="B1980"/>
  <c r="D1980"/>
  <c r="E1980"/>
  <c r="F1980"/>
  <c r="G1980"/>
  <c r="B1981"/>
  <c r="D1981"/>
  <c r="E1981"/>
  <c r="F1981"/>
  <c r="G1981"/>
  <c r="B1962"/>
  <c r="D1962"/>
  <c r="E1962"/>
  <c r="G1962"/>
  <c r="B1963"/>
  <c r="D1963"/>
  <c r="E1963"/>
  <c r="F1963"/>
  <c r="G1963"/>
  <c r="B1964"/>
  <c r="D1964"/>
  <c r="E1964"/>
  <c r="F1964"/>
  <c r="G1964"/>
  <c r="B1965"/>
  <c r="D1965"/>
  <c r="E1965"/>
  <c r="G1965"/>
  <c r="B1966"/>
  <c r="D1966"/>
  <c r="E1966"/>
  <c r="F1966"/>
  <c r="G1966"/>
  <c r="B1967"/>
  <c r="D1967"/>
  <c r="E1967"/>
  <c r="F1967"/>
  <c r="G1967"/>
  <c r="B1968"/>
  <c r="D1968"/>
  <c r="E1968"/>
  <c r="F1968"/>
  <c r="G1968"/>
  <c r="B1969"/>
  <c r="D1969"/>
  <c r="E1969"/>
  <c r="F1969"/>
  <c r="G1969"/>
  <c r="B1970"/>
  <c r="D1970"/>
  <c r="E1970"/>
  <c r="F1970"/>
  <c r="G1970"/>
  <c r="B1971"/>
  <c r="D1971"/>
  <c r="E1971"/>
  <c r="F1971"/>
  <c r="G1971"/>
  <c r="B1952"/>
  <c r="D1952"/>
  <c r="E1952"/>
  <c r="F1952"/>
  <c r="G1952"/>
  <c r="B1953"/>
  <c r="D1953"/>
  <c r="E1953"/>
  <c r="F1953"/>
  <c r="G1953"/>
  <c r="B1954"/>
  <c r="D1954"/>
  <c r="E1954"/>
  <c r="F1954"/>
  <c r="G1954"/>
  <c r="B1955"/>
  <c r="D1955"/>
  <c r="E1955"/>
  <c r="F1955"/>
  <c r="G1955"/>
  <c r="B1956"/>
  <c r="D1956"/>
  <c r="E1956"/>
  <c r="F1956"/>
  <c r="G1956"/>
  <c r="B1957"/>
  <c r="D1957"/>
  <c r="E1957"/>
  <c r="F1957"/>
  <c r="G1957"/>
  <c r="B1958"/>
  <c r="D1958"/>
  <c r="E1958"/>
  <c r="F1958"/>
  <c r="G1958"/>
  <c r="B1959"/>
  <c r="D1959"/>
  <c r="E1959"/>
  <c r="F1959"/>
  <c r="G1959"/>
  <c r="B1960"/>
  <c r="D1960"/>
  <c r="E1960"/>
  <c r="F1960"/>
  <c r="G1960"/>
  <c r="B1961"/>
  <c r="D1961"/>
  <c r="E1961"/>
  <c r="G1961"/>
  <c r="B1942"/>
  <c r="D1942"/>
  <c r="E1942"/>
  <c r="G1942"/>
  <c r="B1943"/>
  <c r="D1943"/>
  <c r="E1943"/>
  <c r="F1943"/>
  <c r="G1943"/>
  <c r="B1944"/>
  <c r="D1944"/>
  <c r="E1944"/>
  <c r="G1944"/>
  <c r="B1945"/>
  <c r="D1945"/>
  <c r="E1945"/>
  <c r="G1945"/>
  <c r="B1946"/>
  <c r="D1946"/>
  <c r="E1946"/>
  <c r="F1946"/>
  <c r="G1946"/>
  <c r="B1947"/>
  <c r="D1947"/>
  <c r="E1947"/>
  <c r="F1947"/>
  <c r="G1947"/>
  <c r="B1948"/>
  <c r="D1948"/>
  <c r="E1948"/>
  <c r="F1948"/>
  <c r="G1948"/>
  <c r="B1949"/>
  <c r="D1949"/>
  <c r="E1949"/>
  <c r="F1949"/>
  <c r="G1949"/>
  <c r="B1950"/>
  <c r="D1950"/>
  <c r="E1950"/>
  <c r="F1950"/>
  <c r="G1950"/>
  <c r="B1951"/>
  <c r="D1951"/>
  <c r="E1951"/>
  <c r="F1951"/>
  <c r="G1951"/>
  <c r="B1932"/>
  <c r="D1932"/>
  <c r="E1932"/>
  <c r="F1932"/>
  <c r="G1932"/>
  <c r="B1933"/>
  <c r="D1933"/>
  <c r="E1933"/>
  <c r="F1933"/>
  <c r="G1933"/>
  <c r="B1934"/>
  <c r="D1934"/>
  <c r="E1934"/>
  <c r="F1934"/>
  <c r="G1934"/>
  <c r="B1935"/>
  <c r="D1935"/>
  <c r="E1935"/>
  <c r="F1935"/>
  <c r="G1935"/>
  <c r="B1936"/>
  <c r="D1936"/>
  <c r="E1936"/>
  <c r="F1936"/>
  <c r="G1936"/>
  <c r="B1937"/>
  <c r="D1937"/>
  <c r="E1937"/>
  <c r="F1937"/>
  <c r="G1937"/>
  <c r="B1938"/>
  <c r="D1938"/>
  <c r="E1938"/>
  <c r="F1938"/>
  <c r="G1938"/>
  <c r="B1939"/>
  <c r="D1939"/>
  <c r="E1939"/>
  <c r="F1939"/>
  <c r="G1939"/>
  <c r="B1940"/>
  <c r="D1940"/>
  <c r="E1940"/>
  <c r="F1940"/>
  <c r="G1940"/>
  <c r="B1941"/>
  <c r="D1941"/>
  <c r="E1941"/>
  <c r="G1941"/>
  <c r="B1922"/>
  <c r="D1922"/>
  <c r="E1922"/>
  <c r="F1922"/>
  <c r="G1922"/>
  <c r="B1923"/>
  <c r="D1923"/>
  <c r="E1923"/>
  <c r="F1923"/>
  <c r="G1923"/>
  <c r="B1924"/>
  <c r="D1924"/>
  <c r="E1924"/>
  <c r="F1924"/>
  <c r="G1924"/>
  <c r="B1925"/>
  <c r="D1925"/>
  <c r="E1925"/>
  <c r="F1925"/>
  <c r="G1925"/>
  <c r="B1926"/>
  <c r="D1926"/>
  <c r="E1926"/>
  <c r="F1926"/>
  <c r="G1926"/>
  <c r="B1927"/>
  <c r="D1927"/>
  <c r="E1927"/>
  <c r="F1927"/>
  <c r="G1927"/>
  <c r="B1928"/>
  <c r="D1928"/>
  <c r="E1928"/>
  <c r="F1928"/>
  <c r="G1928"/>
  <c r="B1929"/>
  <c r="D1929"/>
  <c r="E1929"/>
  <c r="F1929"/>
  <c r="G1929"/>
  <c r="B1930"/>
  <c r="D1930"/>
  <c r="E1930"/>
  <c r="F1930"/>
  <c r="G1930"/>
  <c r="B1931"/>
  <c r="D1931"/>
  <c r="E1931"/>
  <c r="F1931"/>
  <c r="G1931"/>
  <c r="B1912"/>
  <c r="D1912"/>
  <c r="E1912"/>
  <c r="F1912"/>
  <c r="G1912"/>
  <c r="B1913"/>
  <c r="D1913"/>
  <c r="E1913"/>
  <c r="F1913"/>
  <c r="G1913"/>
  <c r="B1914"/>
  <c r="D1914"/>
  <c r="E1914"/>
  <c r="F1914"/>
  <c r="G1914"/>
  <c r="B1915"/>
  <c r="D1915"/>
  <c r="E1915"/>
  <c r="F1915"/>
  <c r="G1915"/>
  <c r="B1916"/>
  <c r="D1916"/>
  <c r="E1916"/>
  <c r="F1916"/>
  <c r="G1916"/>
  <c r="B1917"/>
  <c r="D1917"/>
  <c r="E1917"/>
  <c r="F1917"/>
  <c r="G1917"/>
  <c r="B1918"/>
  <c r="D1918"/>
  <c r="E1918"/>
  <c r="F1918"/>
  <c r="G1918"/>
  <c r="B1919"/>
  <c r="D1919"/>
  <c r="E1919"/>
  <c r="F1919"/>
  <c r="G1919"/>
  <c r="B1920"/>
  <c r="D1920"/>
  <c r="E1920"/>
  <c r="F1920"/>
  <c r="G1920"/>
  <c r="B1921"/>
  <c r="D1921"/>
  <c r="E1921"/>
  <c r="F1921"/>
  <c r="G1921"/>
  <c r="B1902"/>
  <c r="D1902"/>
  <c r="E1902"/>
  <c r="F1902"/>
  <c r="G1902"/>
  <c r="B1903"/>
  <c r="D1903"/>
  <c r="E1903"/>
  <c r="F1903"/>
  <c r="G1903"/>
  <c r="B1904"/>
  <c r="D1904"/>
  <c r="E1904"/>
  <c r="F1904"/>
  <c r="G1904"/>
  <c r="B1905"/>
  <c r="D1905"/>
  <c r="E1905"/>
  <c r="F1905"/>
  <c r="G1905"/>
  <c r="B1906"/>
  <c r="D1906"/>
  <c r="E1906"/>
  <c r="F1906"/>
  <c r="G1906"/>
  <c r="B1907"/>
  <c r="D1907"/>
  <c r="E1907"/>
  <c r="F1907"/>
  <c r="G1907"/>
  <c r="B1908"/>
  <c r="D1908"/>
  <c r="E1908"/>
  <c r="F1908"/>
  <c r="G1908"/>
  <c r="B1909"/>
  <c r="D1909"/>
  <c r="E1909"/>
  <c r="F1909"/>
  <c r="G1909"/>
  <c r="B1910"/>
  <c r="D1910"/>
  <c r="E1910"/>
  <c r="F1910"/>
  <c r="G1910"/>
  <c r="B1911"/>
  <c r="D1911"/>
  <c r="E1911"/>
  <c r="F1911"/>
  <c r="G1911"/>
  <c r="B1892"/>
  <c r="D1892"/>
  <c r="E1892"/>
  <c r="F1892"/>
  <c r="G1892"/>
  <c r="B1893"/>
  <c r="D1893"/>
  <c r="E1893"/>
  <c r="F1893"/>
  <c r="G1893"/>
  <c r="B1894"/>
  <c r="D1894"/>
  <c r="E1894"/>
  <c r="F1894"/>
  <c r="G1894"/>
  <c r="B1895"/>
  <c r="D1895"/>
  <c r="E1895"/>
  <c r="F1895"/>
  <c r="G1895"/>
  <c r="B1896"/>
  <c r="D1896"/>
  <c r="E1896"/>
  <c r="F1896"/>
  <c r="G1896"/>
  <c r="B1897"/>
  <c r="D1897"/>
  <c r="E1897"/>
  <c r="F1897"/>
  <c r="G1897"/>
  <c r="B1898"/>
  <c r="D1898"/>
  <c r="E1898"/>
  <c r="F1898"/>
  <c r="G1898"/>
  <c r="B1899"/>
  <c r="D1899"/>
  <c r="E1899"/>
  <c r="F1899"/>
  <c r="G1899"/>
  <c r="B1900"/>
  <c r="D1900"/>
  <c r="E1900"/>
  <c r="F1900"/>
  <c r="G1900"/>
  <c r="B1901"/>
  <c r="D1901"/>
  <c r="E1901"/>
  <c r="F1901"/>
  <c r="G1901"/>
  <c r="B1882"/>
  <c r="D1882"/>
  <c r="E1882"/>
  <c r="F1882"/>
  <c r="G1882"/>
  <c r="B1883"/>
  <c r="D1883"/>
  <c r="E1883"/>
  <c r="F1883"/>
  <c r="G1883"/>
  <c r="B1884"/>
  <c r="D1884"/>
  <c r="E1884"/>
  <c r="F1884"/>
  <c r="G1884"/>
  <c r="B1885"/>
  <c r="D1885"/>
  <c r="E1885"/>
  <c r="F1885"/>
  <c r="G1885"/>
  <c r="B1886"/>
  <c r="D1886"/>
  <c r="E1886"/>
  <c r="F1886"/>
  <c r="G1886"/>
  <c r="B1887"/>
  <c r="D1887"/>
  <c r="E1887"/>
  <c r="F1887"/>
  <c r="G1887"/>
  <c r="B1888"/>
  <c r="D1888"/>
  <c r="E1888"/>
  <c r="F1888"/>
  <c r="G1888"/>
  <c r="B1889"/>
  <c r="D1889"/>
  <c r="E1889"/>
  <c r="F1889"/>
  <c r="G1889"/>
  <c r="B1890"/>
  <c r="D1890"/>
  <c r="E1890"/>
  <c r="F1890"/>
  <c r="G1890"/>
  <c r="B1891"/>
  <c r="D1891"/>
  <c r="E1891"/>
  <c r="F1891"/>
  <c r="G1891"/>
  <c r="B1872"/>
  <c r="D1872"/>
  <c r="E1872"/>
  <c r="F1872"/>
  <c r="G1872"/>
  <c r="B1873"/>
  <c r="D1873"/>
  <c r="E1873"/>
  <c r="F1873"/>
  <c r="G1873"/>
  <c r="B1874"/>
  <c r="D1874"/>
  <c r="E1874"/>
  <c r="F1874"/>
  <c r="G1874"/>
  <c r="B1875"/>
  <c r="D1875"/>
  <c r="E1875"/>
  <c r="F1875"/>
  <c r="G1875"/>
  <c r="B1876"/>
  <c r="D1876"/>
  <c r="E1876"/>
  <c r="F1876"/>
  <c r="G1876"/>
  <c r="B1877"/>
  <c r="D1877"/>
  <c r="E1877"/>
  <c r="F1877"/>
  <c r="G1877"/>
  <c r="B1878"/>
  <c r="D1878"/>
  <c r="E1878"/>
  <c r="F1878"/>
  <c r="G1878"/>
  <c r="B1879"/>
  <c r="D1879"/>
  <c r="E1879"/>
  <c r="F1879"/>
  <c r="G1879"/>
  <c r="B1880"/>
  <c r="D1880"/>
  <c r="E1880"/>
  <c r="F1880"/>
  <c r="G1880"/>
  <c r="B1881"/>
  <c r="D1881"/>
  <c r="E1881"/>
  <c r="F1881"/>
  <c r="G1881"/>
  <c r="B1862"/>
  <c r="D1862"/>
  <c r="E1862"/>
  <c r="F1862"/>
  <c r="G1862"/>
  <c r="B1863"/>
  <c r="D1863"/>
  <c r="E1863"/>
  <c r="F1863"/>
  <c r="G1863"/>
  <c r="B1864"/>
  <c r="D1864"/>
  <c r="E1864"/>
  <c r="F1864"/>
  <c r="G1864"/>
  <c r="B1865"/>
  <c r="D1865"/>
  <c r="E1865"/>
  <c r="F1865"/>
  <c r="G1865"/>
  <c r="B1866"/>
  <c r="D1866"/>
  <c r="E1866"/>
  <c r="F1866"/>
  <c r="G1866"/>
  <c r="B1867"/>
  <c r="D1867"/>
  <c r="E1867"/>
  <c r="F1867"/>
  <c r="G1867"/>
  <c r="B1868"/>
  <c r="D1868"/>
  <c r="E1868"/>
  <c r="F1868"/>
  <c r="G1868"/>
  <c r="B1869"/>
  <c r="D1869"/>
  <c r="E1869"/>
  <c r="F1869"/>
  <c r="G1869"/>
  <c r="B1870"/>
  <c r="D1870"/>
  <c r="E1870"/>
  <c r="F1870"/>
  <c r="G1870"/>
  <c r="B1871"/>
  <c r="D1871"/>
  <c r="E1871"/>
  <c r="F1871"/>
  <c r="G1871"/>
  <c r="B1852"/>
  <c r="D1852"/>
  <c r="E1852"/>
  <c r="F1852"/>
  <c r="G1852"/>
  <c r="B1853"/>
  <c r="D1853"/>
  <c r="E1853"/>
  <c r="F1853"/>
  <c r="G1853"/>
  <c r="B1854"/>
  <c r="D1854"/>
  <c r="E1854"/>
  <c r="F1854"/>
  <c r="G1854"/>
  <c r="B1855"/>
  <c r="D1855"/>
  <c r="E1855"/>
  <c r="F1855"/>
  <c r="G1855"/>
  <c r="B1856"/>
  <c r="D1856"/>
  <c r="E1856"/>
  <c r="F1856"/>
  <c r="G1856"/>
  <c r="B1857"/>
  <c r="D1857"/>
  <c r="E1857"/>
  <c r="F1857"/>
  <c r="G1857"/>
  <c r="B1858"/>
  <c r="D1858"/>
  <c r="E1858"/>
  <c r="F1858"/>
  <c r="G1858"/>
  <c r="B1859"/>
  <c r="D1859"/>
  <c r="E1859"/>
  <c r="F1859"/>
  <c r="G1859"/>
  <c r="B1860"/>
  <c r="D1860"/>
  <c r="E1860"/>
  <c r="F1860"/>
  <c r="G1860"/>
  <c r="B1861"/>
  <c r="D1861"/>
  <c r="E1861"/>
  <c r="F1861"/>
  <c r="G1861"/>
  <c r="B1842"/>
  <c r="D1842"/>
  <c r="E1842"/>
  <c r="F1842"/>
  <c r="G1842"/>
  <c r="B1843"/>
  <c r="D1843"/>
  <c r="E1843"/>
  <c r="F1843"/>
  <c r="G1843"/>
  <c r="B1844"/>
  <c r="D1844"/>
  <c r="E1844"/>
  <c r="F1844"/>
  <c r="G1844"/>
  <c r="B1845"/>
  <c r="D1845"/>
  <c r="E1845"/>
  <c r="F1845"/>
  <c r="G1845"/>
  <c r="B1846"/>
  <c r="D1846"/>
  <c r="E1846"/>
  <c r="F1846"/>
  <c r="G1846"/>
  <c r="B1847"/>
  <c r="D1847"/>
  <c r="E1847"/>
  <c r="F1847"/>
  <c r="G1847"/>
  <c r="B1848"/>
  <c r="D1848"/>
  <c r="E1848"/>
  <c r="F1848"/>
  <c r="G1848"/>
  <c r="B1849"/>
  <c r="D1849"/>
  <c r="E1849"/>
  <c r="F1849"/>
  <c r="G1849"/>
  <c r="B1850"/>
  <c r="D1850"/>
  <c r="E1850"/>
  <c r="F1850"/>
  <c r="G1850"/>
  <c r="B1851"/>
  <c r="D1851"/>
  <c r="E1851"/>
  <c r="F1851"/>
  <c r="G1851"/>
  <c r="B1832"/>
  <c r="D1832"/>
  <c r="E1832"/>
  <c r="F1832"/>
  <c r="G1832"/>
  <c r="B1833"/>
  <c r="D1833"/>
  <c r="E1833"/>
  <c r="F1833"/>
  <c r="G1833"/>
  <c r="B1834"/>
  <c r="D1834"/>
  <c r="E1834"/>
  <c r="F1834"/>
  <c r="G1834"/>
  <c r="B1835"/>
  <c r="D1835"/>
  <c r="E1835"/>
  <c r="F1835"/>
  <c r="G1835"/>
  <c r="B1836"/>
  <c r="D1836"/>
  <c r="E1836"/>
  <c r="F1836"/>
  <c r="G1836"/>
  <c r="B1837"/>
  <c r="D1837"/>
  <c r="E1837"/>
  <c r="F1837"/>
  <c r="G1837"/>
  <c r="B1838"/>
  <c r="D1838"/>
  <c r="E1838"/>
  <c r="F1838"/>
  <c r="G1838"/>
  <c r="B1839"/>
  <c r="D1839"/>
  <c r="E1839"/>
  <c r="F1839"/>
  <c r="G1839"/>
  <c r="B1840"/>
  <c r="D1840"/>
  <c r="E1840"/>
  <c r="F1840"/>
  <c r="G1840"/>
  <c r="B1841"/>
  <c r="D1841"/>
  <c r="E1841"/>
  <c r="F1841"/>
  <c r="G1841"/>
  <c r="B1822"/>
  <c r="D1822"/>
  <c r="E1822"/>
  <c r="F1822"/>
  <c r="G1822"/>
  <c r="B1823"/>
  <c r="D1823"/>
  <c r="E1823"/>
  <c r="F1823"/>
  <c r="G1823"/>
  <c r="B1824"/>
  <c r="D1824"/>
  <c r="E1824"/>
  <c r="F1824"/>
  <c r="G1824"/>
  <c r="B1825"/>
  <c r="D1825"/>
  <c r="E1825"/>
  <c r="F1825"/>
  <c r="G1825"/>
  <c r="B1826"/>
  <c r="D1826"/>
  <c r="E1826"/>
  <c r="F1826"/>
  <c r="G1826"/>
  <c r="B1827"/>
  <c r="D1827"/>
  <c r="E1827"/>
  <c r="F1827"/>
  <c r="G1827"/>
  <c r="B1828"/>
  <c r="D1828"/>
  <c r="E1828"/>
  <c r="G1828"/>
  <c r="B1829"/>
  <c r="D1829"/>
  <c r="E1829"/>
  <c r="F1829"/>
  <c r="G1829"/>
  <c r="B1830"/>
  <c r="D1830"/>
  <c r="E1830"/>
  <c r="F1830"/>
  <c r="G1830"/>
  <c r="B1831"/>
  <c r="D1831"/>
  <c r="E1831"/>
  <c r="F1831"/>
  <c r="G1831"/>
  <c r="B1812"/>
  <c r="D1812"/>
  <c r="E1812"/>
  <c r="F1812"/>
  <c r="G1812"/>
  <c r="B1813"/>
  <c r="D1813"/>
  <c r="E1813"/>
  <c r="F1813"/>
  <c r="G1813"/>
  <c r="B1814"/>
  <c r="D1814"/>
  <c r="E1814"/>
  <c r="F1814"/>
  <c r="G1814"/>
  <c r="B1815"/>
  <c r="D1815"/>
  <c r="E1815"/>
  <c r="F1815"/>
  <c r="G1815"/>
  <c r="B1816"/>
  <c r="D1816"/>
  <c r="E1816"/>
  <c r="F1816"/>
  <c r="G1816"/>
  <c r="B1817"/>
  <c r="D1817"/>
  <c r="E1817"/>
  <c r="F1817"/>
  <c r="G1817"/>
  <c r="B1818"/>
  <c r="D1818"/>
  <c r="E1818"/>
  <c r="F1818"/>
  <c r="G1818"/>
  <c r="B1819"/>
  <c r="D1819"/>
  <c r="E1819"/>
  <c r="F1819"/>
  <c r="G1819"/>
  <c r="B1820"/>
  <c r="D1820"/>
  <c r="E1820"/>
  <c r="F1820"/>
  <c r="G1820"/>
  <c r="B1821"/>
  <c r="D1821"/>
  <c r="E1821"/>
  <c r="F1821"/>
  <c r="G1821"/>
  <c r="B1802"/>
  <c r="D1802"/>
  <c r="E1802"/>
  <c r="F1802"/>
  <c r="G1802"/>
  <c r="B1803"/>
  <c r="D1803"/>
  <c r="E1803"/>
  <c r="G1803"/>
  <c r="B1804"/>
  <c r="D1804"/>
  <c r="E1804"/>
  <c r="G1804"/>
  <c r="B1805"/>
  <c r="D1805"/>
  <c r="E1805"/>
  <c r="G1805"/>
  <c r="B1806"/>
  <c r="D1806"/>
  <c r="E1806"/>
  <c r="F1806"/>
  <c r="G1806"/>
  <c r="B1807"/>
  <c r="D1807"/>
  <c r="E1807"/>
  <c r="G1807"/>
  <c r="B1808"/>
  <c r="D1808"/>
  <c r="E1808"/>
  <c r="F1808"/>
  <c r="G1808"/>
  <c r="B1809"/>
  <c r="D1809"/>
  <c r="E1809"/>
  <c r="F1809"/>
  <c r="G1809"/>
  <c r="B1810"/>
  <c r="D1810"/>
  <c r="E1810"/>
  <c r="F1810"/>
  <c r="G1810"/>
  <c r="B1811"/>
  <c r="D1811"/>
  <c r="E1811"/>
  <c r="F1811"/>
  <c r="G1811"/>
  <c r="B1792"/>
  <c r="D1792"/>
  <c r="E1792"/>
  <c r="F1792"/>
  <c r="G1792"/>
  <c r="B1793"/>
  <c r="D1793"/>
  <c r="E1793"/>
  <c r="F1793"/>
  <c r="G1793"/>
  <c r="B1794"/>
  <c r="D1794"/>
  <c r="E1794"/>
  <c r="F1794"/>
  <c r="G1794"/>
  <c r="B1795"/>
  <c r="D1795"/>
  <c r="E1795"/>
  <c r="F1795"/>
  <c r="G1795"/>
  <c r="B1796"/>
  <c r="D1796"/>
  <c r="E1796"/>
  <c r="F1796"/>
  <c r="G1796"/>
  <c r="B1797"/>
  <c r="D1797"/>
  <c r="E1797"/>
  <c r="F1797"/>
  <c r="G1797"/>
  <c r="B1798"/>
  <c r="D1798"/>
  <c r="E1798"/>
  <c r="F1798"/>
  <c r="G1798"/>
  <c r="B1799"/>
  <c r="D1799"/>
  <c r="E1799"/>
  <c r="F1799"/>
  <c r="G1799"/>
  <c r="B1800"/>
  <c r="D1800"/>
  <c r="E1800"/>
  <c r="F1800"/>
  <c r="G1800"/>
  <c r="B1801"/>
  <c r="D1801"/>
  <c r="E1801"/>
  <c r="F1801"/>
  <c r="G1801"/>
  <c r="B1782"/>
  <c r="D1782"/>
  <c r="E1782"/>
  <c r="F1782"/>
  <c r="G1782"/>
  <c r="B1783"/>
  <c r="D1783"/>
  <c r="E1783"/>
  <c r="F1783"/>
  <c r="G1783"/>
  <c r="B1784"/>
  <c r="D1784"/>
  <c r="E1784"/>
  <c r="F1784"/>
  <c r="G1784"/>
  <c r="B1785"/>
  <c r="D1785"/>
  <c r="E1785"/>
  <c r="F1785"/>
  <c r="G1785"/>
  <c r="B1786"/>
  <c r="D1786"/>
  <c r="E1786"/>
  <c r="F1786"/>
  <c r="G1786"/>
  <c r="B1787"/>
  <c r="D1787"/>
  <c r="E1787"/>
  <c r="F1787"/>
  <c r="G1787"/>
  <c r="B1788"/>
  <c r="D1788"/>
  <c r="E1788"/>
  <c r="F1788"/>
  <c r="G1788"/>
  <c r="B1789"/>
  <c r="D1789"/>
  <c r="E1789"/>
  <c r="F1789"/>
  <c r="G1789"/>
  <c r="B1790"/>
  <c r="D1790"/>
  <c r="E1790"/>
  <c r="F1790"/>
  <c r="G1790"/>
  <c r="B1791"/>
  <c r="D1791"/>
  <c r="E1791"/>
  <c r="F1791"/>
  <c r="G1791"/>
  <c r="B1772"/>
  <c r="D1772"/>
  <c r="E1772"/>
  <c r="F1772"/>
  <c r="G1772"/>
  <c r="B1773"/>
  <c r="D1773"/>
  <c r="E1773"/>
  <c r="F1773"/>
  <c r="G1773"/>
  <c r="B1774"/>
  <c r="D1774"/>
  <c r="E1774"/>
  <c r="F1774"/>
  <c r="G1774"/>
  <c r="B1775"/>
  <c r="D1775"/>
  <c r="E1775"/>
  <c r="F1775"/>
  <c r="G1775"/>
  <c r="B1776"/>
  <c r="D1776"/>
  <c r="E1776"/>
  <c r="F1776"/>
  <c r="G1776"/>
  <c r="B1777"/>
  <c r="D1777"/>
  <c r="E1777"/>
  <c r="F1777"/>
  <c r="G1777"/>
  <c r="B1778"/>
  <c r="D1778"/>
  <c r="E1778"/>
  <c r="F1778"/>
  <c r="G1778"/>
  <c r="B1779"/>
  <c r="D1779"/>
  <c r="E1779"/>
  <c r="F1779"/>
  <c r="G1779"/>
  <c r="B1780"/>
  <c r="D1780"/>
  <c r="E1780"/>
  <c r="F1780"/>
  <c r="G1780"/>
  <c r="B1781"/>
  <c r="D1781"/>
  <c r="E1781"/>
  <c r="F1781"/>
  <c r="G1781"/>
  <c r="B1762"/>
  <c r="D1762"/>
  <c r="E1762"/>
  <c r="F1762"/>
  <c r="G1762"/>
  <c r="B1763"/>
  <c r="D1763"/>
  <c r="E1763"/>
  <c r="F1763"/>
  <c r="G1763"/>
  <c r="B1764"/>
  <c r="D1764"/>
  <c r="E1764"/>
  <c r="F1764"/>
  <c r="G1764"/>
  <c r="B1765"/>
  <c r="D1765"/>
  <c r="E1765"/>
  <c r="F1765"/>
  <c r="G1765"/>
  <c r="B1766"/>
  <c r="D1766"/>
  <c r="E1766"/>
  <c r="F1766"/>
  <c r="G1766"/>
  <c r="B1767"/>
  <c r="D1767"/>
  <c r="E1767"/>
  <c r="F1767"/>
  <c r="G1767"/>
  <c r="B1768"/>
  <c r="D1768"/>
  <c r="E1768"/>
  <c r="F1768"/>
  <c r="G1768"/>
  <c r="B1769"/>
  <c r="D1769"/>
  <c r="E1769"/>
  <c r="F1769"/>
  <c r="G1769"/>
  <c r="B1770"/>
  <c r="D1770"/>
  <c r="E1770"/>
  <c r="F1770"/>
  <c r="G1770"/>
  <c r="B1771"/>
  <c r="D1771"/>
  <c r="E1771"/>
  <c r="F1771"/>
  <c r="G1771"/>
  <c r="B1752"/>
  <c r="D1752"/>
  <c r="E1752"/>
  <c r="F1752"/>
  <c r="G1752"/>
  <c r="B1753"/>
  <c r="D1753"/>
  <c r="E1753"/>
  <c r="F1753"/>
  <c r="G1753"/>
  <c r="B1754"/>
  <c r="D1754"/>
  <c r="E1754"/>
  <c r="F1754"/>
  <c r="G1754"/>
  <c r="B1755"/>
  <c r="D1755"/>
  <c r="E1755"/>
  <c r="F1755"/>
  <c r="G1755"/>
  <c r="B1756"/>
  <c r="D1756"/>
  <c r="E1756"/>
  <c r="F1756"/>
  <c r="G1756"/>
  <c r="B1757"/>
  <c r="D1757"/>
  <c r="E1757"/>
  <c r="F1757"/>
  <c r="G1757"/>
  <c r="B1758"/>
  <c r="D1758"/>
  <c r="E1758"/>
  <c r="F1758"/>
  <c r="G1758"/>
  <c r="B1759"/>
  <c r="D1759"/>
  <c r="E1759"/>
  <c r="F1759"/>
  <c r="G1759"/>
  <c r="B1760"/>
  <c r="D1760"/>
  <c r="E1760"/>
  <c r="F1760"/>
  <c r="G1760"/>
  <c r="B1761"/>
  <c r="D1761"/>
  <c r="E1761"/>
  <c r="F1761"/>
  <c r="G1761"/>
  <c r="B1742"/>
  <c r="D1742"/>
  <c r="E1742"/>
  <c r="F1742"/>
  <c r="G1742"/>
  <c r="B1743"/>
  <c r="D1743"/>
  <c r="E1743"/>
  <c r="F1743"/>
  <c r="G1743"/>
  <c r="B1744"/>
  <c r="D1744"/>
  <c r="E1744"/>
  <c r="F1744"/>
  <c r="G1744"/>
  <c r="B1745"/>
  <c r="D1745"/>
  <c r="E1745"/>
  <c r="F1745"/>
  <c r="G1745"/>
  <c r="B1746"/>
  <c r="D1746"/>
  <c r="E1746"/>
  <c r="F1746"/>
  <c r="G1746"/>
  <c r="B1747"/>
  <c r="D1747"/>
  <c r="E1747"/>
  <c r="F1747"/>
  <c r="G1747"/>
  <c r="B1748"/>
  <c r="D1748"/>
  <c r="E1748"/>
  <c r="F1748"/>
  <c r="G1748"/>
  <c r="B1749"/>
  <c r="D1749"/>
  <c r="E1749"/>
  <c r="F1749"/>
  <c r="G1749"/>
  <c r="B1750"/>
  <c r="D1750"/>
  <c r="E1750"/>
  <c r="F1750"/>
  <c r="G1750"/>
  <c r="B1751"/>
  <c r="D1751"/>
  <c r="E1751"/>
  <c r="F1751"/>
  <c r="G1751"/>
  <c r="B1732"/>
  <c r="D1732"/>
  <c r="E1732"/>
  <c r="F1732"/>
  <c r="G1732"/>
  <c r="B1733"/>
  <c r="D1733"/>
  <c r="E1733"/>
  <c r="F1733"/>
  <c r="G1733"/>
  <c r="B1734"/>
  <c r="D1734"/>
  <c r="E1734"/>
  <c r="F1734"/>
  <c r="G1734"/>
  <c r="B1735"/>
  <c r="D1735"/>
  <c r="E1735"/>
  <c r="F1735"/>
  <c r="G1735"/>
  <c r="B1736"/>
  <c r="D1736"/>
  <c r="E1736"/>
  <c r="F1736"/>
  <c r="G1736"/>
  <c r="B1737"/>
  <c r="D1737"/>
  <c r="E1737"/>
  <c r="F1737"/>
  <c r="G1737"/>
  <c r="B1738"/>
  <c r="D1738"/>
  <c r="E1738"/>
  <c r="F1738"/>
  <c r="G1738"/>
  <c r="B1739"/>
  <c r="D1739"/>
  <c r="E1739"/>
  <c r="F1739"/>
  <c r="G1739"/>
  <c r="B1740"/>
  <c r="D1740"/>
  <c r="E1740"/>
  <c r="F1740"/>
  <c r="G1740"/>
  <c r="B1741"/>
  <c r="D1741"/>
  <c r="E1741"/>
  <c r="F1741"/>
  <c r="G1741"/>
  <c r="B1722"/>
  <c r="D1722"/>
  <c r="E1722"/>
  <c r="F1722"/>
  <c r="G1722"/>
  <c r="B1723"/>
  <c r="D1723"/>
  <c r="E1723"/>
  <c r="F1723"/>
  <c r="G1723"/>
  <c r="B1724"/>
  <c r="D1724"/>
  <c r="E1724"/>
  <c r="F1724"/>
  <c r="G1724"/>
  <c r="B1725"/>
  <c r="D1725"/>
  <c r="E1725"/>
  <c r="F1725"/>
  <c r="G1725"/>
  <c r="B1726"/>
  <c r="D1726"/>
  <c r="E1726"/>
  <c r="F1726"/>
  <c r="G1726"/>
  <c r="B1727"/>
  <c r="D1727"/>
  <c r="E1727"/>
  <c r="F1727"/>
  <c r="G1727"/>
  <c r="B1728"/>
  <c r="D1728"/>
  <c r="E1728"/>
  <c r="F1728"/>
  <c r="G1728"/>
  <c r="B1729"/>
  <c r="D1729"/>
  <c r="E1729"/>
  <c r="F1729"/>
  <c r="G1729"/>
  <c r="B1730"/>
  <c r="D1730"/>
  <c r="E1730"/>
  <c r="F1730"/>
  <c r="G1730"/>
  <c r="B1731"/>
  <c r="D1731"/>
  <c r="E1731"/>
  <c r="F1731"/>
  <c r="G1731"/>
  <c r="B1712"/>
  <c r="D1712"/>
  <c r="E1712"/>
  <c r="F1712"/>
  <c r="G1712"/>
  <c r="B1713"/>
  <c r="D1713"/>
  <c r="E1713"/>
  <c r="F1713"/>
  <c r="G1713"/>
  <c r="B1714"/>
  <c r="D1714"/>
  <c r="E1714"/>
  <c r="F1714"/>
  <c r="G1714"/>
  <c r="B1715"/>
  <c r="D1715"/>
  <c r="E1715"/>
  <c r="F1715"/>
  <c r="G1715"/>
  <c r="B1716"/>
  <c r="D1716"/>
  <c r="E1716"/>
  <c r="F1716"/>
  <c r="G1716"/>
  <c r="B1717"/>
  <c r="D1717"/>
  <c r="E1717"/>
  <c r="F1717"/>
  <c r="G1717"/>
  <c r="B1718"/>
  <c r="D1718"/>
  <c r="E1718"/>
  <c r="F1718"/>
  <c r="G1718"/>
  <c r="B1719"/>
  <c r="D1719"/>
  <c r="E1719"/>
  <c r="F1719"/>
  <c r="G1719"/>
  <c r="B1720"/>
  <c r="D1720"/>
  <c r="E1720"/>
  <c r="F1720"/>
  <c r="G1720"/>
  <c r="B1721"/>
  <c r="D1721"/>
  <c r="E1721"/>
  <c r="F1721"/>
  <c r="G1721"/>
  <c r="B1702"/>
  <c r="D1702"/>
  <c r="E1702"/>
  <c r="F1702"/>
  <c r="G1702"/>
  <c r="B1703"/>
  <c r="D1703"/>
  <c r="E1703"/>
  <c r="F1703"/>
  <c r="G1703"/>
  <c r="B1704"/>
  <c r="D1704"/>
  <c r="E1704"/>
  <c r="F1704"/>
  <c r="G1704"/>
  <c r="B1705"/>
  <c r="D1705"/>
  <c r="E1705"/>
  <c r="F1705"/>
  <c r="G1705"/>
  <c r="B1706"/>
  <c r="D1706"/>
  <c r="E1706"/>
  <c r="F1706"/>
  <c r="G1706"/>
  <c r="B1707"/>
  <c r="D1707"/>
  <c r="E1707"/>
  <c r="F1707"/>
  <c r="G1707"/>
  <c r="B1708"/>
  <c r="D1708"/>
  <c r="E1708"/>
  <c r="F1708"/>
  <c r="G1708"/>
  <c r="B1709"/>
  <c r="D1709"/>
  <c r="E1709"/>
  <c r="F1709"/>
  <c r="G1709"/>
  <c r="B1710"/>
  <c r="D1710"/>
  <c r="E1710"/>
  <c r="F1710"/>
  <c r="G1710"/>
  <c r="B1711"/>
  <c r="D1711"/>
  <c r="E1711"/>
  <c r="F1711"/>
  <c r="G1711"/>
  <c r="B1692"/>
  <c r="D1692"/>
  <c r="E1692"/>
  <c r="F1692"/>
  <c r="G1692"/>
  <c r="B1693"/>
  <c r="D1693"/>
  <c r="E1693"/>
  <c r="F1693"/>
  <c r="G1693"/>
  <c r="B1694"/>
  <c r="D1694"/>
  <c r="E1694"/>
  <c r="F1694"/>
  <c r="G1694"/>
  <c r="B1695"/>
  <c r="D1695"/>
  <c r="E1695"/>
  <c r="F1695"/>
  <c r="G1695"/>
  <c r="B1696"/>
  <c r="D1696"/>
  <c r="E1696"/>
  <c r="F1696"/>
  <c r="G1696"/>
  <c r="B1697"/>
  <c r="D1697"/>
  <c r="E1697"/>
  <c r="F1697"/>
  <c r="G1697"/>
  <c r="B1698"/>
  <c r="D1698"/>
  <c r="E1698"/>
  <c r="F1698"/>
  <c r="G1698"/>
  <c r="B1699"/>
  <c r="D1699"/>
  <c r="E1699"/>
  <c r="F1699"/>
  <c r="G1699"/>
  <c r="B1700"/>
  <c r="D1700"/>
  <c r="E1700"/>
  <c r="F1700"/>
  <c r="G1700"/>
  <c r="B1701"/>
  <c r="D1701"/>
  <c r="E1701"/>
  <c r="F1701"/>
  <c r="G1701"/>
  <c r="B1682"/>
  <c r="D1682"/>
  <c r="E1682"/>
  <c r="F1682"/>
  <c r="G1682"/>
  <c r="B1683"/>
  <c r="D1683"/>
  <c r="E1683"/>
  <c r="F1683"/>
  <c r="G1683"/>
  <c r="B1684"/>
  <c r="D1684"/>
  <c r="E1684"/>
  <c r="F1684"/>
  <c r="G1684"/>
  <c r="B1685"/>
  <c r="D1685"/>
  <c r="E1685"/>
  <c r="F1685"/>
  <c r="G1685"/>
  <c r="B1686"/>
  <c r="D1686"/>
  <c r="E1686"/>
  <c r="F1686"/>
  <c r="G1686"/>
  <c r="B1687"/>
  <c r="D1687"/>
  <c r="E1687"/>
  <c r="F1687"/>
  <c r="G1687"/>
  <c r="B1688"/>
  <c r="D1688"/>
  <c r="E1688"/>
  <c r="F1688"/>
  <c r="G1688"/>
  <c r="B1689"/>
  <c r="D1689"/>
  <c r="E1689"/>
  <c r="F1689"/>
  <c r="G1689"/>
  <c r="B1690"/>
  <c r="D1690"/>
  <c r="E1690"/>
  <c r="F1690"/>
  <c r="G1690"/>
  <c r="B1691"/>
  <c r="D1691"/>
  <c r="E1691"/>
  <c r="F1691"/>
  <c r="G1691"/>
  <c r="B1672"/>
  <c r="D1672"/>
  <c r="E1672"/>
  <c r="F1672"/>
  <c r="G1672"/>
  <c r="B1673"/>
  <c r="D1673"/>
  <c r="E1673"/>
  <c r="F1673"/>
  <c r="G1673"/>
  <c r="B1674"/>
  <c r="D1674"/>
  <c r="E1674"/>
  <c r="F1674"/>
  <c r="G1674"/>
  <c r="B1675"/>
  <c r="D1675"/>
  <c r="E1675"/>
  <c r="F1675"/>
  <c r="G1675"/>
  <c r="B1676"/>
  <c r="D1676"/>
  <c r="E1676"/>
  <c r="F1676"/>
  <c r="G1676"/>
  <c r="B1677"/>
  <c r="D1677"/>
  <c r="E1677"/>
  <c r="F1677"/>
  <c r="G1677"/>
  <c r="B1678"/>
  <c r="D1678"/>
  <c r="E1678"/>
  <c r="F1678"/>
  <c r="G1678"/>
  <c r="B1679"/>
  <c r="D1679"/>
  <c r="E1679"/>
  <c r="F1679"/>
  <c r="G1679"/>
  <c r="B1680"/>
  <c r="D1680"/>
  <c r="E1680"/>
  <c r="F1680"/>
  <c r="G1680"/>
  <c r="B1681"/>
  <c r="D1681"/>
  <c r="E1681"/>
  <c r="F1681"/>
  <c r="G1681"/>
  <c r="B1662"/>
  <c r="D1662"/>
  <c r="E1662"/>
  <c r="F1662"/>
  <c r="G1662"/>
  <c r="B1663"/>
  <c r="D1663"/>
  <c r="E1663"/>
  <c r="F1663"/>
  <c r="G1663"/>
  <c r="B1664"/>
  <c r="D1664"/>
  <c r="E1664"/>
  <c r="F1664"/>
  <c r="G1664"/>
  <c r="B1665"/>
  <c r="D1665"/>
  <c r="E1665"/>
  <c r="F1665"/>
  <c r="G1665"/>
  <c r="B1666"/>
  <c r="D1666"/>
  <c r="E1666"/>
  <c r="F1666"/>
  <c r="G1666"/>
  <c r="B1667"/>
  <c r="D1667"/>
  <c r="E1667"/>
  <c r="F1667"/>
  <c r="G1667"/>
  <c r="B1668"/>
  <c r="D1668"/>
  <c r="E1668"/>
  <c r="F1668"/>
  <c r="G1668"/>
  <c r="B1669"/>
  <c r="D1669"/>
  <c r="E1669"/>
  <c r="F1669"/>
  <c r="G1669"/>
  <c r="B1670"/>
  <c r="D1670"/>
  <c r="E1670"/>
  <c r="F1670"/>
  <c r="G1670"/>
  <c r="B1671"/>
  <c r="D1671"/>
  <c r="E1671"/>
  <c r="F1671"/>
  <c r="G1671"/>
  <c r="B1652"/>
  <c r="D1652"/>
  <c r="E1652"/>
  <c r="F1652"/>
  <c r="G1652"/>
  <c r="B1653"/>
  <c r="D1653"/>
  <c r="E1653"/>
  <c r="F1653"/>
  <c r="G1653"/>
  <c r="B1654"/>
  <c r="D1654"/>
  <c r="E1654"/>
  <c r="F1654"/>
  <c r="G1654"/>
  <c r="B1655"/>
  <c r="D1655"/>
  <c r="E1655"/>
  <c r="F1655"/>
  <c r="G1655"/>
  <c r="B1656"/>
  <c r="D1656"/>
  <c r="E1656"/>
  <c r="G1656"/>
  <c r="B1657"/>
  <c r="D1657"/>
  <c r="E1657"/>
  <c r="F1657"/>
  <c r="G1657"/>
  <c r="B1658"/>
  <c r="D1658"/>
  <c r="E1658"/>
  <c r="G1658"/>
  <c r="B1659"/>
  <c r="D1659"/>
  <c r="E1659"/>
  <c r="G1659"/>
  <c r="B1660"/>
  <c r="D1660"/>
  <c r="E1660"/>
  <c r="G1660"/>
  <c r="B1661"/>
  <c r="D1661"/>
  <c r="E1661"/>
  <c r="F1661"/>
  <c r="G1661"/>
  <c r="B1642"/>
  <c r="D1642"/>
  <c r="E1642"/>
  <c r="F1642"/>
  <c r="G1642"/>
  <c r="B1643"/>
  <c r="D1643"/>
  <c r="E1643"/>
  <c r="F1643"/>
  <c r="G1643"/>
  <c r="B1644"/>
  <c r="D1644"/>
  <c r="E1644"/>
  <c r="F1644"/>
  <c r="G1644"/>
  <c r="B1645"/>
  <c r="D1645"/>
  <c r="E1645"/>
  <c r="F1645"/>
  <c r="G1645"/>
  <c r="B1646"/>
  <c r="D1646"/>
  <c r="E1646"/>
  <c r="F1646"/>
  <c r="G1646"/>
  <c r="B1647"/>
  <c r="D1647"/>
  <c r="E1647"/>
  <c r="F1647"/>
  <c r="G1647"/>
  <c r="B1648"/>
  <c r="D1648"/>
  <c r="E1648"/>
  <c r="F1648"/>
  <c r="G1648"/>
  <c r="B1649"/>
  <c r="D1649"/>
  <c r="E1649"/>
  <c r="F1649"/>
  <c r="G1649"/>
  <c r="B1650"/>
  <c r="D1650"/>
  <c r="E1650"/>
  <c r="F1650"/>
  <c r="G1650"/>
  <c r="B1651"/>
  <c r="D1651"/>
  <c r="E1651"/>
  <c r="G1651"/>
  <c r="B1632"/>
  <c r="D1632"/>
  <c r="E1632"/>
  <c r="G1632"/>
  <c r="B1633"/>
  <c r="D1633"/>
  <c r="E1633"/>
  <c r="F1633"/>
  <c r="G1633"/>
  <c r="B1634"/>
  <c r="D1634"/>
  <c r="E1634"/>
  <c r="F1634"/>
  <c r="G1634"/>
  <c r="B1635"/>
  <c r="D1635"/>
  <c r="E1635"/>
  <c r="F1635"/>
  <c r="G1635"/>
  <c r="B1636"/>
  <c r="D1636"/>
  <c r="E1636"/>
  <c r="F1636"/>
  <c r="G1636"/>
  <c r="B1637"/>
  <c r="D1637"/>
  <c r="E1637"/>
  <c r="F1637"/>
  <c r="G1637"/>
  <c r="B1638"/>
  <c r="D1638"/>
  <c r="E1638"/>
  <c r="F1638"/>
  <c r="G1638"/>
  <c r="B1639"/>
  <c r="D1639"/>
  <c r="E1639"/>
  <c r="F1639"/>
  <c r="G1639"/>
  <c r="B1640"/>
  <c r="D1640"/>
  <c r="E1640"/>
  <c r="F1640"/>
  <c r="G1640"/>
  <c r="B1641"/>
  <c r="D1641"/>
  <c r="E1641"/>
  <c r="F1641"/>
  <c r="G1641"/>
  <c r="B1622"/>
  <c r="D1622"/>
  <c r="E1622"/>
  <c r="F1622"/>
  <c r="G1622"/>
  <c r="B1623"/>
  <c r="D1623"/>
  <c r="E1623"/>
  <c r="F1623"/>
  <c r="G1623"/>
  <c r="B1624"/>
  <c r="D1624"/>
  <c r="E1624"/>
  <c r="F1624"/>
  <c r="G1624"/>
  <c r="B1625"/>
  <c r="D1625"/>
  <c r="E1625"/>
  <c r="F1625"/>
  <c r="G1625"/>
  <c r="B1626"/>
  <c r="D1626"/>
  <c r="E1626"/>
  <c r="F1626"/>
  <c r="G1626"/>
  <c r="B1627"/>
  <c r="D1627"/>
  <c r="E1627"/>
  <c r="F1627"/>
  <c r="G1627"/>
  <c r="B1628"/>
  <c r="D1628"/>
  <c r="E1628"/>
  <c r="F1628"/>
  <c r="G1628"/>
  <c r="B1629"/>
  <c r="D1629"/>
  <c r="E1629"/>
  <c r="F1629"/>
  <c r="G1629"/>
  <c r="B1630"/>
  <c r="D1630"/>
  <c r="E1630"/>
  <c r="F1630"/>
  <c r="G1630"/>
  <c r="B1631"/>
  <c r="D1631"/>
  <c r="E1631"/>
  <c r="F1631"/>
  <c r="G1631"/>
  <c r="B1612"/>
  <c r="D1612"/>
  <c r="E1612"/>
  <c r="F1612"/>
  <c r="G1612"/>
  <c r="B1613"/>
  <c r="D1613"/>
  <c r="E1613"/>
  <c r="F1613"/>
  <c r="G1613"/>
  <c r="B1614"/>
  <c r="D1614"/>
  <c r="E1614"/>
  <c r="F1614"/>
  <c r="G1614"/>
  <c r="B1615"/>
  <c r="D1615"/>
  <c r="E1615"/>
  <c r="F1615"/>
  <c r="G1615"/>
  <c r="B1616"/>
  <c r="D1616"/>
  <c r="E1616"/>
  <c r="F1616"/>
  <c r="G1616"/>
  <c r="B1617"/>
  <c r="D1617"/>
  <c r="E1617"/>
  <c r="F1617"/>
  <c r="G1617"/>
  <c r="B1618"/>
  <c r="D1618"/>
  <c r="E1618"/>
  <c r="F1618"/>
  <c r="G1618"/>
  <c r="B1619"/>
  <c r="D1619"/>
  <c r="E1619"/>
  <c r="F1619"/>
  <c r="G1619"/>
  <c r="B1620"/>
  <c r="D1620"/>
  <c r="E1620"/>
  <c r="F1620"/>
  <c r="G1620"/>
  <c r="B1621"/>
  <c r="D1621"/>
  <c r="E1621"/>
  <c r="F1621"/>
  <c r="G1621"/>
  <c r="B1602"/>
  <c r="D1602"/>
  <c r="E1602"/>
  <c r="F1602"/>
  <c r="G1602"/>
  <c r="B1603"/>
  <c r="D1603"/>
  <c r="E1603"/>
  <c r="F1603"/>
  <c r="G1603"/>
  <c r="B1604"/>
  <c r="D1604"/>
  <c r="E1604"/>
  <c r="F1604"/>
  <c r="G1604"/>
  <c r="B1605"/>
  <c r="D1605"/>
  <c r="E1605"/>
  <c r="F1605"/>
  <c r="G1605"/>
  <c r="B1606"/>
  <c r="D1606"/>
  <c r="E1606"/>
  <c r="F1606"/>
  <c r="G1606"/>
  <c r="B1607"/>
  <c r="D1607"/>
  <c r="E1607"/>
  <c r="F1607"/>
  <c r="G1607"/>
  <c r="B1608"/>
  <c r="D1608"/>
  <c r="E1608"/>
  <c r="F1608"/>
  <c r="G1608"/>
  <c r="B1609"/>
  <c r="D1609"/>
  <c r="E1609"/>
  <c r="F1609"/>
  <c r="G1609"/>
  <c r="B1610"/>
  <c r="D1610"/>
  <c r="E1610"/>
  <c r="F1610"/>
  <c r="G1610"/>
  <c r="B1611"/>
  <c r="D1611"/>
  <c r="E1611"/>
  <c r="F1611"/>
  <c r="G1611"/>
  <c r="B1592"/>
  <c r="D1592"/>
  <c r="E1592"/>
  <c r="F1592"/>
  <c r="G1592"/>
  <c r="B1593"/>
  <c r="D1593"/>
  <c r="E1593"/>
  <c r="F1593"/>
  <c r="G1593"/>
  <c r="B1594"/>
  <c r="D1594"/>
  <c r="E1594"/>
  <c r="F1594"/>
  <c r="G1594"/>
  <c r="B1595"/>
  <c r="D1595"/>
  <c r="E1595"/>
  <c r="F1595"/>
  <c r="G1595"/>
  <c r="B1596"/>
  <c r="D1596"/>
  <c r="E1596"/>
  <c r="F1596"/>
  <c r="G1596"/>
  <c r="B1597"/>
  <c r="D1597"/>
  <c r="E1597"/>
  <c r="F1597"/>
  <c r="G1597"/>
  <c r="B1598"/>
  <c r="D1598"/>
  <c r="E1598"/>
  <c r="G1598"/>
  <c r="B1599"/>
  <c r="D1599"/>
  <c r="E1599"/>
  <c r="F1599"/>
  <c r="G1599"/>
  <c r="B1600"/>
  <c r="D1600"/>
  <c r="E1600"/>
  <c r="F1600"/>
  <c r="G1600"/>
  <c r="B1601"/>
  <c r="D1601"/>
  <c r="E1601"/>
  <c r="F1601"/>
  <c r="G1601"/>
  <c r="B1582"/>
  <c r="D1582"/>
  <c r="E1582"/>
  <c r="F1582"/>
  <c r="G1582"/>
  <c r="B1583"/>
  <c r="D1583"/>
  <c r="E1583"/>
  <c r="F1583"/>
  <c r="G1583"/>
  <c r="B1584"/>
  <c r="D1584"/>
  <c r="E1584"/>
  <c r="F1584"/>
  <c r="G1584"/>
  <c r="B1585"/>
  <c r="D1585"/>
  <c r="E1585"/>
  <c r="F1585"/>
  <c r="G1585"/>
  <c r="B1586"/>
  <c r="D1586"/>
  <c r="E1586"/>
  <c r="F1586"/>
  <c r="G1586"/>
  <c r="B1587"/>
  <c r="D1587"/>
  <c r="E1587"/>
  <c r="F1587"/>
  <c r="G1587"/>
  <c r="B1588"/>
  <c r="D1588"/>
  <c r="E1588"/>
  <c r="F1588"/>
  <c r="G1588"/>
  <c r="B1589"/>
  <c r="D1589"/>
  <c r="E1589"/>
  <c r="F1589"/>
  <c r="G1589"/>
  <c r="B1590"/>
  <c r="D1590"/>
  <c r="E1590"/>
  <c r="F1590"/>
  <c r="G1590"/>
  <c r="B1591"/>
  <c r="D1591"/>
  <c r="E1591"/>
  <c r="F1591"/>
  <c r="G1591"/>
  <c r="B1572"/>
  <c r="D1572"/>
  <c r="E1572"/>
  <c r="F1572"/>
  <c r="G1572"/>
  <c r="B1573"/>
  <c r="D1573"/>
  <c r="E1573"/>
  <c r="F1573"/>
  <c r="G1573"/>
  <c r="B1574"/>
  <c r="D1574"/>
  <c r="E1574"/>
  <c r="F1574"/>
  <c r="G1574"/>
  <c r="B1575"/>
  <c r="D1575"/>
  <c r="E1575"/>
  <c r="F1575"/>
  <c r="G1575"/>
  <c r="B1576"/>
  <c r="D1576"/>
  <c r="E1576"/>
  <c r="F1576"/>
  <c r="G1576"/>
  <c r="B1577"/>
  <c r="D1577"/>
  <c r="E1577"/>
  <c r="F1577"/>
  <c r="G1577"/>
  <c r="B1578"/>
  <c r="D1578"/>
  <c r="E1578"/>
  <c r="F1578"/>
  <c r="G1578"/>
  <c r="B1579"/>
  <c r="D1579"/>
  <c r="E1579"/>
  <c r="F1579"/>
  <c r="G1579"/>
  <c r="B1580"/>
  <c r="D1580"/>
  <c r="E1580"/>
  <c r="F1580"/>
  <c r="G1580"/>
  <c r="B1581"/>
  <c r="D1581"/>
  <c r="E1581"/>
  <c r="F1581"/>
  <c r="G1581"/>
  <c r="B1562"/>
  <c r="D1562"/>
  <c r="E1562"/>
  <c r="F1562"/>
  <c r="G1562"/>
  <c r="B1563"/>
  <c r="D1563"/>
  <c r="E1563"/>
  <c r="F1563"/>
  <c r="G1563"/>
  <c r="B1564"/>
  <c r="D1564"/>
  <c r="E1564"/>
  <c r="F1564"/>
  <c r="G1564"/>
  <c r="B1565"/>
  <c r="D1565"/>
  <c r="E1565"/>
  <c r="F1565"/>
  <c r="G1565"/>
  <c r="B1566"/>
  <c r="D1566"/>
  <c r="E1566"/>
  <c r="F1566"/>
  <c r="G1566"/>
  <c r="B1567"/>
  <c r="D1567"/>
  <c r="E1567"/>
  <c r="F1567"/>
  <c r="G1567"/>
  <c r="B1568"/>
  <c r="D1568"/>
  <c r="E1568"/>
  <c r="F1568"/>
  <c r="G1568"/>
  <c r="B1569"/>
  <c r="D1569"/>
  <c r="E1569"/>
  <c r="F1569"/>
  <c r="G1569"/>
  <c r="B1570"/>
  <c r="D1570"/>
  <c r="E1570"/>
  <c r="F1570"/>
  <c r="G1570"/>
  <c r="B1571"/>
  <c r="D1571"/>
  <c r="E1571"/>
  <c r="F1571"/>
  <c r="G1571"/>
  <c r="B1552"/>
  <c r="D1552"/>
  <c r="E1552"/>
  <c r="F1552"/>
  <c r="G1552"/>
  <c r="B1553"/>
  <c r="D1553"/>
  <c r="E1553"/>
  <c r="F1553"/>
  <c r="G1553"/>
  <c r="B1554"/>
  <c r="D1554"/>
  <c r="E1554"/>
  <c r="F1554"/>
  <c r="G1554"/>
  <c r="B1555"/>
  <c r="D1555"/>
  <c r="E1555"/>
  <c r="F1555"/>
  <c r="G1555"/>
  <c r="B1556"/>
  <c r="D1556"/>
  <c r="E1556"/>
  <c r="F1556"/>
  <c r="G1556"/>
  <c r="B1557"/>
  <c r="D1557"/>
  <c r="E1557"/>
  <c r="F1557"/>
  <c r="G1557"/>
  <c r="B1558"/>
  <c r="D1558"/>
  <c r="E1558"/>
  <c r="F1558"/>
  <c r="G1558"/>
  <c r="B1559"/>
  <c r="D1559"/>
  <c r="E1559"/>
  <c r="F1559"/>
  <c r="G1559"/>
  <c r="B1560"/>
  <c r="D1560"/>
  <c r="E1560"/>
  <c r="F1560"/>
  <c r="G1560"/>
  <c r="B1561"/>
  <c r="D1561"/>
  <c r="E1561"/>
  <c r="F1561"/>
  <c r="G1561"/>
  <c r="B1542"/>
  <c r="D1542"/>
  <c r="E1542"/>
  <c r="F1542"/>
  <c r="G1542"/>
  <c r="B1543"/>
  <c r="D1543"/>
  <c r="E1543"/>
  <c r="F1543"/>
  <c r="G1543"/>
  <c r="B1544"/>
  <c r="D1544"/>
  <c r="E1544"/>
  <c r="F1544"/>
  <c r="G1544"/>
  <c r="B1545"/>
  <c r="D1545"/>
  <c r="E1545"/>
  <c r="F1545"/>
  <c r="G1545"/>
  <c r="B1546"/>
  <c r="D1546"/>
  <c r="E1546"/>
  <c r="F1546"/>
  <c r="G1546"/>
  <c r="B1547"/>
  <c r="D1547"/>
  <c r="E1547"/>
  <c r="F1547"/>
  <c r="G1547"/>
  <c r="B1548"/>
  <c r="D1548"/>
  <c r="E1548"/>
  <c r="F1548"/>
  <c r="G1548"/>
  <c r="B1549"/>
  <c r="D1549"/>
  <c r="E1549"/>
  <c r="F1549"/>
  <c r="G1549"/>
  <c r="B1550"/>
  <c r="D1550"/>
  <c r="E1550"/>
  <c r="F1550"/>
  <c r="G1550"/>
  <c r="B1551"/>
  <c r="D1551"/>
  <c r="E1551"/>
  <c r="F1551"/>
  <c r="G1551"/>
  <c r="B1532"/>
  <c r="D1532"/>
  <c r="E1532"/>
  <c r="F1532"/>
  <c r="G1532"/>
  <c r="B1533"/>
  <c r="D1533"/>
  <c r="E1533"/>
  <c r="F1533"/>
  <c r="G1533"/>
  <c r="B1534"/>
  <c r="D1534"/>
  <c r="E1534"/>
  <c r="F1534"/>
  <c r="G1534"/>
  <c r="B1535"/>
  <c r="D1535"/>
  <c r="E1535"/>
  <c r="F1535"/>
  <c r="G1535"/>
  <c r="B1536"/>
  <c r="D1536"/>
  <c r="E1536"/>
  <c r="F1536"/>
  <c r="G1536"/>
  <c r="B1537"/>
  <c r="D1537"/>
  <c r="E1537"/>
  <c r="F1537"/>
  <c r="G1537"/>
  <c r="B1538"/>
  <c r="D1538"/>
  <c r="E1538"/>
  <c r="F1538"/>
  <c r="G1538"/>
  <c r="B1539"/>
  <c r="D1539"/>
  <c r="E1539"/>
  <c r="F1539"/>
  <c r="G1539"/>
  <c r="B1540"/>
  <c r="D1540"/>
  <c r="E1540"/>
  <c r="F1540"/>
  <c r="G1540"/>
  <c r="B1541"/>
  <c r="D1541"/>
  <c r="E1541"/>
  <c r="F1541"/>
  <c r="G1541"/>
  <c r="B1522"/>
  <c r="D1522"/>
  <c r="E1522"/>
  <c r="F1522"/>
  <c r="G1522"/>
  <c r="B1523"/>
  <c r="D1523"/>
  <c r="E1523"/>
  <c r="F1523"/>
  <c r="G1523"/>
  <c r="B1524"/>
  <c r="D1524"/>
  <c r="E1524"/>
  <c r="F1524"/>
  <c r="G1524"/>
  <c r="B1525"/>
  <c r="D1525"/>
  <c r="E1525"/>
  <c r="F1525"/>
  <c r="G1525"/>
  <c r="B1526"/>
  <c r="D1526"/>
  <c r="E1526"/>
  <c r="F1526"/>
  <c r="G1526"/>
  <c r="B1527"/>
  <c r="D1527"/>
  <c r="E1527"/>
  <c r="F1527"/>
  <c r="G1527"/>
  <c r="B1528"/>
  <c r="D1528"/>
  <c r="E1528"/>
  <c r="F1528"/>
  <c r="G1528"/>
  <c r="B1529"/>
  <c r="D1529"/>
  <c r="E1529"/>
  <c r="F1529"/>
  <c r="G1529"/>
  <c r="B1530"/>
  <c r="D1530"/>
  <c r="E1530"/>
  <c r="F1530"/>
  <c r="G1530"/>
  <c r="B1531"/>
  <c r="D1531"/>
  <c r="E1531"/>
  <c r="F1531"/>
  <c r="G1531"/>
  <c r="B1512"/>
  <c r="D1512"/>
  <c r="E1512"/>
  <c r="F1512"/>
  <c r="G1512"/>
  <c r="B1513"/>
  <c r="D1513"/>
  <c r="E1513"/>
  <c r="F1513"/>
  <c r="G1513"/>
  <c r="B1514"/>
  <c r="D1514"/>
  <c r="E1514"/>
  <c r="F1514"/>
  <c r="G1514"/>
  <c r="B1515"/>
  <c r="D1515"/>
  <c r="E1515"/>
  <c r="F1515"/>
  <c r="G1515"/>
  <c r="B1516"/>
  <c r="D1516"/>
  <c r="E1516"/>
  <c r="F1516"/>
  <c r="G1516"/>
  <c r="B1517"/>
  <c r="D1517"/>
  <c r="E1517"/>
  <c r="F1517"/>
  <c r="G1517"/>
  <c r="B1518"/>
  <c r="D1518"/>
  <c r="E1518"/>
  <c r="F1518"/>
  <c r="G1518"/>
  <c r="B1519"/>
  <c r="D1519"/>
  <c r="E1519"/>
  <c r="F1519"/>
  <c r="G1519"/>
  <c r="B1520"/>
  <c r="D1520"/>
  <c r="E1520"/>
  <c r="F1520"/>
  <c r="G1520"/>
  <c r="B1521"/>
  <c r="D1521"/>
  <c r="E1521"/>
  <c r="F1521"/>
  <c r="G1521"/>
  <c r="B1502"/>
  <c r="D1502"/>
  <c r="E1502"/>
  <c r="F1502"/>
  <c r="G1502"/>
  <c r="B1503"/>
  <c r="D1503"/>
  <c r="E1503"/>
  <c r="F1503"/>
  <c r="G1503"/>
  <c r="B1504"/>
  <c r="D1504"/>
  <c r="E1504"/>
  <c r="F1504"/>
  <c r="G1504"/>
  <c r="B1505"/>
  <c r="D1505"/>
  <c r="E1505"/>
  <c r="F1505"/>
  <c r="G1505"/>
  <c r="B1506"/>
  <c r="D1506"/>
  <c r="E1506"/>
  <c r="F1506"/>
  <c r="G1506"/>
  <c r="B1507"/>
  <c r="D1507"/>
  <c r="E1507"/>
  <c r="F1507"/>
  <c r="G1507"/>
  <c r="B1508"/>
  <c r="D1508"/>
  <c r="E1508"/>
  <c r="F1508"/>
  <c r="G1508"/>
  <c r="B1509"/>
  <c r="D1509"/>
  <c r="E1509"/>
  <c r="F1509"/>
  <c r="G1509"/>
  <c r="B1510"/>
  <c r="D1510"/>
  <c r="E1510"/>
  <c r="F1510"/>
  <c r="G1510"/>
  <c r="B1511"/>
  <c r="D1511"/>
  <c r="E1511"/>
  <c r="F1511"/>
  <c r="G1511"/>
  <c r="B1492"/>
  <c r="D1492"/>
  <c r="E1492"/>
  <c r="F1492"/>
  <c r="G1492"/>
  <c r="B1493"/>
  <c r="D1493"/>
  <c r="E1493"/>
  <c r="F1493"/>
  <c r="G1493"/>
  <c r="B1494"/>
  <c r="D1494"/>
  <c r="E1494"/>
  <c r="F1494"/>
  <c r="G1494"/>
  <c r="B1495"/>
  <c r="D1495"/>
  <c r="E1495"/>
  <c r="F1495"/>
  <c r="G1495"/>
  <c r="B1496"/>
  <c r="D1496"/>
  <c r="E1496"/>
  <c r="F1496"/>
  <c r="G1496"/>
  <c r="B1497"/>
  <c r="D1497"/>
  <c r="E1497"/>
  <c r="F1497"/>
  <c r="G1497"/>
  <c r="B1498"/>
  <c r="D1498"/>
  <c r="E1498"/>
  <c r="F1498"/>
  <c r="G1498"/>
  <c r="B1499"/>
  <c r="D1499"/>
  <c r="E1499"/>
  <c r="F1499"/>
  <c r="G1499"/>
  <c r="B1500"/>
  <c r="D1500"/>
  <c r="E1500"/>
  <c r="F1500"/>
  <c r="G1500"/>
  <c r="B1501"/>
  <c r="D1501"/>
  <c r="E1501"/>
  <c r="F1501"/>
  <c r="G1501"/>
  <c r="B1482"/>
  <c r="D1482"/>
  <c r="E1482"/>
  <c r="F1482"/>
  <c r="G1482"/>
  <c r="B1483"/>
  <c r="D1483"/>
  <c r="E1483"/>
  <c r="F1483"/>
  <c r="G1483"/>
  <c r="B1484"/>
  <c r="D1484"/>
  <c r="E1484"/>
  <c r="F1484"/>
  <c r="G1484"/>
  <c r="B1485"/>
  <c r="D1485"/>
  <c r="E1485"/>
  <c r="F1485"/>
  <c r="G1485"/>
  <c r="B1486"/>
  <c r="D1486"/>
  <c r="E1486"/>
  <c r="F1486"/>
  <c r="G1486"/>
  <c r="B1487"/>
  <c r="D1487"/>
  <c r="E1487"/>
  <c r="F1487"/>
  <c r="G1487"/>
  <c r="B1488"/>
  <c r="D1488"/>
  <c r="E1488"/>
  <c r="F1488"/>
  <c r="G1488"/>
  <c r="B1489"/>
  <c r="D1489"/>
  <c r="E1489"/>
  <c r="F1489"/>
  <c r="G1489"/>
  <c r="B1490"/>
  <c r="D1490"/>
  <c r="E1490"/>
  <c r="F1490"/>
  <c r="G1490"/>
  <c r="B1491"/>
  <c r="D1491"/>
  <c r="E1491"/>
  <c r="F1491"/>
  <c r="G1491"/>
  <c r="B1472"/>
  <c r="D1472"/>
  <c r="E1472"/>
  <c r="F1472"/>
  <c r="G1472"/>
  <c r="B1473"/>
  <c r="D1473"/>
  <c r="E1473"/>
  <c r="F1473"/>
  <c r="G1473"/>
  <c r="B1474"/>
  <c r="D1474"/>
  <c r="E1474"/>
  <c r="F1474"/>
  <c r="G1474"/>
  <c r="B1475"/>
  <c r="D1475"/>
  <c r="E1475"/>
  <c r="F1475"/>
  <c r="G1475"/>
  <c r="B1476"/>
  <c r="D1476"/>
  <c r="E1476"/>
  <c r="F1476"/>
  <c r="G1476"/>
  <c r="B1477"/>
  <c r="D1477"/>
  <c r="E1477"/>
  <c r="F1477"/>
  <c r="G1477"/>
  <c r="B1478"/>
  <c r="D1478"/>
  <c r="E1478"/>
  <c r="F1478"/>
  <c r="G1478"/>
  <c r="B1479"/>
  <c r="D1479"/>
  <c r="E1479"/>
  <c r="F1479"/>
  <c r="G1479"/>
  <c r="B1480"/>
  <c r="D1480"/>
  <c r="E1480"/>
  <c r="F1480"/>
  <c r="G1480"/>
  <c r="B1481"/>
  <c r="D1481"/>
  <c r="E1481"/>
  <c r="F1481"/>
  <c r="G1481"/>
  <c r="B1462"/>
  <c r="D1462"/>
  <c r="E1462"/>
  <c r="F1462"/>
  <c r="G1462"/>
  <c r="B1463"/>
  <c r="D1463"/>
  <c r="E1463"/>
  <c r="F1463"/>
  <c r="G1463"/>
  <c r="B1464"/>
  <c r="D1464"/>
  <c r="E1464"/>
  <c r="F1464"/>
  <c r="G1464"/>
  <c r="B1465"/>
  <c r="D1465"/>
  <c r="E1465"/>
  <c r="F1465"/>
  <c r="G1465"/>
  <c r="B1466"/>
  <c r="D1466"/>
  <c r="E1466"/>
  <c r="F1466"/>
  <c r="G1466"/>
  <c r="B1467"/>
  <c r="D1467"/>
  <c r="E1467"/>
  <c r="F1467"/>
  <c r="G1467"/>
  <c r="B1468"/>
  <c r="D1468"/>
  <c r="E1468"/>
  <c r="F1468"/>
  <c r="G1468"/>
  <c r="B1469"/>
  <c r="D1469"/>
  <c r="E1469"/>
  <c r="F1469"/>
  <c r="G1469"/>
  <c r="B1470"/>
  <c r="D1470"/>
  <c r="E1470"/>
  <c r="F1470"/>
  <c r="G1470"/>
  <c r="B1471"/>
  <c r="D1471"/>
  <c r="E1471"/>
  <c r="F1471"/>
  <c r="G1471"/>
  <c r="B1452"/>
  <c r="D1452"/>
  <c r="E1452"/>
  <c r="F1452"/>
  <c r="G1452"/>
  <c r="B1453"/>
  <c r="D1453"/>
  <c r="E1453"/>
  <c r="F1453"/>
  <c r="G1453"/>
  <c r="B1454"/>
  <c r="D1454"/>
  <c r="E1454"/>
  <c r="F1454"/>
  <c r="G1454"/>
  <c r="B1455"/>
  <c r="D1455"/>
  <c r="E1455"/>
  <c r="F1455"/>
  <c r="G1455"/>
  <c r="B1456"/>
  <c r="D1456"/>
  <c r="E1456"/>
  <c r="F1456"/>
  <c r="G1456"/>
  <c r="B1457"/>
  <c r="D1457"/>
  <c r="E1457"/>
  <c r="F1457"/>
  <c r="G1457"/>
  <c r="B1458"/>
  <c r="D1458"/>
  <c r="E1458"/>
  <c r="F1458"/>
  <c r="G1458"/>
  <c r="B1459"/>
  <c r="D1459"/>
  <c r="E1459"/>
  <c r="F1459"/>
  <c r="G1459"/>
  <c r="B1460"/>
  <c r="D1460"/>
  <c r="E1460"/>
  <c r="F1460"/>
  <c r="G1460"/>
  <c r="B1461"/>
  <c r="D1461"/>
  <c r="E1461"/>
  <c r="F1461"/>
  <c r="G1461"/>
  <c r="B1442"/>
  <c r="D1442"/>
  <c r="E1442"/>
  <c r="F1442"/>
  <c r="G1442"/>
  <c r="B1443"/>
  <c r="D1443"/>
  <c r="E1443"/>
  <c r="F1443"/>
  <c r="G1443"/>
  <c r="B1444"/>
  <c r="D1444"/>
  <c r="E1444"/>
  <c r="F1444"/>
  <c r="G1444"/>
  <c r="B1445"/>
  <c r="D1445"/>
  <c r="E1445"/>
  <c r="G1445"/>
  <c r="B1446"/>
  <c r="D1446"/>
  <c r="E1446"/>
  <c r="G1446"/>
  <c r="B1447"/>
  <c r="D1447"/>
  <c r="E1447"/>
  <c r="F1447"/>
  <c r="G1447"/>
  <c r="B1448"/>
  <c r="D1448"/>
  <c r="E1448"/>
  <c r="F1448"/>
  <c r="G1448"/>
  <c r="B1449"/>
  <c r="D1449"/>
  <c r="E1449"/>
  <c r="F1449"/>
  <c r="G1449"/>
  <c r="B1450"/>
  <c r="D1450"/>
  <c r="E1450"/>
  <c r="F1450"/>
  <c r="G1450"/>
  <c r="B1451"/>
  <c r="D1451"/>
  <c r="E1451"/>
  <c r="F1451"/>
  <c r="G1451"/>
  <c r="B1432"/>
  <c r="D1432"/>
  <c r="E1432"/>
  <c r="F1432"/>
  <c r="G1432"/>
  <c r="B1433"/>
  <c r="D1433"/>
  <c r="E1433"/>
  <c r="G1433"/>
  <c r="B1434"/>
  <c r="D1434"/>
  <c r="E1434"/>
  <c r="G1434"/>
  <c r="B1435"/>
  <c r="D1435"/>
  <c r="E1435"/>
  <c r="F1435"/>
  <c r="G1435"/>
  <c r="B1436"/>
  <c r="D1436"/>
  <c r="E1436"/>
  <c r="G1436"/>
  <c r="B1437"/>
  <c r="D1437"/>
  <c r="E1437"/>
  <c r="F1437"/>
  <c r="G1437"/>
  <c r="B1438"/>
  <c r="D1438"/>
  <c r="E1438"/>
  <c r="F1438"/>
  <c r="G1438"/>
  <c r="B1439"/>
  <c r="D1439"/>
  <c r="E1439"/>
  <c r="F1439"/>
  <c r="G1439"/>
  <c r="B1440"/>
  <c r="D1440"/>
  <c r="E1440"/>
  <c r="F1440"/>
  <c r="G1440"/>
  <c r="B1441"/>
  <c r="D1441"/>
  <c r="E1441"/>
  <c r="G1441"/>
  <c r="B1422"/>
  <c r="D1422"/>
  <c r="E1422"/>
  <c r="F1422"/>
  <c r="G1422"/>
  <c r="B1423"/>
  <c r="D1423"/>
  <c r="E1423"/>
  <c r="F1423"/>
  <c r="G1423"/>
  <c r="B1424"/>
  <c r="D1424"/>
  <c r="E1424"/>
  <c r="F1424"/>
  <c r="G1424"/>
  <c r="B1425"/>
  <c r="D1425"/>
  <c r="E1425"/>
  <c r="G1425"/>
  <c r="B1426"/>
  <c r="D1426"/>
  <c r="E1426"/>
  <c r="F1426"/>
  <c r="G1426"/>
  <c r="B1427"/>
  <c r="D1427"/>
  <c r="E1427"/>
  <c r="F1427"/>
  <c r="G1427"/>
  <c r="B1428"/>
  <c r="D1428"/>
  <c r="E1428"/>
  <c r="F1428"/>
  <c r="G1428"/>
  <c r="B1429"/>
  <c r="D1429"/>
  <c r="E1429"/>
  <c r="F1429"/>
  <c r="G1429"/>
  <c r="B1430"/>
  <c r="D1430"/>
  <c r="E1430"/>
  <c r="G1430"/>
  <c r="B1431"/>
  <c r="D1431"/>
  <c r="E1431"/>
  <c r="F1431"/>
  <c r="G1431"/>
  <c r="B1412"/>
  <c r="D1412"/>
  <c r="E1412"/>
  <c r="F1412"/>
  <c r="G1412"/>
  <c r="B1413"/>
  <c r="D1413"/>
  <c r="E1413"/>
  <c r="F1413"/>
  <c r="G1413"/>
  <c r="B1414"/>
  <c r="D1414"/>
  <c r="E1414"/>
  <c r="F1414"/>
  <c r="G1414"/>
  <c r="B1415"/>
  <c r="D1415"/>
  <c r="E1415"/>
  <c r="F1415"/>
  <c r="G1415"/>
  <c r="B1416"/>
  <c r="D1416"/>
  <c r="E1416"/>
  <c r="F1416"/>
  <c r="G1416"/>
  <c r="B1417"/>
  <c r="D1417"/>
  <c r="E1417"/>
  <c r="F1417"/>
  <c r="G1417"/>
  <c r="B1418"/>
  <c r="D1418"/>
  <c r="E1418"/>
  <c r="F1418"/>
  <c r="G1418"/>
  <c r="B1419"/>
  <c r="D1419"/>
  <c r="E1419"/>
  <c r="F1419"/>
  <c r="G1419"/>
  <c r="B1420"/>
  <c r="D1420"/>
  <c r="E1420"/>
  <c r="F1420"/>
  <c r="G1420"/>
  <c r="B1421"/>
  <c r="D1421"/>
  <c r="E1421"/>
  <c r="F1421"/>
  <c r="G1421"/>
  <c r="B1402"/>
  <c r="D1402"/>
  <c r="E1402"/>
  <c r="F1402"/>
  <c r="G1402"/>
  <c r="B1403"/>
  <c r="D1403"/>
  <c r="E1403"/>
  <c r="F1403"/>
  <c r="G1403"/>
  <c r="B1404"/>
  <c r="D1404"/>
  <c r="E1404"/>
  <c r="F1404"/>
  <c r="G1404"/>
  <c r="B1405"/>
  <c r="D1405"/>
  <c r="E1405"/>
  <c r="F1405"/>
  <c r="G1405"/>
  <c r="B1406"/>
  <c r="D1406"/>
  <c r="E1406"/>
  <c r="F1406"/>
  <c r="G1406"/>
  <c r="B1407"/>
  <c r="D1407"/>
  <c r="E1407"/>
  <c r="F1407"/>
  <c r="G1407"/>
  <c r="B1408"/>
  <c r="D1408"/>
  <c r="E1408"/>
  <c r="F1408"/>
  <c r="G1408"/>
  <c r="B1409"/>
  <c r="D1409"/>
  <c r="E1409"/>
  <c r="F1409"/>
  <c r="G1409"/>
  <c r="B1410"/>
  <c r="D1410"/>
  <c r="E1410"/>
  <c r="F1410"/>
  <c r="G1410"/>
  <c r="B1411"/>
  <c r="D1411"/>
  <c r="E1411"/>
  <c r="F1411"/>
  <c r="G1411"/>
  <c r="B1392"/>
  <c r="D1392"/>
  <c r="E1392"/>
  <c r="F1392"/>
  <c r="G1392"/>
  <c r="B1393"/>
  <c r="D1393"/>
  <c r="E1393"/>
  <c r="F1393"/>
  <c r="G1393"/>
  <c r="B1394"/>
  <c r="D1394"/>
  <c r="E1394"/>
  <c r="F1394"/>
  <c r="G1394"/>
  <c r="B1395"/>
  <c r="D1395"/>
  <c r="E1395"/>
  <c r="F1395"/>
  <c r="G1395"/>
  <c r="B1396"/>
  <c r="D1396"/>
  <c r="E1396"/>
  <c r="F1396"/>
  <c r="G1396"/>
  <c r="B1397"/>
  <c r="D1397"/>
  <c r="E1397"/>
  <c r="F1397"/>
  <c r="G1397"/>
  <c r="B1398"/>
  <c r="D1398"/>
  <c r="E1398"/>
  <c r="F1398"/>
  <c r="G1398"/>
  <c r="B1399"/>
  <c r="D1399"/>
  <c r="E1399"/>
  <c r="F1399"/>
  <c r="G1399"/>
  <c r="B1400"/>
  <c r="D1400"/>
  <c r="E1400"/>
  <c r="F1400"/>
  <c r="G1400"/>
  <c r="B1401"/>
  <c r="D1401"/>
  <c r="E1401"/>
  <c r="F1401"/>
  <c r="G1401"/>
  <c r="B1382"/>
  <c r="D1382"/>
  <c r="E1382"/>
  <c r="F1382"/>
  <c r="G1382"/>
  <c r="B1383"/>
  <c r="D1383"/>
  <c r="E1383"/>
  <c r="F1383"/>
  <c r="G1383"/>
  <c r="B1384"/>
  <c r="D1384"/>
  <c r="E1384"/>
  <c r="F1384"/>
  <c r="G1384"/>
  <c r="B1385"/>
  <c r="D1385"/>
  <c r="E1385"/>
  <c r="F1385"/>
  <c r="G1385"/>
  <c r="B1386"/>
  <c r="D1386"/>
  <c r="E1386"/>
  <c r="F1386"/>
  <c r="G1386"/>
  <c r="B1387"/>
  <c r="D1387"/>
  <c r="E1387"/>
  <c r="F1387"/>
  <c r="G1387"/>
  <c r="B1388"/>
  <c r="D1388"/>
  <c r="E1388"/>
  <c r="F1388"/>
  <c r="G1388"/>
  <c r="B1389"/>
  <c r="D1389"/>
  <c r="E1389"/>
  <c r="G1389"/>
  <c r="B1390"/>
  <c r="D1390"/>
  <c r="E1390"/>
  <c r="F1390"/>
  <c r="G1390"/>
  <c r="B1391"/>
  <c r="D1391"/>
  <c r="E1391"/>
  <c r="F1391"/>
  <c r="G1391"/>
  <c r="B1372"/>
  <c r="D1372"/>
  <c r="E1372"/>
  <c r="F1372"/>
  <c r="G1372"/>
  <c r="B1373"/>
  <c r="D1373"/>
  <c r="E1373"/>
  <c r="F1373"/>
  <c r="G1373"/>
  <c r="B1374"/>
  <c r="D1374"/>
  <c r="E1374"/>
  <c r="F1374"/>
  <c r="G1374"/>
  <c r="B1375"/>
  <c r="D1375"/>
  <c r="E1375"/>
  <c r="F1375"/>
  <c r="G1375"/>
  <c r="B1376"/>
  <c r="D1376"/>
  <c r="E1376"/>
  <c r="F1376"/>
  <c r="G1376"/>
  <c r="B1377"/>
  <c r="D1377"/>
  <c r="E1377"/>
  <c r="F1377"/>
  <c r="G1377"/>
  <c r="B1378"/>
  <c r="D1378"/>
  <c r="E1378"/>
  <c r="F1378"/>
  <c r="G1378"/>
  <c r="B1379"/>
  <c r="D1379"/>
  <c r="E1379"/>
  <c r="F1379"/>
  <c r="G1379"/>
  <c r="B1380"/>
  <c r="D1380"/>
  <c r="E1380"/>
  <c r="F1380"/>
  <c r="G1380"/>
  <c r="B1381"/>
  <c r="D1381"/>
  <c r="E1381"/>
  <c r="F1381"/>
  <c r="G1381"/>
  <c r="B1362"/>
  <c r="D1362"/>
  <c r="E1362"/>
  <c r="F1362"/>
  <c r="G1362"/>
  <c r="B1363"/>
  <c r="D1363"/>
  <c r="E1363"/>
  <c r="F1363"/>
  <c r="G1363"/>
  <c r="B1364"/>
  <c r="D1364"/>
  <c r="E1364"/>
  <c r="F1364"/>
  <c r="G1364"/>
  <c r="B1365"/>
  <c r="D1365"/>
  <c r="E1365"/>
  <c r="F1365"/>
  <c r="G1365"/>
  <c r="B1366"/>
  <c r="D1366"/>
  <c r="E1366"/>
  <c r="F1366"/>
  <c r="G1366"/>
  <c r="B1367"/>
  <c r="D1367"/>
  <c r="E1367"/>
  <c r="F1367"/>
  <c r="G1367"/>
  <c r="B1368"/>
  <c r="D1368"/>
  <c r="E1368"/>
  <c r="F1368"/>
  <c r="G1368"/>
  <c r="B1369"/>
  <c r="D1369"/>
  <c r="E1369"/>
  <c r="F1369"/>
  <c r="G1369"/>
  <c r="B1370"/>
  <c r="D1370"/>
  <c r="E1370"/>
  <c r="F1370"/>
  <c r="G1370"/>
  <c r="B1371"/>
  <c r="D1371"/>
  <c r="E1371"/>
  <c r="F1371"/>
  <c r="G1371"/>
  <c r="B1352"/>
  <c r="D1352"/>
  <c r="E1352"/>
  <c r="F1352"/>
  <c r="G1352"/>
  <c r="B1353"/>
  <c r="D1353"/>
  <c r="E1353"/>
  <c r="F1353"/>
  <c r="G1353"/>
  <c r="B1354"/>
  <c r="D1354"/>
  <c r="E1354"/>
  <c r="F1354"/>
  <c r="G1354"/>
  <c r="B1355"/>
  <c r="D1355"/>
  <c r="E1355"/>
  <c r="F1355"/>
  <c r="G1355"/>
  <c r="B1356"/>
  <c r="D1356"/>
  <c r="E1356"/>
  <c r="F1356"/>
  <c r="G1356"/>
  <c r="B1357"/>
  <c r="D1357"/>
  <c r="E1357"/>
  <c r="F1357"/>
  <c r="G1357"/>
  <c r="B1358"/>
  <c r="D1358"/>
  <c r="E1358"/>
  <c r="F1358"/>
  <c r="G1358"/>
  <c r="B1359"/>
  <c r="D1359"/>
  <c r="E1359"/>
  <c r="F1359"/>
  <c r="G1359"/>
  <c r="B1360"/>
  <c r="D1360"/>
  <c r="E1360"/>
  <c r="F1360"/>
  <c r="G1360"/>
  <c r="B1361"/>
  <c r="D1361"/>
  <c r="E1361"/>
  <c r="F1361"/>
  <c r="G1361"/>
  <c r="B1342"/>
  <c r="D1342"/>
  <c r="E1342"/>
  <c r="F1342"/>
  <c r="G1342"/>
  <c r="B1343"/>
  <c r="D1343"/>
  <c r="E1343"/>
  <c r="F1343"/>
  <c r="G1343"/>
  <c r="B1344"/>
  <c r="D1344"/>
  <c r="E1344"/>
  <c r="F1344"/>
  <c r="G1344"/>
  <c r="B1345"/>
  <c r="D1345"/>
  <c r="E1345"/>
  <c r="F1345"/>
  <c r="G1345"/>
  <c r="B1346"/>
  <c r="D1346"/>
  <c r="E1346"/>
  <c r="F1346"/>
  <c r="G1346"/>
  <c r="B1347"/>
  <c r="D1347"/>
  <c r="E1347"/>
  <c r="F1347"/>
  <c r="G1347"/>
  <c r="B1348"/>
  <c r="D1348"/>
  <c r="E1348"/>
  <c r="F1348"/>
  <c r="G1348"/>
  <c r="B1349"/>
  <c r="D1349"/>
  <c r="E1349"/>
  <c r="F1349"/>
  <c r="G1349"/>
  <c r="B1350"/>
  <c r="D1350"/>
  <c r="E1350"/>
  <c r="F1350"/>
  <c r="G1350"/>
  <c r="B1351"/>
  <c r="D1351"/>
  <c r="E1351"/>
  <c r="F1351"/>
  <c r="G1351"/>
  <c r="B1332"/>
  <c r="D1332"/>
  <c r="E1332"/>
  <c r="F1332"/>
  <c r="G1332"/>
  <c r="B1333"/>
  <c r="D1333"/>
  <c r="E1333"/>
  <c r="F1333"/>
  <c r="G1333"/>
  <c r="B1334"/>
  <c r="D1334"/>
  <c r="E1334"/>
  <c r="F1334"/>
  <c r="G1334"/>
  <c r="B1335"/>
  <c r="D1335"/>
  <c r="E1335"/>
  <c r="F1335"/>
  <c r="G1335"/>
  <c r="B1336"/>
  <c r="D1336"/>
  <c r="E1336"/>
  <c r="F1336"/>
  <c r="G1336"/>
  <c r="B1337"/>
  <c r="D1337"/>
  <c r="E1337"/>
  <c r="F1337"/>
  <c r="G1337"/>
  <c r="B1338"/>
  <c r="D1338"/>
  <c r="E1338"/>
  <c r="F1338"/>
  <c r="G1338"/>
  <c r="B1339"/>
  <c r="D1339"/>
  <c r="E1339"/>
  <c r="F1339"/>
  <c r="G1339"/>
  <c r="B1340"/>
  <c r="D1340"/>
  <c r="E1340"/>
  <c r="F1340"/>
  <c r="G1340"/>
  <c r="B1341"/>
  <c r="D1341"/>
  <c r="E1341"/>
  <c r="F1341"/>
  <c r="G1341"/>
  <c r="B1322"/>
  <c r="D1322"/>
  <c r="E1322"/>
  <c r="F1322"/>
  <c r="G1322"/>
  <c r="B1323"/>
  <c r="D1323"/>
  <c r="E1323"/>
  <c r="F1323"/>
  <c r="G1323"/>
  <c r="B1324"/>
  <c r="D1324"/>
  <c r="E1324"/>
  <c r="F1324"/>
  <c r="G1324"/>
  <c r="B1325"/>
  <c r="D1325"/>
  <c r="E1325"/>
  <c r="F1325"/>
  <c r="G1325"/>
  <c r="B1326"/>
  <c r="D1326"/>
  <c r="E1326"/>
  <c r="F1326"/>
  <c r="G1326"/>
  <c r="B1327"/>
  <c r="D1327"/>
  <c r="E1327"/>
  <c r="F1327"/>
  <c r="G1327"/>
  <c r="B1328"/>
  <c r="D1328"/>
  <c r="E1328"/>
  <c r="F1328"/>
  <c r="G1328"/>
  <c r="B1329"/>
  <c r="D1329"/>
  <c r="E1329"/>
  <c r="F1329"/>
  <c r="G1329"/>
  <c r="B1330"/>
  <c r="D1330"/>
  <c r="E1330"/>
  <c r="F1330"/>
  <c r="G1330"/>
  <c r="B1331"/>
  <c r="D1331"/>
  <c r="E1331"/>
  <c r="F1331"/>
  <c r="G1331"/>
  <c r="B1312"/>
  <c r="D1312"/>
  <c r="E1312"/>
  <c r="F1312"/>
  <c r="G1312"/>
  <c r="B1313"/>
  <c r="D1313"/>
  <c r="E1313"/>
  <c r="F1313"/>
  <c r="G1313"/>
  <c r="B1314"/>
  <c r="D1314"/>
  <c r="E1314"/>
  <c r="F1314"/>
  <c r="G1314"/>
  <c r="B1315"/>
  <c r="D1315"/>
  <c r="E1315"/>
  <c r="F1315"/>
  <c r="G1315"/>
  <c r="B1316"/>
  <c r="D1316"/>
  <c r="E1316"/>
  <c r="F1316"/>
  <c r="G1316"/>
  <c r="B1317"/>
  <c r="D1317"/>
  <c r="E1317"/>
  <c r="F1317"/>
  <c r="G1317"/>
  <c r="B1318"/>
  <c r="D1318"/>
  <c r="E1318"/>
  <c r="F1318"/>
  <c r="G1318"/>
  <c r="B1319"/>
  <c r="D1319"/>
  <c r="E1319"/>
  <c r="F1319"/>
  <c r="G1319"/>
  <c r="B1320"/>
  <c r="D1320"/>
  <c r="E1320"/>
  <c r="F1320"/>
  <c r="G1320"/>
  <c r="B1321"/>
  <c r="D1321"/>
  <c r="E1321"/>
  <c r="F1321"/>
  <c r="G1321"/>
  <c r="B1302"/>
  <c r="D1302"/>
  <c r="E1302"/>
  <c r="F1302"/>
  <c r="G1302"/>
  <c r="B1303"/>
  <c r="D1303"/>
  <c r="E1303"/>
  <c r="F1303"/>
  <c r="G1303"/>
  <c r="B1304"/>
  <c r="D1304"/>
  <c r="E1304"/>
  <c r="F1304"/>
  <c r="G1304"/>
  <c r="B1305"/>
  <c r="D1305"/>
  <c r="E1305"/>
  <c r="F1305"/>
  <c r="G1305"/>
  <c r="B1306"/>
  <c r="D1306"/>
  <c r="E1306"/>
  <c r="F1306"/>
  <c r="G1306"/>
  <c r="B1307"/>
  <c r="D1307"/>
  <c r="E1307"/>
  <c r="F1307"/>
  <c r="G1307"/>
  <c r="B1308"/>
  <c r="D1308"/>
  <c r="E1308"/>
  <c r="F1308"/>
  <c r="G1308"/>
  <c r="B1309"/>
  <c r="D1309"/>
  <c r="E1309"/>
  <c r="F1309"/>
  <c r="G1309"/>
  <c r="B1310"/>
  <c r="D1310"/>
  <c r="E1310"/>
  <c r="F1310"/>
  <c r="G1310"/>
  <c r="B1311"/>
  <c r="D1311"/>
  <c r="E1311"/>
  <c r="F1311"/>
  <c r="G1311"/>
  <c r="B1292"/>
  <c r="D1292"/>
  <c r="E1292"/>
  <c r="F1292"/>
  <c r="G1292"/>
  <c r="B1293"/>
  <c r="D1293"/>
  <c r="E1293"/>
  <c r="F1293"/>
  <c r="G1293"/>
  <c r="B1294"/>
  <c r="D1294"/>
  <c r="E1294"/>
  <c r="F1294"/>
  <c r="G1294"/>
  <c r="B1295"/>
  <c r="D1295"/>
  <c r="E1295"/>
  <c r="F1295"/>
  <c r="G1295"/>
  <c r="B1296"/>
  <c r="D1296"/>
  <c r="E1296"/>
  <c r="F1296"/>
  <c r="G1296"/>
  <c r="B1297"/>
  <c r="D1297"/>
  <c r="E1297"/>
  <c r="F1297"/>
  <c r="G1297"/>
  <c r="B1298"/>
  <c r="D1298"/>
  <c r="E1298"/>
  <c r="F1298"/>
  <c r="G1298"/>
  <c r="B1299"/>
  <c r="D1299"/>
  <c r="E1299"/>
  <c r="F1299"/>
  <c r="G1299"/>
  <c r="B1300"/>
  <c r="D1300"/>
  <c r="E1300"/>
  <c r="F1300"/>
  <c r="G1300"/>
  <c r="B1301"/>
  <c r="D1301"/>
  <c r="E1301"/>
  <c r="F1301"/>
  <c r="G1301"/>
  <c r="B1282"/>
  <c r="D1282"/>
  <c r="E1282"/>
  <c r="F1282"/>
  <c r="G1282"/>
  <c r="B1283"/>
  <c r="D1283"/>
  <c r="E1283"/>
  <c r="F1283"/>
  <c r="G1283"/>
  <c r="B1284"/>
  <c r="D1284"/>
  <c r="E1284"/>
  <c r="F1284"/>
  <c r="G1284"/>
  <c r="B1285"/>
  <c r="D1285"/>
  <c r="E1285"/>
  <c r="F1285"/>
  <c r="G1285"/>
  <c r="B1286"/>
  <c r="D1286"/>
  <c r="E1286"/>
  <c r="F1286"/>
  <c r="G1286"/>
  <c r="B1287"/>
  <c r="D1287"/>
  <c r="E1287"/>
  <c r="F1287"/>
  <c r="G1287"/>
  <c r="B1288"/>
  <c r="D1288"/>
  <c r="E1288"/>
  <c r="F1288"/>
  <c r="G1288"/>
  <c r="B1289"/>
  <c r="D1289"/>
  <c r="E1289"/>
  <c r="F1289"/>
  <c r="G1289"/>
  <c r="B1290"/>
  <c r="D1290"/>
  <c r="E1290"/>
  <c r="F1290"/>
  <c r="G1290"/>
  <c r="B1291"/>
  <c r="D1291"/>
  <c r="E1291"/>
  <c r="F1291"/>
  <c r="G1291"/>
  <c r="B1272"/>
  <c r="D1272"/>
  <c r="E1272"/>
  <c r="F1272"/>
  <c r="G1272"/>
  <c r="B1273"/>
  <c r="D1273"/>
  <c r="E1273"/>
  <c r="F1273"/>
  <c r="G1273"/>
  <c r="B1274"/>
  <c r="D1274"/>
  <c r="E1274"/>
  <c r="F1274"/>
  <c r="G1274"/>
  <c r="B1275"/>
  <c r="D1275"/>
  <c r="E1275"/>
  <c r="F1275"/>
  <c r="G1275"/>
  <c r="B1276"/>
  <c r="D1276"/>
  <c r="E1276"/>
  <c r="F1276"/>
  <c r="G1276"/>
  <c r="B1277"/>
  <c r="D1277"/>
  <c r="E1277"/>
  <c r="F1277"/>
  <c r="G1277"/>
  <c r="B1278"/>
  <c r="D1278"/>
  <c r="E1278"/>
  <c r="F1278"/>
  <c r="G1278"/>
  <c r="B1279"/>
  <c r="D1279"/>
  <c r="E1279"/>
  <c r="F1279"/>
  <c r="G1279"/>
  <c r="B1280"/>
  <c r="D1280"/>
  <c r="E1280"/>
  <c r="F1280"/>
  <c r="G1280"/>
  <c r="B1281"/>
  <c r="D1281"/>
  <c r="E1281"/>
  <c r="F1281"/>
  <c r="G1281"/>
  <c r="B1262"/>
  <c r="D1262"/>
  <c r="E1262"/>
  <c r="G1262"/>
  <c r="B1263"/>
  <c r="D1263"/>
  <c r="E1263"/>
  <c r="G1263"/>
  <c r="B1264"/>
  <c r="D1264"/>
  <c r="E1264"/>
  <c r="F1264"/>
  <c r="G1264"/>
  <c r="B1265"/>
  <c r="D1265"/>
  <c r="E1265"/>
  <c r="F1265"/>
  <c r="G1265"/>
  <c r="B1266"/>
  <c r="D1266"/>
  <c r="E1266"/>
  <c r="F1266"/>
  <c r="G1266"/>
  <c r="B1267"/>
  <c r="D1267"/>
  <c r="E1267"/>
  <c r="G1267"/>
  <c r="B1268"/>
  <c r="D1268"/>
  <c r="E1268"/>
  <c r="F1268"/>
  <c r="G1268"/>
  <c r="B1269"/>
  <c r="D1269"/>
  <c r="E1269"/>
  <c r="F1269"/>
  <c r="G1269"/>
  <c r="B1270"/>
  <c r="D1270"/>
  <c r="E1270"/>
  <c r="F1270"/>
  <c r="G1270"/>
  <c r="B1271"/>
  <c r="D1271"/>
  <c r="E1271"/>
  <c r="F1271"/>
  <c r="G1271"/>
  <c r="B1252"/>
  <c r="D1252"/>
  <c r="E1252"/>
  <c r="F1252"/>
  <c r="G1252"/>
  <c r="B1253"/>
  <c r="D1253"/>
  <c r="E1253"/>
  <c r="F1253"/>
  <c r="G1253"/>
  <c r="B1254"/>
  <c r="D1254"/>
  <c r="E1254"/>
  <c r="F1254"/>
  <c r="G1254"/>
  <c r="B1255"/>
  <c r="D1255"/>
  <c r="E1255"/>
  <c r="F1255"/>
  <c r="G1255"/>
  <c r="B1256"/>
  <c r="D1256"/>
  <c r="E1256"/>
  <c r="F1256"/>
  <c r="G1256"/>
  <c r="B1257"/>
  <c r="D1257"/>
  <c r="E1257"/>
  <c r="F1257"/>
  <c r="G1257"/>
  <c r="B1258"/>
  <c r="D1258"/>
  <c r="E1258"/>
  <c r="G1258"/>
  <c r="B1259"/>
  <c r="D1259"/>
  <c r="E1259"/>
  <c r="F1259"/>
  <c r="G1259"/>
  <c r="B1260"/>
  <c r="D1260"/>
  <c r="E1260"/>
  <c r="G1260"/>
  <c r="B1261"/>
  <c r="D1261"/>
  <c r="E1261"/>
  <c r="F1261"/>
  <c r="G1261"/>
  <c r="B1242"/>
  <c r="D1242"/>
  <c r="E1242"/>
  <c r="F1242"/>
  <c r="G1242"/>
  <c r="B1243"/>
  <c r="D1243"/>
  <c r="E1243"/>
  <c r="F1243"/>
  <c r="G1243"/>
  <c r="B1244"/>
  <c r="D1244"/>
  <c r="E1244"/>
  <c r="F1244"/>
  <c r="G1244"/>
  <c r="B1245"/>
  <c r="D1245"/>
  <c r="E1245"/>
  <c r="F1245"/>
  <c r="G1245"/>
  <c r="B1246"/>
  <c r="D1246"/>
  <c r="E1246"/>
  <c r="F1246"/>
  <c r="G1246"/>
  <c r="B1247"/>
  <c r="D1247"/>
  <c r="E1247"/>
  <c r="F1247"/>
  <c r="G1247"/>
  <c r="B1248"/>
  <c r="D1248"/>
  <c r="E1248"/>
  <c r="F1248"/>
  <c r="G1248"/>
  <c r="B1249"/>
  <c r="D1249"/>
  <c r="E1249"/>
  <c r="F1249"/>
  <c r="G1249"/>
  <c r="B1250"/>
  <c r="D1250"/>
  <c r="E1250"/>
  <c r="F1250"/>
  <c r="G1250"/>
  <c r="B1251"/>
  <c r="D1251"/>
  <c r="E1251"/>
  <c r="F1251"/>
  <c r="G1251"/>
  <c r="B1232"/>
  <c r="D1232"/>
  <c r="E1232"/>
  <c r="F1232"/>
  <c r="G1232"/>
  <c r="B1233"/>
  <c r="D1233"/>
  <c r="E1233"/>
  <c r="F1233"/>
  <c r="G1233"/>
  <c r="B1234"/>
  <c r="D1234"/>
  <c r="E1234"/>
  <c r="F1234"/>
  <c r="G1234"/>
  <c r="B1235"/>
  <c r="D1235"/>
  <c r="E1235"/>
  <c r="F1235"/>
  <c r="G1235"/>
  <c r="B1236"/>
  <c r="D1236"/>
  <c r="E1236"/>
  <c r="F1236"/>
  <c r="G1236"/>
  <c r="B1237"/>
  <c r="D1237"/>
  <c r="E1237"/>
  <c r="F1237"/>
  <c r="G1237"/>
  <c r="B1238"/>
  <c r="D1238"/>
  <c r="E1238"/>
  <c r="F1238"/>
  <c r="G1238"/>
  <c r="B1239"/>
  <c r="D1239"/>
  <c r="E1239"/>
  <c r="F1239"/>
  <c r="G1239"/>
  <c r="B1240"/>
  <c r="D1240"/>
  <c r="E1240"/>
  <c r="F1240"/>
  <c r="G1240"/>
  <c r="B1241"/>
  <c r="D1241"/>
  <c r="E1241"/>
  <c r="F1241"/>
  <c r="G1241"/>
  <c r="B1222"/>
  <c r="D1222"/>
  <c r="E1222"/>
  <c r="F1222"/>
  <c r="G1222"/>
  <c r="B1223"/>
  <c r="D1223"/>
  <c r="E1223"/>
  <c r="F1223"/>
  <c r="G1223"/>
  <c r="B1224"/>
  <c r="D1224"/>
  <c r="E1224"/>
  <c r="F1224"/>
  <c r="G1224"/>
  <c r="B1225"/>
  <c r="D1225"/>
  <c r="E1225"/>
  <c r="F1225"/>
  <c r="G1225"/>
  <c r="B1226"/>
  <c r="D1226"/>
  <c r="E1226"/>
  <c r="F1226"/>
  <c r="G1226"/>
  <c r="B1227"/>
  <c r="D1227"/>
  <c r="E1227"/>
  <c r="F1227"/>
  <c r="G1227"/>
  <c r="B1228"/>
  <c r="D1228"/>
  <c r="E1228"/>
  <c r="F1228"/>
  <c r="G1228"/>
  <c r="B1229"/>
  <c r="D1229"/>
  <c r="E1229"/>
  <c r="F1229"/>
  <c r="G1229"/>
  <c r="B1230"/>
  <c r="D1230"/>
  <c r="E1230"/>
  <c r="F1230"/>
  <c r="G1230"/>
  <c r="B1231"/>
  <c r="D1231"/>
  <c r="E1231"/>
  <c r="F1231"/>
  <c r="G1231"/>
  <c r="B1212"/>
  <c r="D1212"/>
  <c r="E1212"/>
  <c r="F1212"/>
  <c r="G1212"/>
  <c r="B1213"/>
  <c r="D1213"/>
  <c r="E1213"/>
  <c r="F1213"/>
  <c r="G1213"/>
  <c r="B1214"/>
  <c r="D1214"/>
  <c r="E1214"/>
  <c r="F1214"/>
  <c r="G1214"/>
  <c r="B1215"/>
  <c r="D1215"/>
  <c r="E1215"/>
  <c r="F1215"/>
  <c r="G1215"/>
  <c r="B1216"/>
  <c r="D1216"/>
  <c r="E1216"/>
  <c r="F1216"/>
  <c r="G1216"/>
  <c r="B1217"/>
  <c r="D1217"/>
  <c r="E1217"/>
  <c r="F1217"/>
  <c r="G1217"/>
  <c r="B1218"/>
  <c r="D1218"/>
  <c r="E1218"/>
  <c r="F1218"/>
  <c r="G1218"/>
  <c r="B1219"/>
  <c r="D1219"/>
  <c r="E1219"/>
  <c r="F1219"/>
  <c r="G1219"/>
  <c r="B1220"/>
  <c r="D1220"/>
  <c r="E1220"/>
  <c r="F1220"/>
  <c r="G1220"/>
  <c r="B1221"/>
  <c r="D1221"/>
  <c r="E1221"/>
  <c r="F1221"/>
  <c r="G1221"/>
  <c r="B1202"/>
  <c r="D1202"/>
  <c r="E1202"/>
  <c r="G1202"/>
  <c r="B1203"/>
  <c r="D1203"/>
  <c r="E1203"/>
  <c r="G1203"/>
  <c r="B1204"/>
  <c r="D1204"/>
  <c r="E1204"/>
  <c r="G1204"/>
  <c r="B1205"/>
  <c r="D1205"/>
  <c r="E1205"/>
  <c r="G1205"/>
  <c r="B1206"/>
  <c r="D1206"/>
  <c r="E1206"/>
  <c r="F1206"/>
  <c r="G1206"/>
  <c r="B1207"/>
  <c r="D1207"/>
  <c r="E1207"/>
  <c r="F1207"/>
  <c r="G1207"/>
  <c r="B1208"/>
  <c r="D1208"/>
  <c r="E1208"/>
  <c r="F1208"/>
  <c r="G1208"/>
  <c r="B1209"/>
  <c r="D1209"/>
  <c r="E1209"/>
  <c r="F1209"/>
  <c r="G1209"/>
  <c r="B1210"/>
  <c r="D1210"/>
  <c r="E1210"/>
  <c r="F1210"/>
  <c r="G1210"/>
  <c r="B1211"/>
  <c r="D1211"/>
  <c r="E1211"/>
  <c r="F1211"/>
  <c r="G1211"/>
  <c r="B1192"/>
  <c r="D1192"/>
  <c r="E1192"/>
  <c r="F1192"/>
  <c r="G1192"/>
  <c r="B1193"/>
  <c r="D1193"/>
  <c r="E1193"/>
  <c r="F1193"/>
  <c r="G1193"/>
  <c r="B1194"/>
  <c r="D1194"/>
  <c r="E1194"/>
  <c r="F1194"/>
  <c r="G1194"/>
  <c r="B1195"/>
  <c r="D1195"/>
  <c r="E1195"/>
  <c r="F1195"/>
  <c r="G1195"/>
  <c r="B1196"/>
  <c r="D1196"/>
  <c r="E1196"/>
  <c r="F1196"/>
  <c r="G1196"/>
  <c r="B1197"/>
  <c r="D1197"/>
  <c r="E1197"/>
  <c r="F1197"/>
  <c r="G1197"/>
  <c r="B1198"/>
  <c r="D1198"/>
  <c r="E1198"/>
  <c r="F1198"/>
  <c r="G1198"/>
  <c r="B1199"/>
  <c r="D1199"/>
  <c r="E1199"/>
  <c r="F1199"/>
  <c r="G1199"/>
  <c r="B1200"/>
  <c r="D1200"/>
  <c r="E1200"/>
  <c r="F1200"/>
  <c r="G1200"/>
  <c r="B1201"/>
  <c r="D1201"/>
  <c r="E1201"/>
  <c r="G1201"/>
  <c r="B1182"/>
  <c r="D1182"/>
  <c r="E1182"/>
  <c r="F1182"/>
  <c r="G1182"/>
  <c r="B1183"/>
  <c r="D1183"/>
  <c r="E1183"/>
  <c r="F1183"/>
  <c r="G1183"/>
  <c r="B1184"/>
  <c r="D1184"/>
  <c r="E1184"/>
  <c r="F1184"/>
  <c r="G1184"/>
  <c r="B1185"/>
  <c r="D1185"/>
  <c r="E1185"/>
  <c r="F1185"/>
  <c r="G1185"/>
  <c r="B1186"/>
  <c r="D1186"/>
  <c r="E1186"/>
  <c r="F1186"/>
  <c r="G1186"/>
  <c r="B1187"/>
  <c r="D1187"/>
  <c r="E1187"/>
  <c r="F1187"/>
  <c r="G1187"/>
  <c r="B1188"/>
  <c r="D1188"/>
  <c r="E1188"/>
  <c r="F1188"/>
  <c r="G1188"/>
  <c r="B1189"/>
  <c r="D1189"/>
  <c r="E1189"/>
  <c r="F1189"/>
  <c r="G1189"/>
  <c r="B1190"/>
  <c r="D1190"/>
  <c r="E1190"/>
  <c r="F1190"/>
  <c r="G1190"/>
  <c r="B1191"/>
  <c r="D1191"/>
  <c r="E1191"/>
  <c r="F1191"/>
  <c r="G1191"/>
  <c r="B1172"/>
  <c r="D1172"/>
  <c r="E1172"/>
  <c r="F1172"/>
  <c r="G1172"/>
  <c r="B1173"/>
  <c r="D1173"/>
  <c r="E1173"/>
  <c r="F1173"/>
  <c r="G1173"/>
  <c r="B1174"/>
  <c r="D1174"/>
  <c r="E1174"/>
  <c r="G1174"/>
  <c r="B1175"/>
  <c r="D1175"/>
  <c r="E1175"/>
  <c r="G1175"/>
  <c r="B1176"/>
  <c r="D1176"/>
  <c r="E1176"/>
  <c r="G1176"/>
  <c r="B1177"/>
  <c r="D1177"/>
  <c r="E1177"/>
  <c r="F1177"/>
  <c r="G1177"/>
  <c r="B1178"/>
  <c r="D1178"/>
  <c r="E1178"/>
  <c r="G1178"/>
  <c r="B1179"/>
  <c r="D1179"/>
  <c r="E1179"/>
  <c r="F1179"/>
  <c r="G1179"/>
  <c r="B1180"/>
  <c r="D1180"/>
  <c r="E1180"/>
  <c r="G1180"/>
  <c r="B1181"/>
  <c r="D1181"/>
  <c r="E1181"/>
  <c r="G1181"/>
  <c r="B1162"/>
  <c r="D1162"/>
  <c r="E1162"/>
  <c r="F1162"/>
  <c r="G1162"/>
  <c r="B1163"/>
  <c r="D1163"/>
  <c r="E1163"/>
  <c r="F1163"/>
  <c r="G1163"/>
  <c r="B1164"/>
  <c r="D1164"/>
  <c r="E1164"/>
  <c r="F1164"/>
  <c r="G1164"/>
  <c r="B1165"/>
  <c r="D1165"/>
  <c r="E1165"/>
  <c r="F1165"/>
  <c r="G1165"/>
  <c r="B1166"/>
  <c r="D1166"/>
  <c r="E1166"/>
  <c r="F1166"/>
  <c r="G1166"/>
  <c r="B1167"/>
  <c r="D1167"/>
  <c r="E1167"/>
  <c r="F1167"/>
  <c r="G1167"/>
  <c r="B1168"/>
  <c r="D1168"/>
  <c r="E1168"/>
  <c r="F1168"/>
  <c r="G1168"/>
  <c r="B1169"/>
  <c r="D1169"/>
  <c r="E1169"/>
  <c r="F1169"/>
  <c r="G1169"/>
  <c r="B1170"/>
  <c r="D1170"/>
  <c r="E1170"/>
  <c r="F1170"/>
  <c r="G1170"/>
  <c r="B1171"/>
  <c r="D1171"/>
  <c r="E1171"/>
  <c r="F1171"/>
  <c r="G1171"/>
  <c r="B1152"/>
  <c r="D1152"/>
  <c r="E1152"/>
  <c r="F1152"/>
  <c r="G1152"/>
  <c r="B1153"/>
  <c r="D1153"/>
  <c r="E1153"/>
  <c r="F1153"/>
  <c r="G1153"/>
  <c r="B1154"/>
  <c r="D1154"/>
  <c r="E1154"/>
  <c r="F1154"/>
  <c r="G1154"/>
  <c r="B1155"/>
  <c r="D1155"/>
  <c r="E1155"/>
  <c r="F1155"/>
  <c r="G1155"/>
  <c r="B1156"/>
  <c r="D1156"/>
  <c r="E1156"/>
  <c r="F1156"/>
  <c r="G1156"/>
  <c r="B1157"/>
  <c r="D1157"/>
  <c r="E1157"/>
  <c r="F1157"/>
  <c r="G1157"/>
  <c r="B1158"/>
  <c r="D1158"/>
  <c r="E1158"/>
  <c r="F1158"/>
  <c r="G1158"/>
  <c r="B1159"/>
  <c r="D1159"/>
  <c r="E1159"/>
  <c r="F1159"/>
  <c r="G1159"/>
  <c r="B1160"/>
  <c r="D1160"/>
  <c r="E1160"/>
  <c r="F1160"/>
  <c r="G1160"/>
  <c r="B1161"/>
  <c r="D1161"/>
  <c r="E1161"/>
  <c r="F1161"/>
  <c r="G1161"/>
  <c r="B1142"/>
  <c r="D1142"/>
  <c r="E1142"/>
  <c r="F1142"/>
  <c r="G1142"/>
  <c r="B1143"/>
  <c r="D1143"/>
  <c r="E1143"/>
  <c r="F1143"/>
  <c r="G1143"/>
  <c r="B1144"/>
  <c r="D1144"/>
  <c r="E1144"/>
  <c r="F1144"/>
  <c r="G1144"/>
  <c r="B1145"/>
  <c r="D1145"/>
  <c r="E1145"/>
  <c r="F1145"/>
  <c r="G1145"/>
  <c r="B1146"/>
  <c r="D1146"/>
  <c r="E1146"/>
  <c r="F1146"/>
  <c r="G1146"/>
  <c r="B1147"/>
  <c r="D1147"/>
  <c r="E1147"/>
  <c r="F1147"/>
  <c r="G1147"/>
  <c r="B1148"/>
  <c r="D1148"/>
  <c r="E1148"/>
  <c r="F1148"/>
  <c r="G1148"/>
  <c r="B1149"/>
  <c r="D1149"/>
  <c r="E1149"/>
  <c r="F1149"/>
  <c r="G1149"/>
  <c r="B1150"/>
  <c r="D1150"/>
  <c r="E1150"/>
  <c r="F1150"/>
  <c r="G1150"/>
  <c r="B1151"/>
  <c r="D1151"/>
  <c r="E1151"/>
  <c r="F1151"/>
  <c r="G1151"/>
  <c r="B1132"/>
  <c r="D1132"/>
  <c r="E1132"/>
  <c r="F1132"/>
  <c r="G1132"/>
  <c r="B1133"/>
  <c r="D1133"/>
  <c r="E1133"/>
  <c r="F1133"/>
  <c r="G1133"/>
  <c r="B1134"/>
  <c r="D1134"/>
  <c r="E1134"/>
  <c r="F1134"/>
  <c r="G1134"/>
  <c r="B1135"/>
  <c r="D1135"/>
  <c r="E1135"/>
  <c r="F1135"/>
  <c r="G1135"/>
  <c r="B1136"/>
  <c r="D1136"/>
  <c r="E1136"/>
  <c r="F1136"/>
  <c r="G1136"/>
  <c r="B1137"/>
  <c r="D1137"/>
  <c r="E1137"/>
  <c r="F1137"/>
  <c r="G1137"/>
  <c r="B1138"/>
  <c r="D1138"/>
  <c r="E1138"/>
  <c r="F1138"/>
  <c r="G1138"/>
  <c r="B1139"/>
  <c r="D1139"/>
  <c r="E1139"/>
  <c r="F1139"/>
  <c r="G1139"/>
  <c r="B1140"/>
  <c r="D1140"/>
  <c r="E1140"/>
  <c r="F1140"/>
  <c r="G1140"/>
  <c r="B1141"/>
  <c r="D1141"/>
  <c r="E1141"/>
  <c r="F1141"/>
  <c r="G1141"/>
  <c r="B1122"/>
  <c r="D1122"/>
  <c r="E1122"/>
  <c r="F1122"/>
  <c r="G1122"/>
  <c r="B1123"/>
  <c r="D1123"/>
  <c r="E1123"/>
  <c r="F1123"/>
  <c r="G1123"/>
  <c r="B1124"/>
  <c r="D1124"/>
  <c r="E1124"/>
  <c r="F1124"/>
  <c r="G1124"/>
  <c r="B1125"/>
  <c r="D1125"/>
  <c r="E1125"/>
  <c r="F1125"/>
  <c r="G1125"/>
  <c r="B1126"/>
  <c r="D1126"/>
  <c r="E1126"/>
  <c r="F1126"/>
  <c r="G1126"/>
  <c r="B1127"/>
  <c r="D1127"/>
  <c r="E1127"/>
  <c r="F1127"/>
  <c r="G1127"/>
  <c r="B1128"/>
  <c r="D1128"/>
  <c r="E1128"/>
  <c r="F1128"/>
  <c r="G1128"/>
  <c r="B1129"/>
  <c r="D1129"/>
  <c r="E1129"/>
  <c r="F1129"/>
  <c r="G1129"/>
  <c r="B1130"/>
  <c r="D1130"/>
  <c r="E1130"/>
  <c r="F1130"/>
  <c r="G1130"/>
  <c r="B1131"/>
  <c r="D1131"/>
  <c r="E1131"/>
  <c r="F1131"/>
  <c r="G1131"/>
  <c r="B1112"/>
  <c r="D1112"/>
  <c r="E1112"/>
  <c r="F1112"/>
  <c r="G1112"/>
  <c r="B1113"/>
  <c r="D1113"/>
  <c r="E1113"/>
  <c r="F1113"/>
  <c r="G1113"/>
  <c r="B1114"/>
  <c r="D1114"/>
  <c r="E1114"/>
  <c r="F1114"/>
  <c r="G1114"/>
  <c r="B1115"/>
  <c r="D1115"/>
  <c r="E1115"/>
  <c r="F1115"/>
  <c r="G1115"/>
  <c r="B1116"/>
  <c r="D1116"/>
  <c r="E1116"/>
  <c r="F1116"/>
  <c r="G1116"/>
  <c r="B1117"/>
  <c r="D1117"/>
  <c r="E1117"/>
  <c r="F1117"/>
  <c r="G1117"/>
  <c r="B1118"/>
  <c r="D1118"/>
  <c r="E1118"/>
  <c r="F1118"/>
  <c r="G1118"/>
  <c r="B1119"/>
  <c r="D1119"/>
  <c r="E1119"/>
  <c r="F1119"/>
  <c r="G1119"/>
  <c r="B1120"/>
  <c r="D1120"/>
  <c r="E1120"/>
  <c r="F1120"/>
  <c r="G1120"/>
  <c r="B1121"/>
  <c r="D1121"/>
  <c r="E1121"/>
  <c r="F1121"/>
  <c r="G1121"/>
  <c r="B1102"/>
  <c r="D1102"/>
  <c r="E1102"/>
  <c r="F1102"/>
  <c r="G1102"/>
  <c r="B1103"/>
  <c r="D1103"/>
  <c r="E1103"/>
  <c r="F1103"/>
  <c r="G1103"/>
  <c r="B1104"/>
  <c r="D1104"/>
  <c r="E1104"/>
  <c r="F1104"/>
  <c r="G1104"/>
  <c r="B1105"/>
  <c r="D1105"/>
  <c r="E1105"/>
  <c r="F1105"/>
  <c r="G1105"/>
  <c r="B1106"/>
  <c r="D1106"/>
  <c r="E1106"/>
  <c r="F1106"/>
  <c r="G1106"/>
  <c r="B1107"/>
  <c r="D1107"/>
  <c r="E1107"/>
  <c r="F1107"/>
  <c r="G1107"/>
  <c r="B1108"/>
  <c r="D1108"/>
  <c r="E1108"/>
  <c r="F1108"/>
  <c r="G1108"/>
  <c r="B1109"/>
  <c r="D1109"/>
  <c r="E1109"/>
  <c r="F1109"/>
  <c r="G1109"/>
  <c r="B1110"/>
  <c r="D1110"/>
  <c r="E1110"/>
  <c r="F1110"/>
  <c r="G1110"/>
  <c r="B1111"/>
  <c r="D1111"/>
  <c r="E1111"/>
  <c r="F1111"/>
  <c r="G1111"/>
  <c r="B1092"/>
  <c r="D1092"/>
  <c r="E1092"/>
  <c r="F1092"/>
  <c r="G1092"/>
  <c r="B1093"/>
  <c r="D1093"/>
  <c r="E1093"/>
  <c r="F1093"/>
  <c r="G1093"/>
  <c r="B1094"/>
  <c r="D1094"/>
  <c r="E1094"/>
  <c r="F1094"/>
  <c r="G1094"/>
  <c r="B1095"/>
  <c r="D1095"/>
  <c r="E1095"/>
  <c r="F1095"/>
  <c r="G1095"/>
  <c r="B1096"/>
  <c r="D1096"/>
  <c r="E1096"/>
  <c r="F1096"/>
  <c r="G1096"/>
  <c r="B1097"/>
  <c r="D1097"/>
  <c r="E1097"/>
  <c r="F1097"/>
  <c r="G1097"/>
  <c r="B1098"/>
  <c r="D1098"/>
  <c r="E1098"/>
  <c r="F1098"/>
  <c r="G1098"/>
  <c r="B1099"/>
  <c r="D1099"/>
  <c r="E1099"/>
  <c r="F1099"/>
  <c r="G1099"/>
  <c r="B1100"/>
  <c r="D1100"/>
  <c r="E1100"/>
  <c r="F1100"/>
  <c r="G1100"/>
  <c r="B1101"/>
  <c r="D1101"/>
  <c r="E1101"/>
  <c r="F1101"/>
  <c r="G1101"/>
  <c r="B1082"/>
  <c r="D1082"/>
  <c r="E1082"/>
  <c r="F1082"/>
  <c r="G1082"/>
  <c r="B1083"/>
  <c r="D1083"/>
  <c r="E1083"/>
  <c r="F1083"/>
  <c r="G1083"/>
  <c r="B1084"/>
  <c r="D1084"/>
  <c r="E1084"/>
  <c r="F1084"/>
  <c r="G1084"/>
  <c r="B1085"/>
  <c r="D1085"/>
  <c r="E1085"/>
  <c r="F1085"/>
  <c r="G1085"/>
  <c r="B1086"/>
  <c r="D1086"/>
  <c r="E1086"/>
  <c r="F1086"/>
  <c r="G1086"/>
  <c r="B1087"/>
  <c r="D1087"/>
  <c r="E1087"/>
  <c r="F1087"/>
  <c r="G1087"/>
  <c r="B1088"/>
  <c r="D1088"/>
  <c r="E1088"/>
  <c r="F1088"/>
  <c r="G1088"/>
  <c r="B1089"/>
  <c r="D1089"/>
  <c r="E1089"/>
  <c r="F1089"/>
  <c r="G1089"/>
  <c r="B1090"/>
  <c r="D1090"/>
  <c r="E1090"/>
  <c r="F1090"/>
  <c r="G1090"/>
  <c r="B1091"/>
  <c r="D1091"/>
  <c r="E1091"/>
  <c r="F1091"/>
  <c r="G1091"/>
  <c r="B1072"/>
  <c r="D1072"/>
  <c r="E1072"/>
  <c r="F1072"/>
  <c r="G1072"/>
  <c r="B1073"/>
  <c r="D1073"/>
  <c r="E1073"/>
  <c r="F1073"/>
  <c r="G1073"/>
  <c r="B1074"/>
  <c r="D1074"/>
  <c r="E1074"/>
  <c r="F1074"/>
  <c r="G1074"/>
  <c r="B1075"/>
  <c r="D1075"/>
  <c r="E1075"/>
  <c r="F1075"/>
  <c r="G1075"/>
  <c r="B1076"/>
  <c r="D1076"/>
  <c r="E1076"/>
  <c r="F1076"/>
  <c r="G1076"/>
  <c r="B1077"/>
  <c r="D1077"/>
  <c r="E1077"/>
  <c r="F1077"/>
  <c r="G1077"/>
  <c r="B1078"/>
  <c r="D1078"/>
  <c r="E1078"/>
  <c r="F1078"/>
  <c r="G1078"/>
  <c r="B1079"/>
  <c r="D1079"/>
  <c r="E1079"/>
  <c r="F1079"/>
  <c r="G1079"/>
  <c r="B1080"/>
  <c r="D1080"/>
  <c r="E1080"/>
  <c r="F1080"/>
  <c r="G1080"/>
  <c r="B1081"/>
  <c r="D1081"/>
  <c r="E1081"/>
  <c r="F1081"/>
  <c r="G1081"/>
  <c r="B1062"/>
  <c r="D1062"/>
  <c r="E1062"/>
  <c r="F1062"/>
  <c r="G1062"/>
  <c r="B1063"/>
  <c r="D1063"/>
  <c r="E1063"/>
  <c r="F1063"/>
  <c r="G1063"/>
  <c r="B1064"/>
  <c r="D1064"/>
  <c r="E1064"/>
  <c r="F1064"/>
  <c r="G1064"/>
  <c r="B1065"/>
  <c r="D1065"/>
  <c r="E1065"/>
  <c r="F1065"/>
  <c r="G1065"/>
  <c r="B1066"/>
  <c r="D1066"/>
  <c r="E1066"/>
  <c r="F1066"/>
  <c r="G1066"/>
  <c r="B1067"/>
  <c r="D1067"/>
  <c r="E1067"/>
  <c r="F1067"/>
  <c r="G1067"/>
  <c r="B1068"/>
  <c r="D1068"/>
  <c r="E1068"/>
  <c r="F1068"/>
  <c r="G1068"/>
  <c r="B1069"/>
  <c r="D1069"/>
  <c r="E1069"/>
  <c r="F1069"/>
  <c r="G1069"/>
  <c r="B1070"/>
  <c r="D1070"/>
  <c r="E1070"/>
  <c r="F1070"/>
  <c r="G1070"/>
  <c r="B1071"/>
  <c r="D1071"/>
  <c r="E1071"/>
  <c r="F1071"/>
  <c r="G1071"/>
  <c r="B1052"/>
  <c r="D1052"/>
  <c r="E1052"/>
  <c r="F1052"/>
  <c r="G1052"/>
  <c r="B1053"/>
  <c r="D1053"/>
  <c r="E1053"/>
  <c r="F1053"/>
  <c r="G1053"/>
  <c r="B1054"/>
  <c r="D1054"/>
  <c r="E1054"/>
  <c r="F1054"/>
  <c r="G1054"/>
  <c r="B1055"/>
  <c r="D1055"/>
  <c r="E1055"/>
  <c r="F1055"/>
  <c r="G1055"/>
  <c r="B1056"/>
  <c r="D1056"/>
  <c r="E1056"/>
  <c r="F1056"/>
  <c r="G1056"/>
  <c r="B1057"/>
  <c r="D1057"/>
  <c r="E1057"/>
  <c r="F1057"/>
  <c r="G1057"/>
  <c r="B1058"/>
  <c r="D1058"/>
  <c r="E1058"/>
  <c r="F1058"/>
  <c r="G1058"/>
  <c r="B1059"/>
  <c r="D1059"/>
  <c r="E1059"/>
  <c r="F1059"/>
  <c r="G1059"/>
  <c r="B1060"/>
  <c r="D1060"/>
  <c r="E1060"/>
  <c r="F1060"/>
  <c r="G1060"/>
  <c r="B1061"/>
  <c r="D1061"/>
  <c r="E1061"/>
  <c r="F1061"/>
  <c r="G1061"/>
  <c r="B1042"/>
  <c r="D1042"/>
  <c r="E1042"/>
  <c r="F1042"/>
  <c r="G1042"/>
  <c r="B1043"/>
  <c r="D1043"/>
  <c r="E1043"/>
  <c r="F1043"/>
  <c r="G1043"/>
  <c r="B1044"/>
  <c r="D1044"/>
  <c r="E1044"/>
  <c r="F1044"/>
  <c r="G1044"/>
  <c r="B1045"/>
  <c r="D1045"/>
  <c r="E1045"/>
  <c r="F1045"/>
  <c r="G1045"/>
  <c r="B1046"/>
  <c r="D1046"/>
  <c r="E1046"/>
  <c r="F1046"/>
  <c r="G1046"/>
  <c r="B1047"/>
  <c r="D1047"/>
  <c r="E1047"/>
  <c r="F1047"/>
  <c r="G1047"/>
  <c r="B1048"/>
  <c r="D1048"/>
  <c r="E1048"/>
  <c r="F1048"/>
  <c r="G1048"/>
  <c r="B1049"/>
  <c r="D1049"/>
  <c r="E1049"/>
  <c r="F1049"/>
  <c r="G1049"/>
  <c r="B1050"/>
  <c r="D1050"/>
  <c r="E1050"/>
  <c r="F1050"/>
  <c r="G1050"/>
  <c r="B1051"/>
  <c r="D1051"/>
  <c r="E1051"/>
  <c r="F1051"/>
  <c r="G1051"/>
  <c r="B1032"/>
  <c r="D1032"/>
  <c r="E1032"/>
  <c r="F1032"/>
  <c r="G1032"/>
  <c r="B1033"/>
  <c r="D1033"/>
  <c r="E1033"/>
  <c r="F1033"/>
  <c r="G1033"/>
  <c r="B1034"/>
  <c r="D1034"/>
  <c r="E1034"/>
  <c r="F1034"/>
  <c r="G1034"/>
  <c r="B1035"/>
  <c r="D1035"/>
  <c r="E1035"/>
  <c r="F1035"/>
  <c r="G1035"/>
  <c r="B1036"/>
  <c r="D1036"/>
  <c r="E1036"/>
  <c r="F1036"/>
  <c r="G1036"/>
  <c r="B1037"/>
  <c r="D1037"/>
  <c r="E1037"/>
  <c r="F1037"/>
  <c r="G1037"/>
  <c r="B1038"/>
  <c r="D1038"/>
  <c r="E1038"/>
  <c r="F1038"/>
  <c r="G1038"/>
  <c r="B1039"/>
  <c r="D1039"/>
  <c r="E1039"/>
  <c r="F1039"/>
  <c r="G1039"/>
  <c r="B1040"/>
  <c r="D1040"/>
  <c r="E1040"/>
  <c r="F1040"/>
  <c r="G1040"/>
  <c r="B1041"/>
  <c r="D1041"/>
  <c r="E1041"/>
  <c r="F1041"/>
  <c r="G1041"/>
  <c r="B1022"/>
  <c r="D1022"/>
  <c r="E1022"/>
  <c r="F1022"/>
  <c r="G1022"/>
  <c r="B1023"/>
  <c r="D1023"/>
  <c r="E1023"/>
  <c r="F1023"/>
  <c r="G1023"/>
  <c r="B1024"/>
  <c r="D1024"/>
  <c r="E1024"/>
  <c r="F1024"/>
  <c r="G1024"/>
  <c r="B1025"/>
  <c r="D1025"/>
  <c r="E1025"/>
  <c r="F1025"/>
  <c r="G1025"/>
  <c r="B1026"/>
  <c r="D1026"/>
  <c r="E1026"/>
  <c r="F1026"/>
  <c r="G1026"/>
  <c r="B1027"/>
  <c r="D1027"/>
  <c r="E1027"/>
  <c r="F1027"/>
  <c r="G1027"/>
  <c r="B1028"/>
  <c r="D1028"/>
  <c r="E1028"/>
  <c r="F1028"/>
  <c r="G1028"/>
  <c r="B1029"/>
  <c r="D1029"/>
  <c r="E1029"/>
  <c r="F1029"/>
  <c r="G1029"/>
  <c r="B1030"/>
  <c r="D1030"/>
  <c r="E1030"/>
  <c r="F1030"/>
  <c r="G1030"/>
  <c r="B1031"/>
  <c r="D1031"/>
  <c r="E1031"/>
  <c r="F1031"/>
  <c r="G1031"/>
  <c r="B1012"/>
  <c r="D1012"/>
  <c r="E1012"/>
  <c r="F1012"/>
  <c r="G1012"/>
  <c r="B1013"/>
  <c r="D1013"/>
  <c r="E1013"/>
  <c r="F1013"/>
  <c r="G1013"/>
  <c r="B1014"/>
  <c r="D1014"/>
  <c r="E1014"/>
  <c r="F1014"/>
  <c r="G1014"/>
  <c r="B1015"/>
  <c r="D1015"/>
  <c r="E1015"/>
  <c r="F1015"/>
  <c r="G1015"/>
  <c r="B1016"/>
  <c r="D1016"/>
  <c r="E1016"/>
  <c r="F1016"/>
  <c r="G1016"/>
  <c r="B1017"/>
  <c r="D1017"/>
  <c r="E1017"/>
  <c r="F1017"/>
  <c r="G1017"/>
  <c r="B1018"/>
  <c r="D1018"/>
  <c r="E1018"/>
  <c r="F1018"/>
  <c r="G1018"/>
  <c r="B1019"/>
  <c r="D1019"/>
  <c r="E1019"/>
  <c r="F1019"/>
  <c r="G1019"/>
  <c r="B1020"/>
  <c r="D1020"/>
  <c r="E1020"/>
  <c r="F1020"/>
  <c r="G1020"/>
  <c r="B1021"/>
  <c r="D1021"/>
  <c r="E1021"/>
  <c r="F1021"/>
  <c r="G1021"/>
  <c r="B1002"/>
  <c r="D1002"/>
  <c r="E1002"/>
  <c r="F1002"/>
  <c r="G1002"/>
  <c r="B1003"/>
  <c r="D1003"/>
  <c r="E1003"/>
  <c r="F1003"/>
  <c r="G1003"/>
  <c r="B1004"/>
  <c r="D1004"/>
  <c r="E1004"/>
  <c r="F1004"/>
  <c r="G1004"/>
  <c r="B1005"/>
  <c r="D1005"/>
  <c r="E1005"/>
  <c r="F1005"/>
  <c r="G1005"/>
  <c r="B1006"/>
  <c r="D1006"/>
  <c r="E1006"/>
  <c r="F1006"/>
  <c r="G1006"/>
  <c r="B1007"/>
  <c r="D1007"/>
  <c r="E1007"/>
  <c r="F1007"/>
  <c r="G1007"/>
  <c r="B1008"/>
  <c r="D1008"/>
  <c r="E1008"/>
  <c r="F1008"/>
  <c r="G1008"/>
  <c r="B1009"/>
  <c r="D1009"/>
  <c r="E1009"/>
  <c r="F1009"/>
  <c r="G1009"/>
  <c r="B1010"/>
  <c r="D1010"/>
  <c r="E1010"/>
  <c r="F1010"/>
  <c r="G1010"/>
  <c r="B1011"/>
  <c r="D1011"/>
  <c r="E1011"/>
  <c r="F1011"/>
  <c r="G1011"/>
  <c r="B992"/>
  <c r="D992"/>
  <c r="E992"/>
  <c r="F992"/>
  <c r="G992"/>
  <c r="B993"/>
  <c r="D993"/>
  <c r="E993"/>
  <c r="F993"/>
  <c r="G993"/>
  <c r="B994"/>
  <c r="D994"/>
  <c r="E994"/>
  <c r="F994"/>
  <c r="G994"/>
  <c r="B995"/>
  <c r="D995"/>
  <c r="E995"/>
  <c r="F995"/>
  <c r="G995"/>
  <c r="B996"/>
  <c r="D996"/>
  <c r="E996"/>
  <c r="F996"/>
  <c r="G996"/>
  <c r="B997"/>
  <c r="D997"/>
  <c r="E997"/>
  <c r="F997"/>
  <c r="G997"/>
  <c r="B998"/>
  <c r="D998"/>
  <c r="E998"/>
  <c r="F998"/>
  <c r="G998"/>
  <c r="B999"/>
  <c r="D999"/>
  <c r="E999"/>
  <c r="F999"/>
  <c r="G999"/>
  <c r="B1000"/>
  <c r="D1000"/>
  <c r="E1000"/>
  <c r="F1000"/>
  <c r="G1000"/>
  <c r="B1001"/>
  <c r="D1001"/>
  <c r="E1001"/>
  <c r="F1001"/>
  <c r="G1001"/>
  <c r="B982"/>
  <c r="D982"/>
  <c r="E982"/>
  <c r="F982"/>
  <c r="G982"/>
  <c r="B983"/>
  <c r="D983"/>
  <c r="E983"/>
  <c r="F983"/>
  <c r="G983"/>
  <c r="B984"/>
  <c r="D984"/>
  <c r="E984"/>
  <c r="G984"/>
  <c r="B985"/>
  <c r="D985"/>
  <c r="E985"/>
  <c r="F985"/>
  <c r="G985"/>
  <c r="B986"/>
  <c r="D986"/>
  <c r="E986"/>
  <c r="F986"/>
  <c r="G986"/>
  <c r="B987"/>
  <c r="D987"/>
  <c r="E987"/>
  <c r="F987"/>
  <c r="G987"/>
  <c r="B988"/>
  <c r="D988"/>
  <c r="E988"/>
  <c r="F988"/>
  <c r="G988"/>
  <c r="B989"/>
  <c r="D989"/>
  <c r="E989"/>
  <c r="F989"/>
  <c r="G989"/>
  <c r="B990"/>
  <c r="D990"/>
  <c r="E990"/>
  <c r="F990"/>
  <c r="G990"/>
  <c r="B991"/>
  <c r="D991"/>
  <c r="E991"/>
  <c r="F991"/>
  <c r="G991"/>
  <c r="B972"/>
  <c r="D972"/>
  <c r="E972"/>
  <c r="F972"/>
  <c r="G972"/>
  <c r="B973"/>
  <c r="D973"/>
  <c r="E973"/>
  <c r="F973"/>
  <c r="G973"/>
  <c r="B974"/>
  <c r="D974"/>
  <c r="E974"/>
  <c r="F974"/>
  <c r="G974"/>
  <c r="B975"/>
  <c r="D975"/>
  <c r="E975"/>
  <c r="F975"/>
  <c r="G975"/>
  <c r="B976"/>
  <c r="D976"/>
  <c r="E976"/>
  <c r="G976"/>
  <c r="B977"/>
  <c r="D977"/>
  <c r="E977"/>
  <c r="F977"/>
  <c r="G977"/>
  <c r="B978"/>
  <c r="D978"/>
  <c r="E978"/>
  <c r="F978"/>
  <c r="G978"/>
  <c r="B979"/>
  <c r="D979"/>
  <c r="E979"/>
  <c r="F979"/>
  <c r="G979"/>
  <c r="B980"/>
  <c r="D980"/>
  <c r="E980"/>
  <c r="F980"/>
  <c r="G980"/>
  <c r="B981"/>
  <c r="D981"/>
  <c r="E981"/>
  <c r="F981"/>
  <c r="G981"/>
  <c r="B962"/>
  <c r="D962"/>
  <c r="E962"/>
  <c r="F962"/>
  <c r="G962"/>
  <c r="B963"/>
  <c r="D963"/>
  <c r="E963"/>
  <c r="F963"/>
  <c r="G963"/>
  <c r="B964"/>
  <c r="D964"/>
  <c r="E964"/>
  <c r="F964"/>
  <c r="G964"/>
  <c r="B965"/>
  <c r="D965"/>
  <c r="E965"/>
  <c r="F965"/>
  <c r="G965"/>
  <c r="B966"/>
  <c r="D966"/>
  <c r="E966"/>
  <c r="F966"/>
  <c r="G966"/>
  <c r="B967"/>
  <c r="D967"/>
  <c r="E967"/>
  <c r="F967"/>
  <c r="G967"/>
  <c r="B968"/>
  <c r="D968"/>
  <c r="E968"/>
  <c r="F968"/>
  <c r="G968"/>
  <c r="B969"/>
  <c r="D969"/>
  <c r="E969"/>
  <c r="F969"/>
  <c r="G969"/>
  <c r="B970"/>
  <c r="D970"/>
  <c r="E970"/>
  <c r="F970"/>
  <c r="G970"/>
  <c r="B971"/>
  <c r="D971"/>
  <c r="E971"/>
  <c r="F971"/>
  <c r="G971"/>
  <c r="B952"/>
  <c r="D952"/>
  <c r="E952"/>
  <c r="F952"/>
  <c r="G952"/>
  <c r="B953"/>
  <c r="D953"/>
  <c r="E953"/>
  <c r="F953"/>
  <c r="G953"/>
  <c r="B954"/>
  <c r="D954"/>
  <c r="E954"/>
  <c r="F954"/>
  <c r="G954"/>
  <c r="B955"/>
  <c r="D955"/>
  <c r="E955"/>
  <c r="F955"/>
  <c r="G955"/>
  <c r="B956"/>
  <c r="D956"/>
  <c r="E956"/>
  <c r="F956"/>
  <c r="G956"/>
  <c r="B957"/>
  <c r="D957"/>
  <c r="E957"/>
  <c r="F957"/>
  <c r="G957"/>
  <c r="B958"/>
  <c r="D958"/>
  <c r="E958"/>
  <c r="F958"/>
  <c r="G958"/>
  <c r="B959"/>
  <c r="D959"/>
  <c r="E959"/>
  <c r="G959"/>
  <c r="B960"/>
  <c r="D960"/>
  <c r="E960"/>
  <c r="G960"/>
  <c r="B961"/>
  <c r="D961"/>
  <c r="E961"/>
  <c r="G961"/>
  <c r="B942"/>
  <c r="D942"/>
  <c r="E942"/>
  <c r="F942"/>
  <c r="G942"/>
  <c r="B943"/>
  <c r="D943"/>
  <c r="E943"/>
  <c r="F943"/>
  <c r="G943"/>
  <c r="B944"/>
  <c r="D944"/>
  <c r="E944"/>
  <c r="F944"/>
  <c r="G944"/>
  <c r="B945"/>
  <c r="D945"/>
  <c r="E945"/>
  <c r="F945"/>
  <c r="G945"/>
  <c r="B946"/>
  <c r="D946"/>
  <c r="E946"/>
  <c r="F946"/>
  <c r="G946"/>
  <c r="B947"/>
  <c r="D947"/>
  <c r="E947"/>
  <c r="F947"/>
  <c r="G947"/>
  <c r="B948"/>
  <c r="D948"/>
  <c r="E948"/>
  <c r="F948"/>
  <c r="G948"/>
  <c r="B949"/>
  <c r="D949"/>
  <c r="E949"/>
  <c r="F949"/>
  <c r="G949"/>
  <c r="B950"/>
  <c r="D950"/>
  <c r="E950"/>
  <c r="F950"/>
  <c r="G950"/>
  <c r="B951"/>
  <c r="D951"/>
  <c r="E951"/>
  <c r="F951"/>
  <c r="G951"/>
  <c r="B932"/>
  <c r="D932"/>
  <c r="E932"/>
  <c r="G932"/>
  <c r="B933"/>
  <c r="D933"/>
  <c r="E933"/>
  <c r="F933"/>
  <c r="G933"/>
  <c r="B934"/>
  <c r="D934"/>
  <c r="E934"/>
  <c r="F934"/>
  <c r="G934"/>
  <c r="B935"/>
  <c r="D935"/>
  <c r="E935"/>
  <c r="F935"/>
  <c r="G935"/>
  <c r="B936"/>
  <c r="D936"/>
  <c r="E936"/>
  <c r="F936"/>
  <c r="G936"/>
  <c r="B937"/>
  <c r="D937"/>
  <c r="E937"/>
  <c r="F937"/>
  <c r="G937"/>
  <c r="B938"/>
  <c r="D938"/>
  <c r="E938"/>
  <c r="F938"/>
  <c r="G938"/>
  <c r="B939"/>
  <c r="D939"/>
  <c r="E939"/>
  <c r="F939"/>
  <c r="G939"/>
  <c r="B940"/>
  <c r="D940"/>
  <c r="E940"/>
  <c r="F940"/>
  <c r="G940"/>
  <c r="B941"/>
  <c r="D941"/>
  <c r="E941"/>
  <c r="F941"/>
  <c r="G941"/>
  <c r="B922"/>
  <c r="D922"/>
  <c r="E922"/>
  <c r="F922"/>
  <c r="G922"/>
  <c r="B923"/>
  <c r="D923"/>
  <c r="E923"/>
  <c r="F923"/>
  <c r="G923"/>
  <c r="B924"/>
  <c r="D924"/>
  <c r="E924"/>
  <c r="F924"/>
  <c r="G924"/>
  <c r="B925"/>
  <c r="D925"/>
  <c r="E925"/>
  <c r="G925"/>
  <c r="B926"/>
  <c r="D926"/>
  <c r="E926"/>
  <c r="G926"/>
  <c r="B927"/>
  <c r="D927"/>
  <c r="E927"/>
  <c r="G927"/>
  <c r="B928"/>
  <c r="D928"/>
  <c r="E928"/>
  <c r="G928"/>
  <c r="B929"/>
  <c r="D929"/>
  <c r="E929"/>
  <c r="G929"/>
  <c r="B930"/>
  <c r="D930"/>
  <c r="E930"/>
  <c r="G930"/>
  <c r="B931"/>
  <c r="D931"/>
  <c r="E931"/>
  <c r="G931"/>
  <c r="B912"/>
  <c r="D912"/>
  <c r="E912"/>
  <c r="G912"/>
  <c r="B913"/>
  <c r="D913"/>
  <c r="E913"/>
  <c r="G913"/>
  <c r="B914"/>
  <c r="D914"/>
  <c r="E914"/>
  <c r="F914"/>
  <c r="G914"/>
  <c r="B915"/>
  <c r="D915"/>
  <c r="E915"/>
  <c r="F915"/>
  <c r="G915"/>
  <c r="B916"/>
  <c r="D916"/>
  <c r="E916"/>
  <c r="F916"/>
  <c r="G916"/>
  <c r="B917"/>
  <c r="D917"/>
  <c r="E917"/>
  <c r="F917"/>
  <c r="G917"/>
  <c r="B918"/>
  <c r="D918"/>
  <c r="E918"/>
  <c r="G918"/>
  <c r="B919"/>
  <c r="D919"/>
  <c r="E919"/>
  <c r="F919"/>
  <c r="G919"/>
  <c r="B920"/>
  <c r="D920"/>
  <c r="E920"/>
  <c r="F920"/>
  <c r="G920"/>
  <c r="B921"/>
  <c r="D921"/>
  <c r="E921"/>
  <c r="F921"/>
  <c r="G921"/>
  <c r="B902"/>
  <c r="D902"/>
  <c r="E902"/>
  <c r="F902"/>
  <c r="G902"/>
  <c r="B903"/>
  <c r="D903"/>
  <c r="E903"/>
  <c r="F903"/>
  <c r="G903"/>
  <c r="B904"/>
  <c r="D904"/>
  <c r="E904"/>
  <c r="G904"/>
  <c r="B905"/>
  <c r="D905"/>
  <c r="E905"/>
  <c r="G905"/>
  <c r="B906"/>
  <c r="D906"/>
  <c r="E906"/>
  <c r="G906"/>
  <c r="B907"/>
  <c r="D907"/>
  <c r="E907"/>
  <c r="F907"/>
  <c r="G907"/>
  <c r="B908"/>
  <c r="D908"/>
  <c r="E908"/>
  <c r="G908"/>
  <c r="B909"/>
  <c r="D909"/>
  <c r="E909"/>
  <c r="G909"/>
  <c r="B910"/>
  <c r="D910"/>
  <c r="E910"/>
  <c r="F910"/>
  <c r="G910"/>
  <c r="B911"/>
  <c r="D911"/>
  <c r="E911"/>
  <c r="F911"/>
  <c r="G911"/>
  <c r="B892"/>
  <c r="D892"/>
  <c r="E892"/>
  <c r="F892"/>
  <c r="G892"/>
  <c r="B893"/>
  <c r="D893"/>
  <c r="E893"/>
  <c r="G893"/>
  <c r="B894"/>
  <c r="D894"/>
  <c r="E894"/>
  <c r="F894"/>
  <c r="G894"/>
  <c r="B895"/>
  <c r="D895"/>
  <c r="E895"/>
  <c r="F895"/>
  <c r="G895"/>
  <c r="B896"/>
  <c r="D896"/>
  <c r="E896"/>
  <c r="G896"/>
  <c r="B897"/>
  <c r="D897"/>
  <c r="E897"/>
  <c r="G897"/>
  <c r="B898"/>
  <c r="D898"/>
  <c r="E898"/>
  <c r="F898"/>
  <c r="G898"/>
  <c r="B899"/>
  <c r="D899"/>
  <c r="E899"/>
  <c r="F899"/>
  <c r="G899"/>
  <c r="B900"/>
  <c r="D900"/>
  <c r="E900"/>
  <c r="F900"/>
  <c r="G900"/>
  <c r="B901"/>
  <c r="D901"/>
  <c r="E901"/>
  <c r="F901"/>
  <c r="G901"/>
  <c r="B882"/>
  <c r="D882"/>
  <c r="E882"/>
  <c r="F882"/>
  <c r="G882"/>
  <c r="B883"/>
  <c r="D883"/>
  <c r="E883"/>
  <c r="G883"/>
  <c r="B884"/>
  <c r="D884"/>
  <c r="E884"/>
  <c r="F884"/>
  <c r="G884"/>
  <c r="B885"/>
  <c r="D885"/>
  <c r="E885"/>
  <c r="F885"/>
  <c r="G885"/>
  <c r="B886"/>
  <c r="D886"/>
  <c r="E886"/>
  <c r="F886"/>
  <c r="G886"/>
  <c r="B887"/>
  <c r="D887"/>
  <c r="E887"/>
  <c r="F887"/>
  <c r="G887"/>
  <c r="B888"/>
  <c r="D888"/>
  <c r="E888"/>
  <c r="F888"/>
  <c r="G888"/>
  <c r="B889"/>
  <c r="D889"/>
  <c r="E889"/>
  <c r="F889"/>
  <c r="G889"/>
  <c r="B890"/>
  <c r="D890"/>
  <c r="E890"/>
  <c r="G890"/>
  <c r="B891"/>
  <c r="D891"/>
  <c r="E891"/>
  <c r="F891"/>
  <c r="G891"/>
  <c r="B872"/>
  <c r="D872"/>
  <c r="E872"/>
  <c r="F872"/>
  <c r="G872"/>
  <c r="B873"/>
  <c r="D873"/>
  <c r="E873"/>
  <c r="F873"/>
  <c r="G873"/>
  <c r="B874"/>
  <c r="D874"/>
  <c r="E874"/>
  <c r="F874"/>
  <c r="G874"/>
  <c r="B875"/>
  <c r="D875"/>
  <c r="E875"/>
  <c r="F875"/>
  <c r="G875"/>
  <c r="B876"/>
  <c r="D876"/>
  <c r="E876"/>
  <c r="F876"/>
  <c r="G876"/>
  <c r="B877"/>
  <c r="D877"/>
  <c r="E877"/>
  <c r="F877"/>
  <c r="G877"/>
  <c r="B878"/>
  <c r="D878"/>
  <c r="E878"/>
  <c r="F878"/>
  <c r="G878"/>
  <c r="B879"/>
  <c r="D879"/>
  <c r="E879"/>
  <c r="G879"/>
  <c r="B880"/>
  <c r="D880"/>
  <c r="E880"/>
  <c r="F880"/>
  <c r="G880"/>
  <c r="B881"/>
  <c r="D881"/>
  <c r="E881"/>
  <c r="G881"/>
  <c r="B862"/>
  <c r="D862"/>
  <c r="E862"/>
  <c r="F862"/>
  <c r="G862"/>
  <c r="B863"/>
  <c r="D863"/>
  <c r="E863"/>
  <c r="F863"/>
  <c r="G863"/>
  <c r="B864"/>
  <c r="D864"/>
  <c r="E864"/>
  <c r="F864"/>
  <c r="G864"/>
  <c r="B865"/>
  <c r="D865"/>
  <c r="E865"/>
  <c r="F865"/>
  <c r="G865"/>
  <c r="B866"/>
  <c r="D866"/>
  <c r="E866"/>
  <c r="F866"/>
  <c r="G866"/>
  <c r="B867"/>
  <c r="D867"/>
  <c r="E867"/>
  <c r="F867"/>
  <c r="G867"/>
  <c r="B868"/>
  <c r="D868"/>
  <c r="E868"/>
  <c r="F868"/>
  <c r="G868"/>
  <c r="B869"/>
  <c r="D869"/>
  <c r="E869"/>
  <c r="F869"/>
  <c r="G869"/>
  <c r="B870"/>
  <c r="D870"/>
  <c r="E870"/>
  <c r="F870"/>
  <c r="G870"/>
  <c r="B871"/>
  <c r="D871"/>
  <c r="E871"/>
  <c r="F871"/>
  <c r="G871"/>
  <c r="B852"/>
  <c r="D852"/>
  <c r="E852"/>
  <c r="F852"/>
  <c r="G852"/>
  <c r="B853"/>
  <c r="D853"/>
  <c r="E853"/>
  <c r="F853"/>
  <c r="G853"/>
  <c r="B854"/>
  <c r="D854"/>
  <c r="E854"/>
  <c r="F854"/>
  <c r="G854"/>
  <c r="B855"/>
  <c r="D855"/>
  <c r="E855"/>
  <c r="F855"/>
  <c r="G855"/>
  <c r="B856"/>
  <c r="D856"/>
  <c r="E856"/>
  <c r="F856"/>
  <c r="G856"/>
  <c r="B857"/>
  <c r="D857"/>
  <c r="E857"/>
  <c r="F857"/>
  <c r="G857"/>
  <c r="B858"/>
  <c r="D858"/>
  <c r="E858"/>
  <c r="F858"/>
  <c r="G858"/>
  <c r="B859"/>
  <c r="D859"/>
  <c r="E859"/>
  <c r="F859"/>
  <c r="G859"/>
  <c r="B860"/>
  <c r="D860"/>
  <c r="E860"/>
  <c r="F860"/>
  <c r="G860"/>
  <c r="B861"/>
  <c r="D861"/>
  <c r="E861"/>
  <c r="F861"/>
  <c r="G861"/>
  <c r="B842"/>
  <c r="D842"/>
  <c r="E842"/>
  <c r="F842"/>
  <c r="G842"/>
  <c r="B843"/>
  <c r="D843"/>
  <c r="E843"/>
  <c r="F843"/>
  <c r="G843"/>
  <c r="B844"/>
  <c r="D844"/>
  <c r="E844"/>
  <c r="F844"/>
  <c r="G844"/>
  <c r="B845"/>
  <c r="D845"/>
  <c r="E845"/>
  <c r="F845"/>
  <c r="G845"/>
  <c r="B846"/>
  <c r="D846"/>
  <c r="E846"/>
  <c r="F846"/>
  <c r="G846"/>
  <c r="B847"/>
  <c r="D847"/>
  <c r="E847"/>
  <c r="F847"/>
  <c r="G847"/>
  <c r="B848"/>
  <c r="D848"/>
  <c r="E848"/>
  <c r="F848"/>
  <c r="G848"/>
  <c r="B849"/>
  <c r="D849"/>
  <c r="E849"/>
  <c r="F849"/>
  <c r="G849"/>
  <c r="B850"/>
  <c r="D850"/>
  <c r="E850"/>
  <c r="F850"/>
  <c r="G850"/>
  <c r="B851"/>
  <c r="D851"/>
  <c r="E851"/>
  <c r="F851"/>
  <c r="G851"/>
  <c r="B832"/>
  <c r="D832"/>
  <c r="E832"/>
  <c r="G832"/>
  <c r="B833"/>
  <c r="D833"/>
  <c r="E833"/>
  <c r="F833"/>
  <c r="G833"/>
  <c r="B834"/>
  <c r="D834"/>
  <c r="E834"/>
  <c r="F834"/>
  <c r="G834"/>
  <c r="B835"/>
  <c r="D835"/>
  <c r="E835"/>
  <c r="F835"/>
  <c r="G835"/>
  <c r="B836"/>
  <c r="D836"/>
  <c r="E836"/>
  <c r="F836"/>
  <c r="G836"/>
  <c r="B837"/>
  <c r="D837"/>
  <c r="E837"/>
  <c r="F837"/>
  <c r="G837"/>
  <c r="B838"/>
  <c r="D838"/>
  <c r="E838"/>
  <c r="F838"/>
  <c r="G838"/>
  <c r="B839"/>
  <c r="D839"/>
  <c r="E839"/>
  <c r="F839"/>
  <c r="G839"/>
  <c r="B840"/>
  <c r="D840"/>
  <c r="E840"/>
  <c r="F840"/>
  <c r="G840"/>
  <c r="B841"/>
  <c r="D841"/>
  <c r="E841"/>
  <c r="F841"/>
  <c r="G841"/>
  <c r="B822"/>
  <c r="D822"/>
  <c r="E822"/>
  <c r="F822"/>
  <c r="G822"/>
  <c r="B823"/>
  <c r="D823"/>
  <c r="E823"/>
  <c r="F823"/>
  <c r="G823"/>
  <c r="B824"/>
  <c r="D824"/>
  <c r="E824"/>
  <c r="F824"/>
  <c r="G824"/>
  <c r="B825"/>
  <c r="D825"/>
  <c r="E825"/>
  <c r="F825"/>
  <c r="G825"/>
  <c r="B826"/>
  <c r="D826"/>
  <c r="E826"/>
  <c r="F826"/>
  <c r="G826"/>
  <c r="B827"/>
  <c r="D827"/>
  <c r="E827"/>
  <c r="F827"/>
  <c r="G827"/>
  <c r="B828"/>
  <c r="D828"/>
  <c r="E828"/>
  <c r="F828"/>
  <c r="G828"/>
  <c r="B829"/>
  <c r="D829"/>
  <c r="E829"/>
  <c r="G829"/>
  <c r="B830"/>
  <c r="D830"/>
  <c r="E830"/>
  <c r="G830"/>
  <c r="B831"/>
  <c r="D831"/>
  <c r="E831"/>
  <c r="G831"/>
  <c r="B812"/>
  <c r="D812"/>
  <c r="E812"/>
  <c r="F812"/>
  <c r="G812"/>
  <c r="B813"/>
  <c r="D813"/>
  <c r="E813"/>
  <c r="G813"/>
  <c r="B814"/>
  <c r="D814"/>
  <c r="E814"/>
  <c r="F814"/>
  <c r="G814"/>
  <c r="B815"/>
  <c r="D815"/>
  <c r="E815"/>
  <c r="F815"/>
  <c r="G815"/>
  <c r="B816"/>
  <c r="D816"/>
  <c r="E816"/>
  <c r="F816"/>
  <c r="G816"/>
  <c r="B817"/>
  <c r="D817"/>
  <c r="E817"/>
  <c r="F817"/>
  <c r="G817"/>
  <c r="B818"/>
  <c r="D818"/>
  <c r="E818"/>
  <c r="F818"/>
  <c r="G818"/>
  <c r="B819"/>
  <c r="D819"/>
  <c r="E819"/>
  <c r="F819"/>
  <c r="G819"/>
  <c r="B820"/>
  <c r="D820"/>
  <c r="E820"/>
  <c r="F820"/>
  <c r="G820"/>
  <c r="B821"/>
  <c r="D821"/>
  <c r="E821"/>
  <c r="F821"/>
  <c r="G821"/>
  <c r="B802"/>
  <c r="D802"/>
  <c r="E802"/>
  <c r="F802"/>
  <c r="G802"/>
  <c r="B803"/>
  <c r="D803"/>
  <c r="E803"/>
  <c r="F803"/>
  <c r="G803"/>
  <c r="B804"/>
  <c r="D804"/>
  <c r="E804"/>
  <c r="F804"/>
  <c r="G804"/>
  <c r="B805"/>
  <c r="D805"/>
  <c r="E805"/>
  <c r="F805"/>
  <c r="G805"/>
  <c r="B806"/>
  <c r="D806"/>
  <c r="E806"/>
  <c r="G806"/>
  <c r="B807"/>
  <c r="D807"/>
  <c r="E807"/>
  <c r="G807"/>
  <c r="B808"/>
  <c r="D808"/>
  <c r="E808"/>
  <c r="F808"/>
  <c r="G808"/>
  <c r="B809"/>
  <c r="D809"/>
  <c r="E809"/>
  <c r="F809"/>
  <c r="G809"/>
  <c r="B810"/>
  <c r="D810"/>
  <c r="E810"/>
  <c r="F810"/>
  <c r="G810"/>
  <c r="B811"/>
  <c r="D811"/>
  <c r="E811"/>
  <c r="F811"/>
  <c r="G811"/>
  <c r="B792"/>
  <c r="D792"/>
  <c r="E792"/>
  <c r="G792"/>
  <c r="B793"/>
  <c r="D793"/>
  <c r="E793"/>
  <c r="F793"/>
  <c r="G793"/>
  <c r="B794"/>
  <c r="D794"/>
  <c r="E794"/>
  <c r="F794"/>
  <c r="G794"/>
  <c r="B795"/>
  <c r="D795"/>
  <c r="E795"/>
  <c r="F795"/>
  <c r="G795"/>
  <c r="B796"/>
  <c r="D796"/>
  <c r="E796"/>
  <c r="F796"/>
  <c r="G796"/>
  <c r="B797"/>
  <c r="D797"/>
  <c r="E797"/>
  <c r="F797"/>
  <c r="G797"/>
  <c r="B798"/>
  <c r="D798"/>
  <c r="E798"/>
  <c r="F798"/>
  <c r="G798"/>
  <c r="B799"/>
  <c r="D799"/>
  <c r="E799"/>
  <c r="F799"/>
  <c r="G799"/>
  <c r="B800"/>
  <c r="D800"/>
  <c r="E800"/>
  <c r="F800"/>
  <c r="G800"/>
  <c r="B801"/>
  <c r="D801"/>
  <c r="E801"/>
  <c r="F801"/>
  <c r="G801"/>
  <c r="B782"/>
  <c r="D782"/>
  <c r="E782"/>
  <c r="F782"/>
  <c r="G782"/>
  <c r="B783"/>
  <c r="D783"/>
  <c r="E783"/>
  <c r="F783"/>
  <c r="G783"/>
  <c r="B784"/>
  <c r="D784"/>
  <c r="E784"/>
  <c r="F784"/>
  <c r="G784"/>
  <c r="B785"/>
  <c r="D785"/>
  <c r="E785"/>
  <c r="G785"/>
  <c r="B786"/>
  <c r="D786"/>
  <c r="E786"/>
  <c r="G786"/>
  <c r="B787"/>
  <c r="D787"/>
  <c r="E787"/>
  <c r="F787"/>
  <c r="G787"/>
  <c r="B788"/>
  <c r="D788"/>
  <c r="E788"/>
  <c r="G788"/>
  <c r="B789"/>
  <c r="D789"/>
  <c r="E789"/>
  <c r="F789"/>
  <c r="G789"/>
  <c r="B790"/>
  <c r="D790"/>
  <c r="E790"/>
  <c r="G790"/>
  <c r="B791"/>
  <c r="D791"/>
  <c r="E791"/>
  <c r="G791"/>
  <c r="B772"/>
  <c r="D772"/>
  <c r="E772"/>
  <c r="F772"/>
  <c r="G772"/>
  <c r="B773"/>
  <c r="D773"/>
  <c r="E773"/>
  <c r="F773"/>
  <c r="G773"/>
  <c r="B774"/>
  <c r="D774"/>
  <c r="E774"/>
  <c r="F774"/>
  <c r="G774"/>
  <c r="B775"/>
  <c r="D775"/>
  <c r="E775"/>
  <c r="F775"/>
  <c r="G775"/>
  <c r="B776"/>
  <c r="D776"/>
  <c r="E776"/>
  <c r="G776"/>
  <c r="B777"/>
  <c r="D777"/>
  <c r="E777"/>
  <c r="F777"/>
  <c r="G777"/>
  <c r="B778"/>
  <c r="D778"/>
  <c r="E778"/>
  <c r="G778"/>
  <c r="B779"/>
  <c r="D779"/>
  <c r="E779"/>
  <c r="G779"/>
  <c r="B780"/>
  <c r="D780"/>
  <c r="E780"/>
  <c r="F780"/>
  <c r="G780"/>
  <c r="B781"/>
  <c r="D781"/>
  <c r="E781"/>
  <c r="F781"/>
  <c r="G781"/>
  <c r="B762"/>
  <c r="D762"/>
  <c r="E762"/>
  <c r="F762"/>
  <c r="G762"/>
  <c r="B763"/>
  <c r="D763"/>
  <c r="E763"/>
  <c r="F763"/>
  <c r="G763"/>
  <c r="B764"/>
  <c r="D764"/>
  <c r="E764"/>
  <c r="F764"/>
  <c r="G764"/>
  <c r="B765"/>
  <c r="D765"/>
  <c r="E765"/>
  <c r="F765"/>
  <c r="G765"/>
  <c r="B766"/>
  <c r="D766"/>
  <c r="E766"/>
  <c r="F766"/>
  <c r="G766"/>
  <c r="B767"/>
  <c r="D767"/>
  <c r="E767"/>
  <c r="F767"/>
  <c r="G767"/>
  <c r="B768"/>
  <c r="D768"/>
  <c r="E768"/>
  <c r="F768"/>
  <c r="G768"/>
  <c r="B769"/>
  <c r="D769"/>
  <c r="E769"/>
  <c r="G769"/>
  <c r="B770"/>
  <c r="D770"/>
  <c r="E770"/>
  <c r="G770"/>
  <c r="B771"/>
  <c r="D771"/>
  <c r="E771"/>
  <c r="F771"/>
  <c r="G771"/>
  <c r="B752"/>
  <c r="D752"/>
  <c r="E752"/>
  <c r="G752"/>
  <c r="B753"/>
  <c r="D753"/>
  <c r="E753"/>
  <c r="G753"/>
  <c r="B754"/>
  <c r="D754"/>
  <c r="E754"/>
  <c r="G754"/>
  <c r="B755"/>
  <c r="D755"/>
  <c r="E755"/>
  <c r="F755"/>
  <c r="G755"/>
  <c r="B756"/>
  <c r="D756"/>
  <c r="E756"/>
  <c r="F756"/>
  <c r="G756"/>
  <c r="B757"/>
  <c r="D757"/>
  <c r="E757"/>
  <c r="F757"/>
  <c r="G757"/>
  <c r="B758"/>
  <c r="D758"/>
  <c r="E758"/>
  <c r="F758"/>
  <c r="G758"/>
  <c r="B759"/>
  <c r="D759"/>
  <c r="E759"/>
  <c r="F759"/>
  <c r="G759"/>
  <c r="B760"/>
  <c r="D760"/>
  <c r="E760"/>
  <c r="F760"/>
  <c r="G760"/>
  <c r="B761"/>
  <c r="D761"/>
  <c r="E761"/>
  <c r="F761"/>
  <c r="G761"/>
  <c r="B742"/>
  <c r="D742"/>
  <c r="E742"/>
  <c r="G742"/>
  <c r="B743"/>
  <c r="D743"/>
  <c r="E743"/>
  <c r="G743"/>
  <c r="B744"/>
  <c r="D744"/>
  <c r="E744"/>
  <c r="F744"/>
  <c r="G744"/>
  <c r="B745"/>
  <c r="D745"/>
  <c r="E745"/>
  <c r="G745"/>
  <c r="B746"/>
  <c r="D746"/>
  <c r="E746"/>
  <c r="F746"/>
  <c r="G746"/>
  <c r="B747"/>
  <c r="D747"/>
  <c r="E747"/>
  <c r="F747"/>
  <c r="G747"/>
  <c r="B748"/>
  <c r="D748"/>
  <c r="E748"/>
  <c r="F748"/>
  <c r="G748"/>
  <c r="B749"/>
  <c r="D749"/>
  <c r="E749"/>
  <c r="G749"/>
  <c r="B750"/>
  <c r="D750"/>
  <c r="E750"/>
  <c r="F750"/>
  <c r="G750"/>
  <c r="B751"/>
  <c r="D751"/>
  <c r="E751"/>
  <c r="G751"/>
  <c r="B732"/>
  <c r="D732"/>
  <c r="E732"/>
  <c r="F732"/>
  <c r="G732"/>
  <c r="B733"/>
  <c r="D733"/>
  <c r="E733"/>
  <c r="F733"/>
  <c r="G733"/>
  <c r="B734"/>
  <c r="D734"/>
  <c r="E734"/>
  <c r="F734"/>
  <c r="G734"/>
  <c r="B735"/>
  <c r="D735"/>
  <c r="E735"/>
  <c r="F735"/>
  <c r="G735"/>
  <c r="B736"/>
  <c r="D736"/>
  <c r="E736"/>
  <c r="F736"/>
  <c r="G736"/>
  <c r="B737"/>
  <c r="D737"/>
  <c r="E737"/>
  <c r="F737"/>
  <c r="G737"/>
  <c r="B738"/>
  <c r="D738"/>
  <c r="E738"/>
  <c r="F738"/>
  <c r="G738"/>
  <c r="B739"/>
  <c r="D739"/>
  <c r="E739"/>
  <c r="G739"/>
  <c r="B740"/>
  <c r="D740"/>
  <c r="E740"/>
  <c r="G740"/>
  <c r="B741"/>
  <c r="D741"/>
  <c r="E741"/>
  <c r="G741"/>
  <c r="B722"/>
  <c r="D722"/>
  <c r="E722"/>
  <c r="F722"/>
  <c r="G722"/>
  <c r="B723"/>
  <c r="D723"/>
  <c r="E723"/>
  <c r="F723"/>
  <c r="G723"/>
  <c r="B724"/>
  <c r="D724"/>
  <c r="E724"/>
  <c r="F724"/>
  <c r="G724"/>
  <c r="B725"/>
  <c r="D725"/>
  <c r="E725"/>
  <c r="F725"/>
  <c r="G725"/>
  <c r="B726"/>
  <c r="D726"/>
  <c r="E726"/>
  <c r="F726"/>
  <c r="G726"/>
  <c r="B727"/>
  <c r="D727"/>
  <c r="E727"/>
  <c r="F727"/>
  <c r="G727"/>
  <c r="B728"/>
  <c r="D728"/>
  <c r="E728"/>
  <c r="F728"/>
  <c r="G728"/>
  <c r="B729"/>
  <c r="D729"/>
  <c r="E729"/>
  <c r="F729"/>
  <c r="G729"/>
  <c r="B730"/>
  <c r="D730"/>
  <c r="E730"/>
  <c r="F730"/>
  <c r="G730"/>
  <c r="B731"/>
  <c r="D731"/>
  <c r="E731"/>
  <c r="F731"/>
  <c r="G731"/>
  <c r="B712"/>
  <c r="D712"/>
  <c r="E712"/>
  <c r="F712"/>
  <c r="G712"/>
  <c r="B713"/>
  <c r="D713"/>
  <c r="E713"/>
  <c r="F713"/>
  <c r="G713"/>
  <c r="B714"/>
  <c r="D714"/>
  <c r="E714"/>
  <c r="F714"/>
  <c r="G714"/>
  <c r="B715"/>
  <c r="D715"/>
  <c r="E715"/>
  <c r="F715"/>
  <c r="G715"/>
  <c r="B716"/>
  <c r="D716"/>
  <c r="E716"/>
  <c r="F716"/>
  <c r="G716"/>
  <c r="B717"/>
  <c r="D717"/>
  <c r="E717"/>
  <c r="F717"/>
  <c r="G717"/>
  <c r="B718"/>
  <c r="D718"/>
  <c r="E718"/>
  <c r="F718"/>
  <c r="G718"/>
  <c r="B719"/>
  <c r="D719"/>
  <c r="E719"/>
  <c r="F719"/>
  <c r="G719"/>
  <c r="B720"/>
  <c r="D720"/>
  <c r="E720"/>
  <c r="F720"/>
  <c r="G720"/>
  <c r="B721"/>
  <c r="D721"/>
  <c r="E721"/>
  <c r="F721"/>
  <c r="G721"/>
  <c r="B702"/>
  <c r="D702"/>
  <c r="E702"/>
  <c r="F702"/>
  <c r="G702"/>
  <c r="B703"/>
  <c r="D703"/>
  <c r="E703"/>
  <c r="F703"/>
  <c r="G703"/>
  <c r="B704"/>
  <c r="D704"/>
  <c r="E704"/>
  <c r="F704"/>
  <c r="G704"/>
  <c r="B705"/>
  <c r="D705"/>
  <c r="E705"/>
  <c r="F705"/>
  <c r="G705"/>
  <c r="B706"/>
  <c r="D706"/>
  <c r="E706"/>
  <c r="F706"/>
  <c r="G706"/>
  <c r="B707"/>
  <c r="D707"/>
  <c r="E707"/>
  <c r="F707"/>
  <c r="G707"/>
  <c r="B708"/>
  <c r="D708"/>
  <c r="E708"/>
  <c r="F708"/>
  <c r="G708"/>
  <c r="B709"/>
  <c r="D709"/>
  <c r="E709"/>
  <c r="F709"/>
  <c r="G709"/>
  <c r="B710"/>
  <c r="D710"/>
  <c r="E710"/>
  <c r="F710"/>
  <c r="G710"/>
  <c r="B711"/>
  <c r="D711"/>
  <c r="E711"/>
  <c r="F711"/>
  <c r="G711"/>
  <c r="B692"/>
  <c r="D692"/>
  <c r="E692"/>
  <c r="F692"/>
  <c r="G692"/>
  <c r="B693"/>
  <c r="D693"/>
  <c r="E693"/>
  <c r="F693"/>
  <c r="G693"/>
  <c r="B694"/>
  <c r="D694"/>
  <c r="E694"/>
  <c r="F694"/>
  <c r="G694"/>
  <c r="B695"/>
  <c r="D695"/>
  <c r="E695"/>
  <c r="G695"/>
  <c r="B696"/>
  <c r="D696"/>
  <c r="E696"/>
  <c r="F696"/>
  <c r="G696"/>
  <c r="B697"/>
  <c r="D697"/>
  <c r="E697"/>
  <c r="F697"/>
  <c r="G697"/>
  <c r="B698"/>
  <c r="D698"/>
  <c r="E698"/>
  <c r="F698"/>
  <c r="G698"/>
  <c r="B699"/>
  <c r="D699"/>
  <c r="E699"/>
  <c r="F699"/>
  <c r="G699"/>
  <c r="B700"/>
  <c r="D700"/>
  <c r="E700"/>
  <c r="F700"/>
  <c r="G700"/>
  <c r="B701"/>
  <c r="D701"/>
  <c r="E701"/>
  <c r="F701"/>
  <c r="G701"/>
  <c r="B682"/>
  <c r="D682"/>
  <c r="E682"/>
  <c r="G682"/>
  <c r="B683"/>
  <c r="D683"/>
  <c r="E683"/>
  <c r="G683"/>
  <c r="B684"/>
  <c r="D684"/>
  <c r="E684"/>
  <c r="G684"/>
  <c r="B685"/>
  <c r="D685"/>
  <c r="E685"/>
  <c r="F685"/>
  <c r="G685"/>
  <c r="B686"/>
  <c r="D686"/>
  <c r="E686"/>
  <c r="G686"/>
  <c r="B687"/>
  <c r="D687"/>
  <c r="E687"/>
  <c r="F687"/>
  <c r="G687"/>
  <c r="B688"/>
  <c r="D688"/>
  <c r="E688"/>
  <c r="F688"/>
  <c r="G688"/>
  <c r="B689"/>
  <c r="D689"/>
  <c r="E689"/>
  <c r="F689"/>
  <c r="G689"/>
  <c r="B690"/>
  <c r="D690"/>
  <c r="E690"/>
  <c r="F690"/>
  <c r="G690"/>
  <c r="B691"/>
  <c r="D691"/>
  <c r="E691"/>
  <c r="F691"/>
  <c r="G691"/>
  <c r="B672"/>
  <c r="D672"/>
  <c r="E672"/>
  <c r="F672"/>
  <c r="G672"/>
  <c r="B673"/>
  <c r="D673"/>
  <c r="E673"/>
  <c r="F673"/>
  <c r="G673"/>
  <c r="B674"/>
  <c r="D674"/>
  <c r="E674"/>
  <c r="F674"/>
  <c r="G674"/>
  <c r="B675"/>
  <c r="D675"/>
  <c r="E675"/>
  <c r="F675"/>
  <c r="G675"/>
  <c r="B676"/>
  <c r="D676"/>
  <c r="E676"/>
  <c r="F676"/>
  <c r="G676"/>
  <c r="B677"/>
  <c r="D677"/>
  <c r="E677"/>
  <c r="G677"/>
  <c r="B678"/>
  <c r="D678"/>
  <c r="E678"/>
  <c r="F678"/>
  <c r="G678"/>
  <c r="B679"/>
  <c r="D679"/>
  <c r="E679"/>
  <c r="F679"/>
  <c r="G679"/>
  <c r="B680"/>
  <c r="D680"/>
  <c r="E680"/>
  <c r="G680"/>
  <c r="B681"/>
  <c r="D681"/>
  <c r="E681"/>
  <c r="G681"/>
  <c r="B662"/>
  <c r="D662"/>
  <c r="E662"/>
  <c r="F662"/>
  <c r="G662"/>
  <c r="B663"/>
  <c r="D663"/>
  <c r="E663"/>
  <c r="F663"/>
  <c r="G663"/>
  <c r="B664"/>
  <c r="D664"/>
  <c r="E664"/>
  <c r="F664"/>
  <c r="G664"/>
  <c r="B665"/>
  <c r="D665"/>
  <c r="E665"/>
  <c r="F665"/>
  <c r="G665"/>
  <c r="B666"/>
  <c r="D666"/>
  <c r="E666"/>
  <c r="F666"/>
  <c r="G666"/>
  <c r="B667"/>
  <c r="D667"/>
  <c r="E667"/>
  <c r="F667"/>
  <c r="G667"/>
  <c r="B668"/>
  <c r="D668"/>
  <c r="E668"/>
  <c r="F668"/>
  <c r="G668"/>
  <c r="B669"/>
  <c r="D669"/>
  <c r="E669"/>
  <c r="F669"/>
  <c r="G669"/>
  <c r="B670"/>
  <c r="D670"/>
  <c r="E670"/>
  <c r="F670"/>
  <c r="G670"/>
  <c r="B671"/>
  <c r="D671"/>
  <c r="E671"/>
  <c r="F671"/>
  <c r="G671"/>
  <c r="B652"/>
  <c r="D652"/>
  <c r="E652"/>
  <c r="F652"/>
  <c r="G652"/>
  <c r="B653"/>
  <c r="D653"/>
  <c r="E653"/>
  <c r="F653"/>
  <c r="G653"/>
  <c r="B654"/>
  <c r="D654"/>
  <c r="E654"/>
  <c r="F654"/>
  <c r="G654"/>
  <c r="B655"/>
  <c r="D655"/>
  <c r="E655"/>
  <c r="F655"/>
  <c r="G655"/>
  <c r="B656"/>
  <c r="D656"/>
  <c r="E656"/>
  <c r="F656"/>
  <c r="G656"/>
  <c r="B657"/>
  <c r="D657"/>
  <c r="E657"/>
  <c r="F657"/>
  <c r="G657"/>
  <c r="B658"/>
  <c r="D658"/>
  <c r="E658"/>
  <c r="F658"/>
  <c r="G658"/>
  <c r="B659"/>
  <c r="D659"/>
  <c r="E659"/>
  <c r="F659"/>
  <c r="G659"/>
  <c r="B660"/>
  <c r="D660"/>
  <c r="E660"/>
  <c r="F660"/>
  <c r="G660"/>
  <c r="B661"/>
  <c r="D661"/>
  <c r="E661"/>
  <c r="F661"/>
  <c r="G661"/>
  <c r="B642"/>
  <c r="D642"/>
  <c r="E642"/>
  <c r="F642"/>
  <c r="G642"/>
  <c r="B643"/>
  <c r="D643"/>
  <c r="E643"/>
  <c r="F643"/>
  <c r="G643"/>
  <c r="B644"/>
  <c r="D644"/>
  <c r="E644"/>
  <c r="F644"/>
  <c r="G644"/>
  <c r="B645"/>
  <c r="D645"/>
  <c r="E645"/>
  <c r="F645"/>
  <c r="G645"/>
  <c r="B646"/>
  <c r="D646"/>
  <c r="E646"/>
  <c r="F646"/>
  <c r="G646"/>
  <c r="B647"/>
  <c r="D647"/>
  <c r="E647"/>
  <c r="F647"/>
  <c r="G647"/>
  <c r="B648"/>
  <c r="D648"/>
  <c r="E648"/>
  <c r="F648"/>
  <c r="G648"/>
  <c r="B649"/>
  <c r="D649"/>
  <c r="E649"/>
  <c r="F649"/>
  <c r="G649"/>
  <c r="B650"/>
  <c r="D650"/>
  <c r="E650"/>
  <c r="F650"/>
  <c r="G650"/>
  <c r="B651"/>
  <c r="D651"/>
  <c r="E651"/>
  <c r="F651"/>
  <c r="G651"/>
  <c r="B632"/>
  <c r="D632"/>
  <c r="E632"/>
  <c r="F632"/>
  <c r="G632"/>
  <c r="B633"/>
  <c r="D633"/>
  <c r="E633"/>
  <c r="F633"/>
  <c r="G633"/>
  <c r="B634"/>
  <c r="D634"/>
  <c r="E634"/>
  <c r="F634"/>
  <c r="G634"/>
  <c r="B635"/>
  <c r="D635"/>
  <c r="E635"/>
  <c r="F635"/>
  <c r="G635"/>
  <c r="B636"/>
  <c r="D636"/>
  <c r="E636"/>
  <c r="F636"/>
  <c r="G636"/>
  <c r="B637"/>
  <c r="D637"/>
  <c r="E637"/>
  <c r="F637"/>
  <c r="G637"/>
  <c r="B638"/>
  <c r="D638"/>
  <c r="E638"/>
  <c r="F638"/>
  <c r="G638"/>
  <c r="B639"/>
  <c r="D639"/>
  <c r="E639"/>
  <c r="F639"/>
  <c r="G639"/>
  <c r="B640"/>
  <c r="D640"/>
  <c r="E640"/>
  <c r="F640"/>
  <c r="G640"/>
  <c r="B641"/>
  <c r="D641"/>
  <c r="E641"/>
  <c r="F641"/>
  <c r="G641"/>
  <c r="B622"/>
  <c r="D622"/>
  <c r="E622"/>
  <c r="F622"/>
  <c r="G622"/>
  <c r="B623"/>
  <c r="D623"/>
  <c r="E623"/>
  <c r="F623"/>
  <c r="G623"/>
  <c r="B624"/>
  <c r="D624"/>
  <c r="E624"/>
  <c r="F624"/>
  <c r="G624"/>
  <c r="B625"/>
  <c r="D625"/>
  <c r="E625"/>
  <c r="F625"/>
  <c r="G625"/>
  <c r="B626"/>
  <c r="D626"/>
  <c r="E626"/>
  <c r="F626"/>
  <c r="G626"/>
  <c r="B627"/>
  <c r="D627"/>
  <c r="E627"/>
  <c r="F627"/>
  <c r="G627"/>
  <c r="B628"/>
  <c r="D628"/>
  <c r="E628"/>
  <c r="F628"/>
  <c r="G628"/>
  <c r="B629"/>
  <c r="D629"/>
  <c r="E629"/>
  <c r="F629"/>
  <c r="G629"/>
  <c r="B630"/>
  <c r="D630"/>
  <c r="E630"/>
  <c r="F630"/>
  <c r="G630"/>
  <c r="B631"/>
  <c r="D631"/>
  <c r="E631"/>
  <c r="F631"/>
  <c r="G631"/>
  <c r="B612"/>
  <c r="D612"/>
  <c r="E612"/>
  <c r="F612"/>
  <c r="G612"/>
  <c r="B613"/>
  <c r="D613"/>
  <c r="E613"/>
  <c r="F613"/>
  <c r="G613"/>
  <c r="B614"/>
  <c r="D614"/>
  <c r="E614"/>
  <c r="F614"/>
  <c r="G614"/>
  <c r="B615"/>
  <c r="D615"/>
  <c r="E615"/>
  <c r="F615"/>
  <c r="G615"/>
  <c r="B616"/>
  <c r="D616"/>
  <c r="E616"/>
  <c r="F616"/>
  <c r="G616"/>
  <c r="B617"/>
  <c r="D617"/>
  <c r="E617"/>
  <c r="F617"/>
  <c r="G617"/>
  <c r="B618"/>
  <c r="D618"/>
  <c r="E618"/>
  <c r="F618"/>
  <c r="G618"/>
  <c r="B619"/>
  <c r="D619"/>
  <c r="E619"/>
  <c r="F619"/>
  <c r="G619"/>
  <c r="B620"/>
  <c r="D620"/>
  <c r="E620"/>
  <c r="F620"/>
  <c r="G620"/>
  <c r="B621"/>
  <c r="D621"/>
  <c r="E621"/>
  <c r="F621"/>
  <c r="G621"/>
  <c r="B602"/>
  <c r="D602"/>
  <c r="E602"/>
  <c r="F602"/>
  <c r="G602"/>
  <c r="B603"/>
  <c r="D603"/>
  <c r="E603"/>
  <c r="F603"/>
  <c r="G603"/>
  <c r="B604"/>
  <c r="D604"/>
  <c r="E604"/>
  <c r="F604"/>
  <c r="G604"/>
  <c r="B605"/>
  <c r="D605"/>
  <c r="E605"/>
  <c r="F605"/>
  <c r="G605"/>
  <c r="B606"/>
  <c r="D606"/>
  <c r="E606"/>
  <c r="F606"/>
  <c r="G606"/>
  <c r="B607"/>
  <c r="D607"/>
  <c r="E607"/>
  <c r="F607"/>
  <c r="G607"/>
  <c r="B608"/>
  <c r="D608"/>
  <c r="E608"/>
  <c r="F608"/>
  <c r="G608"/>
  <c r="B609"/>
  <c r="D609"/>
  <c r="E609"/>
  <c r="F609"/>
  <c r="G609"/>
  <c r="B610"/>
  <c r="D610"/>
  <c r="E610"/>
  <c r="F610"/>
  <c r="G610"/>
  <c r="B611"/>
  <c r="D611"/>
  <c r="E611"/>
  <c r="F611"/>
  <c r="G611"/>
  <c r="B592"/>
  <c r="D592"/>
  <c r="E592"/>
  <c r="F592"/>
  <c r="G592"/>
  <c r="B593"/>
  <c r="D593"/>
  <c r="E593"/>
  <c r="F593"/>
  <c r="G593"/>
  <c r="B594"/>
  <c r="D594"/>
  <c r="E594"/>
  <c r="F594"/>
  <c r="G594"/>
  <c r="B595"/>
  <c r="D595"/>
  <c r="E595"/>
  <c r="F595"/>
  <c r="G595"/>
  <c r="B596"/>
  <c r="D596"/>
  <c r="E596"/>
  <c r="F596"/>
  <c r="G596"/>
  <c r="B597"/>
  <c r="D597"/>
  <c r="E597"/>
  <c r="F597"/>
  <c r="G597"/>
  <c r="B598"/>
  <c r="D598"/>
  <c r="E598"/>
  <c r="F598"/>
  <c r="G598"/>
  <c r="B599"/>
  <c r="D599"/>
  <c r="E599"/>
  <c r="F599"/>
  <c r="G599"/>
  <c r="B600"/>
  <c r="D600"/>
  <c r="E600"/>
  <c r="F600"/>
  <c r="G600"/>
  <c r="B601"/>
  <c r="D601"/>
  <c r="E601"/>
  <c r="F601"/>
  <c r="G601"/>
  <c r="B582"/>
  <c r="D582"/>
  <c r="E582"/>
  <c r="F582"/>
  <c r="G582"/>
  <c r="B583"/>
  <c r="D583"/>
  <c r="E583"/>
  <c r="F583"/>
  <c r="G583"/>
  <c r="B584"/>
  <c r="D584"/>
  <c r="E584"/>
  <c r="F584"/>
  <c r="G584"/>
  <c r="B585"/>
  <c r="D585"/>
  <c r="E585"/>
  <c r="F585"/>
  <c r="G585"/>
  <c r="B586"/>
  <c r="D586"/>
  <c r="E586"/>
  <c r="F586"/>
  <c r="G586"/>
  <c r="B587"/>
  <c r="D587"/>
  <c r="E587"/>
  <c r="F587"/>
  <c r="G587"/>
  <c r="B588"/>
  <c r="D588"/>
  <c r="E588"/>
  <c r="F588"/>
  <c r="G588"/>
  <c r="B589"/>
  <c r="D589"/>
  <c r="E589"/>
  <c r="F589"/>
  <c r="G589"/>
  <c r="B590"/>
  <c r="D590"/>
  <c r="E590"/>
  <c r="F590"/>
  <c r="G590"/>
  <c r="B591"/>
  <c r="D591"/>
  <c r="E591"/>
  <c r="F591"/>
  <c r="G591"/>
  <c r="B572"/>
  <c r="D572"/>
  <c r="E572"/>
  <c r="F572"/>
  <c r="G572"/>
  <c r="B573"/>
  <c r="D573"/>
  <c r="E573"/>
  <c r="F573"/>
  <c r="G573"/>
  <c r="B574"/>
  <c r="D574"/>
  <c r="E574"/>
  <c r="F574"/>
  <c r="G574"/>
  <c r="B575"/>
  <c r="D575"/>
  <c r="E575"/>
  <c r="F575"/>
  <c r="G575"/>
  <c r="B576"/>
  <c r="D576"/>
  <c r="E576"/>
  <c r="F576"/>
  <c r="G576"/>
  <c r="B577"/>
  <c r="D577"/>
  <c r="E577"/>
  <c r="F577"/>
  <c r="G577"/>
  <c r="B578"/>
  <c r="D578"/>
  <c r="E578"/>
  <c r="F578"/>
  <c r="G578"/>
  <c r="B579"/>
  <c r="D579"/>
  <c r="E579"/>
  <c r="F579"/>
  <c r="G579"/>
  <c r="B580"/>
  <c r="D580"/>
  <c r="E580"/>
  <c r="F580"/>
  <c r="G580"/>
  <c r="B581"/>
  <c r="D581"/>
  <c r="E581"/>
  <c r="F581"/>
  <c r="G581"/>
  <c r="B562"/>
  <c r="D562"/>
  <c r="E562"/>
  <c r="F562"/>
  <c r="G562"/>
  <c r="B563"/>
  <c r="D563"/>
  <c r="E563"/>
  <c r="F563"/>
  <c r="G563"/>
  <c r="B564"/>
  <c r="D564"/>
  <c r="E564"/>
  <c r="F564"/>
  <c r="G564"/>
  <c r="B565"/>
  <c r="D565"/>
  <c r="E565"/>
  <c r="G565"/>
  <c r="B566"/>
  <c r="D566"/>
  <c r="E566"/>
  <c r="F566"/>
  <c r="G566"/>
  <c r="B567"/>
  <c r="D567"/>
  <c r="E567"/>
  <c r="F567"/>
  <c r="G567"/>
  <c r="B568"/>
  <c r="D568"/>
  <c r="E568"/>
  <c r="F568"/>
  <c r="G568"/>
  <c r="B569"/>
  <c r="D569"/>
  <c r="E569"/>
  <c r="F569"/>
  <c r="G569"/>
  <c r="B570"/>
  <c r="D570"/>
  <c r="E570"/>
  <c r="F570"/>
  <c r="G570"/>
  <c r="B571"/>
  <c r="D571"/>
  <c r="E571"/>
  <c r="F571"/>
  <c r="G571"/>
  <c r="B552"/>
  <c r="D552"/>
  <c r="E552"/>
  <c r="F552"/>
  <c r="G552"/>
  <c r="B553"/>
  <c r="D553"/>
  <c r="E553"/>
  <c r="F553"/>
  <c r="G553"/>
  <c r="B554"/>
  <c r="D554"/>
  <c r="E554"/>
  <c r="F554"/>
  <c r="G554"/>
  <c r="B555"/>
  <c r="D555"/>
  <c r="E555"/>
  <c r="F555"/>
  <c r="G555"/>
  <c r="B556"/>
  <c r="D556"/>
  <c r="E556"/>
  <c r="F556"/>
  <c r="G556"/>
  <c r="B557"/>
  <c r="D557"/>
  <c r="E557"/>
  <c r="F557"/>
  <c r="G557"/>
  <c r="B558"/>
  <c r="D558"/>
  <c r="E558"/>
  <c r="F558"/>
  <c r="G558"/>
  <c r="B559"/>
  <c r="D559"/>
  <c r="E559"/>
  <c r="F559"/>
  <c r="G559"/>
  <c r="B560"/>
  <c r="D560"/>
  <c r="E560"/>
  <c r="F560"/>
  <c r="G560"/>
  <c r="B561"/>
  <c r="D561"/>
  <c r="E561"/>
  <c r="F561"/>
  <c r="G561"/>
  <c r="B542"/>
  <c r="D542"/>
  <c r="E542"/>
  <c r="F542"/>
  <c r="G542"/>
  <c r="B543"/>
  <c r="D543"/>
  <c r="E543"/>
  <c r="F543"/>
  <c r="G543"/>
  <c r="B544"/>
  <c r="D544"/>
  <c r="E544"/>
  <c r="F544"/>
  <c r="G544"/>
  <c r="B545"/>
  <c r="D545"/>
  <c r="E545"/>
  <c r="F545"/>
  <c r="G545"/>
  <c r="B546"/>
  <c r="D546"/>
  <c r="E546"/>
  <c r="F546"/>
  <c r="G546"/>
  <c r="B547"/>
  <c r="D547"/>
  <c r="E547"/>
  <c r="F547"/>
  <c r="G547"/>
  <c r="B548"/>
  <c r="D548"/>
  <c r="E548"/>
  <c r="F548"/>
  <c r="G548"/>
  <c r="B549"/>
  <c r="D549"/>
  <c r="E549"/>
  <c r="F549"/>
  <c r="G549"/>
  <c r="B550"/>
  <c r="D550"/>
  <c r="E550"/>
  <c r="F550"/>
  <c r="G550"/>
  <c r="B551"/>
  <c r="D551"/>
  <c r="E551"/>
  <c r="F551"/>
  <c r="G551"/>
  <c r="B532"/>
  <c r="D532"/>
  <c r="E532"/>
  <c r="F532"/>
  <c r="G532"/>
  <c r="B533"/>
  <c r="D533"/>
  <c r="E533"/>
  <c r="F533"/>
  <c r="G533"/>
  <c r="B534"/>
  <c r="D534"/>
  <c r="E534"/>
  <c r="F534"/>
  <c r="G534"/>
  <c r="B535"/>
  <c r="D535"/>
  <c r="E535"/>
  <c r="F535"/>
  <c r="G535"/>
  <c r="B536"/>
  <c r="D536"/>
  <c r="E536"/>
  <c r="F536"/>
  <c r="G536"/>
  <c r="B537"/>
  <c r="D537"/>
  <c r="E537"/>
  <c r="F537"/>
  <c r="G537"/>
  <c r="B538"/>
  <c r="D538"/>
  <c r="E538"/>
  <c r="F538"/>
  <c r="G538"/>
  <c r="B539"/>
  <c r="D539"/>
  <c r="E539"/>
  <c r="F539"/>
  <c r="G539"/>
  <c r="B540"/>
  <c r="D540"/>
  <c r="E540"/>
  <c r="F540"/>
  <c r="G540"/>
  <c r="B541"/>
  <c r="D541"/>
  <c r="E541"/>
  <c r="F541"/>
  <c r="G541"/>
  <c r="B522"/>
  <c r="D522"/>
  <c r="E522"/>
  <c r="F522"/>
  <c r="G522"/>
  <c r="B523"/>
  <c r="D523"/>
  <c r="E523"/>
  <c r="F523"/>
  <c r="G523"/>
  <c r="B524"/>
  <c r="D524"/>
  <c r="E524"/>
  <c r="F524"/>
  <c r="G524"/>
  <c r="B525"/>
  <c r="D525"/>
  <c r="E525"/>
  <c r="F525"/>
  <c r="G525"/>
  <c r="B526"/>
  <c r="D526"/>
  <c r="E526"/>
  <c r="F526"/>
  <c r="G526"/>
  <c r="B527"/>
  <c r="D527"/>
  <c r="E527"/>
  <c r="F527"/>
  <c r="G527"/>
  <c r="B528"/>
  <c r="D528"/>
  <c r="E528"/>
  <c r="F528"/>
  <c r="G528"/>
  <c r="B529"/>
  <c r="D529"/>
  <c r="E529"/>
  <c r="F529"/>
  <c r="G529"/>
  <c r="B530"/>
  <c r="D530"/>
  <c r="E530"/>
  <c r="F530"/>
  <c r="G530"/>
  <c r="B531"/>
  <c r="D531"/>
  <c r="E531"/>
  <c r="F531"/>
  <c r="G531"/>
  <c r="B512"/>
  <c r="D512"/>
  <c r="E512"/>
  <c r="F512"/>
  <c r="G512"/>
  <c r="B513"/>
  <c r="D513"/>
  <c r="E513"/>
  <c r="F513"/>
  <c r="G513"/>
  <c r="B514"/>
  <c r="D514"/>
  <c r="E514"/>
  <c r="F514"/>
  <c r="G514"/>
  <c r="B515"/>
  <c r="D515"/>
  <c r="E515"/>
  <c r="F515"/>
  <c r="G515"/>
  <c r="B516"/>
  <c r="D516"/>
  <c r="E516"/>
  <c r="F516"/>
  <c r="G516"/>
  <c r="B517"/>
  <c r="D517"/>
  <c r="E517"/>
  <c r="F517"/>
  <c r="G517"/>
  <c r="B518"/>
  <c r="D518"/>
  <c r="E518"/>
  <c r="F518"/>
  <c r="G518"/>
  <c r="B519"/>
  <c r="D519"/>
  <c r="E519"/>
  <c r="F519"/>
  <c r="G519"/>
  <c r="B520"/>
  <c r="D520"/>
  <c r="E520"/>
  <c r="F520"/>
  <c r="G520"/>
  <c r="B521"/>
  <c r="D521"/>
  <c r="E521"/>
  <c r="F521"/>
  <c r="G521"/>
  <c r="B502"/>
  <c r="D502"/>
  <c r="E502"/>
  <c r="F502"/>
  <c r="G502"/>
  <c r="B503"/>
  <c r="D503"/>
  <c r="E503"/>
  <c r="F503"/>
  <c r="G503"/>
  <c r="B504"/>
  <c r="D504"/>
  <c r="E504"/>
  <c r="F504"/>
  <c r="G504"/>
  <c r="B505"/>
  <c r="D505"/>
  <c r="E505"/>
  <c r="F505"/>
  <c r="G505"/>
  <c r="B506"/>
  <c r="D506"/>
  <c r="E506"/>
  <c r="F506"/>
  <c r="G506"/>
  <c r="B507"/>
  <c r="D507"/>
  <c r="E507"/>
  <c r="F507"/>
  <c r="G507"/>
  <c r="B508"/>
  <c r="D508"/>
  <c r="E508"/>
  <c r="F508"/>
  <c r="G508"/>
  <c r="B509"/>
  <c r="D509"/>
  <c r="E509"/>
  <c r="F509"/>
  <c r="G509"/>
  <c r="B510"/>
  <c r="D510"/>
  <c r="E510"/>
  <c r="F510"/>
  <c r="G510"/>
  <c r="B511"/>
  <c r="D511"/>
  <c r="E511"/>
  <c r="F511"/>
  <c r="G511"/>
  <c r="B492"/>
  <c r="D492"/>
  <c r="E492"/>
  <c r="F492"/>
  <c r="G492"/>
  <c r="B493"/>
  <c r="D493"/>
  <c r="E493"/>
  <c r="F493"/>
  <c r="G493"/>
  <c r="B494"/>
  <c r="D494"/>
  <c r="E494"/>
  <c r="F494"/>
  <c r="G494"/>
  <c r="B495"/>
  <c r="D495"/>
  <c r="E495"/>
  <c r="F495"/>
  <c r="G495"/>
  <c r="B496"/>
  <c r="D496"/>
  <c r="E496"/>
  <c r="F496"/>
  <c r="G496"/>
  <c r="B497"/>
  <c r="D497"/>
  <c r="E497"/>
  <c r="F497"/>
  <c r="G497"/>
  <c r="B498"/>
  <c r="D498"/>
  <c r="E498"/>
  <c r="F498"/>
  <c r="G498"/>
  <c r="B499"/>
  <c r="D499"/>
  <c r="E499"/>
  <c r="F499"/>
  <c r="G499"/>
  <c r="B500"/>
  <c r="D500"/>
  <c r="E500"/>
  <c r="F500"/>
  <c r="G500"/>
  <c r="B501"/>
  <c r="D501"/>
  <c r="E501"/>
  <c r="F501"/>
  <c r="G501"/>
  <c r="B482"/>
  <c r="D482"/>
  <c r="E482"/>
  <c r="F482"/>
  <c r="G482"/>
  <c r="B483"/>
  <c r="D483"/>
  <c r="E483"/>
  <c r="F483"/>
  <c r="G483"/>
  <c r="B484"/>
  <c r="D484"/>
  <c r="E484"/>
  <c r="F484"/>
  <c r="G484"/>
  <c r="B485"/>
  <c r="D485"/>
  <c r="E485"/>
  <c r="F485"/>
  <c r="G485"/>
  <c r="B486"/>
  <c r="D486"/>
  <c r="E486"/>
  <c r="F486"/>
  <c r="G486"/>
  <c r="B487"/>
  <c r="D487"/>
  <c r="E487"/>
  <c r="F487"/>
  <c r="G487"/>
  <c r="B488"/>
  <c r="D488"/>
  <c r="E488"/>
  <c r="F488"/>
  <c r="G488"/>
  <c r="B489"/>
  <c r="D489"/>
  <c r="E489"/>
  <c r="F489"/>
  <c r="G489"/>
  <c r="B490"/>
  <c r="D490"/>
  <c r="E490"/>
  <c r="F490"/>
  <c r="G490"/>
  <c r="B491"/>
  <c r="D491"/>
  <c r="E491"/>
  <c r="F491"/>
  <c r="G491"/>
  <c r="B472"/>
  <c r="D472"/>
  <c r="E472"/>
  <c r="F472"/>
  <c r="G472"/>
  <c r="B473"/>
  <c r="D473"/>
  <c r="E473"/>
  <c r="F473"/>
  <c r="G473"/>
  <c r="B474"/>
  <c r="D474"/>
  <c r="E474"/>
  <c r="F474"/>
  <c r="G474"/>
  <c r="B475"/>
  <c r="D475"/>
  <c r="E475"/>
  <c r="F475"/>
  <c r="G475"/>
  <c r="B476"/>
  <c r="D476"/>
  <c r="E476"/>
  <c r="F476"/>
  <c r="G476"/>
  <c r="B477"/>
  <c r="D477"/>
  <c r="E477"/>
  <c r="F477"/>
  <c r="G477"/>
  <c r="B478"/>
  <c r="D478"/>
  <c r="E478"/>
  <c r="F478"/>
  <c r="G478"/>
  <c r="B479"/>
  <c r="D479"/>
  <c r="E479"/>
  <c r="F479"/>
  <c r="G479"/>
  <c r="B480"/>
  <c r="D480"/>
  <c r="E480"/>
  <c r="F480"/>
  <c r="G480"/>
  <c r="B481"/>
  <c r="D481"/>
  <c r="E481"/>
  <c r="F481"/>
  <c r="G481"/>
  <c r="B462"/>
  <c r="D462"/>
  <c r="E462"/>
  <c r="F462"/>
  <c r="G462"/>
  <c r="B463"/>
  <c r="D463"/>
  <c r="E463"/>
  <c r="F463"/>
  <c r="G463"/>
  <c r="B464"/>
  <c r="D464"/>
  <c r="E464"/>
  <c r="F464"/>
  <c r="G464"/>
  <c r="B465"/>
  <c r="D465"/>
  <c r="E465"/>
  <c r="F465"/>
  <c r="G465"/>
  <c r="B466"/>
  <c r="D466"/>
  <c r="E466"/>
  <c r="F466"/>
  <c r="G466"/>
  <c r="B467"/>
  <c r="D467"/>
  <c r="E467"/>
  <c r="F467"/>
  <c r="G467"/>
  <c r="B468"/>
  <c r="D468"/>
  <c r="E468"/>
  <c r="F468"/>
  <c r="G468"/>
  <c r="B469"/>
  <c r="D469"/>
  <c r="E469"/>
  <c r="F469"/>
  <c r="G469"/>
  <c r="B470"/>
  <c r="D470"/>
  <c r="E470"/>
  <c r="F470"/>
  <c r="G470"/>
  <c r="B471"/>
  <c r="D471"/>
  <c r="E471"/>
  <c r="F471"/>
  <c r="G471"/>
  <c r="B452"/>
  <c r="D452"/>
  <c r="E452"/>
  <c r="F452"/>
  <c r="G452"/>
  <c r="B453"/>
  <c r="D453"/>
  <c r="E453"/>
  <c r="F453"/>
  <c r="G453"/>
  <c r="B454"/>
  <c r="D454"/>
  <c r="E454"/>
  <c r="F454"/>
  <c r="G454"/>
  <c r="B455"/>
  <c r="D455"/>
  <c r="E455"/>
  <c r="F455"/>
  <c r="G455"/>
  <c r="B456"/>
  <c r="D456"/>
  <c r="E456"/>
  <c r="F456"/>
  <c r="G456"/>
  <c r="B457"/>
  <c r="D457"/>
  <c r="E457"/>
  <c r="F457"/>
  <c r="G457"/>
  <c r="B458"/>
  <c r="D458"/>
  <c r="E458"/>
  <c r="F458"/>
  <c r="G458"/>
  <c r="B459"/>
  <c r="D459"/>
  <c r="E459"/>
  <c r="F459"/>
  <c r="G459"/>
  <c r="B460"/>
  <c r="D460"/>
  <c r="E460"/>
  <c r="F460"/>
  <c r="G460"/>
  <c r="B461"/>
  <c r="D461"/>
  <c r="E461"/>
  <c r="F461"/>
  <c r="G461"/>
  <c r="B442"/>
  <c r="D442"/>
  <c r="E442"/>
  <c r="F442"/>
  <c r="G442"/>
  <c r="B443"/>
  <c r="D443"/>
  <c r="E443"/>
  <c r="F443"/>
  <c r="G443"/>
  <c r="B444"/>
  <c r="D444"/>
  <c r="E444"/>
  <c r="F444"/>
  <c r="G444"/>
  <c r="B445"/>
  <c r="D445"/>
  <c r="E445"/>
  <c r="F445"/>
  <c r="G445"/>
  <c r="B446"/>
  <c r="D446"/>
  <c r="E446"/>
  <c r="F446"/>
  <c r="G446"/>
  <c r="B447"/>
  <c r="D447"/>
  <c r="E447"/>
  <c r="F447"/>
  <c r="G447"/>
  <c r="B448"/>
  <c r="D448"/>
  <c r="E448"/>
  <c r="F448"/>
  <c r="G448"/>
  <c r="B449"/>
  <c r="D449"/>
  <c r="E449"/>
  <c r="F449"/>
  <c r="G449"/>
  <c r="B450"/>
  <c r="D450"/>
  <c r="E450"/>
  <c r="F450"/>
  <c r="G450"/>
  <c r="B451"/>
  <c r="D451"/>
  <c r="E451"/>
  <c r="F451"/>
  <c r="G451"/>
  <c r="B432"/>
  <c r="D432"/>
  <c r="E432"/>
  <c r="F432"/>
  <c r="G432"/>
  <c r="B433"/>
  <c r="D433"/>
  <c r="E433"/>
  <c r="F433"/>
  <c r="G433"/>
  <c r="B434"/>
  <c r="D434"/>
  <c r="E434"/>
  <c r="F434"/>
  <c r="G434"/>
  <c r="B435"/>
  <c r="D435"/>
  <c r="E435"/>
  <c r="F435"/>
  <c r="G435"/>
  <c r="B436"/>
  <c r="D436"/>
  <c r="E436"/>
  <c r="F436"/>
  <c r="G436"/>
  <c r="B437"/>
  <c r="D437"/>
  <c r="E437"/>
  <c r="F437"/>
  <c r="G437"/>
  <c r="B438"/>
  <c r="D438"/>
  <c r="E438"/>
  <c r="F438"/>
  <c r="G438"/>
  <c r="B439"/>
  <c r="D439"/>
  <c r="E439"/>
  <c r="F439"/>
  <c r="G439"/>
  <c r="B440"/>
  <c r="D440"/>
  <c r="E440"/>
  <c r="F440"/>
  <c r="G440"/>
  <c r="B441"/>
  <c r="D441"/>
  <c r="E441"/>
  <c r="F441"/>
  <c r="G441"/>
  <c r="B422"/>
  <c r="D422"/>
  <c r="E422"/>
  <c r="F422"/>
  <c r="G422"/>
  <c r="B423"/>
  <c r="D423"/>
  <c r="E423"/>
  <c r="F423"/>
  <c r="G423"/>
  <c r="B424"/>
  <c r="D424"/>
  <c r="E424"/>
  <c r="G424"/>
  <c r="B425"/>
  <c r="D425"/>
  <c r="E425"/>
  <c r="F425"/>
  <c r="G425"/>
  <c r="B426"/>
  <c r="D426"/>
  <c r="E426"/>
  <c r="F426"/>
  <c r="G426"/>
  <c r="B427"/>
  <c r="D427"/>
  <c r="E427"/>
  <c r="F427"/>
  <c r="G427"/>
  <c r="B428"/>
  <c r="D428"/>
  <c r="E428"/>
  <c r="F428"/>
  <c r="G428"/>
  <c r="B429"/>
  <c r="D429"/>
  <c r="E429"/>
  <c r="F429"/>
  <c r="G429"/>
  <c r="B430"/>
  <c r="D430"/>
  <c r="E430"/>
  <c r="F430"/>
  <c r="G430"/>
  <c r="B431"/>
  <c r="D431"/>
  <c r="E431"/>
  <c r="F431"/>
  <c r="G431"/>
  <c r="B412"/>
  <c r="D412"/>
  <c r="E412"/>
  <c r="F412"/>
  <c r="G412"/>
  <c r="B413"/>
  <c r="D413"/>
  <c r="E413"/>
  <c r="F413"/>
  <c r="G413"/>
  <c r="B414"/>
  <c r="D414"/>
  <c r="E414"/>
  <c r="F414"/>
  <c r="G414"/>
  <c r="B415"/>
  <c r="D415"/>
  <c r="E415"/>
  <c r="F415"/>
  <c r="G415"/>
  <c r="B416"/>
  <c r="D416"/>
  <c r="E416"/>
  <c r="F416"/>
  <c r="G416"/>
  <c r="B417"/>
  <c r="D417"/>
  <c r="E417"/>
  <c r="F417"/>
  <c r="G417"/>
  <c r="B418"/>
  <c r="D418"/>
  <c r="E418"/>
  <c r="F418"/>
  <c r="G418"/>
  <c r="B419"/>
  <c r="D419"/>
  <c r="E419"/>
  <c r="F419"/>
  <c r="G419"/>
  <c r="B420"/>
  <c r="D420"/>
  <c r="E420"/>
  <c r="F420"/>
  <c r="G420"/>
  <c r="B421"/>
  <c r="D421"/>
  <c r="E421"/>
  <c r="F421"/>
  <c r="G421"/>
  <c r="B402"/>
  <c r="D402"/>
  <c r="E402"/>
  <c r="F402"/>
  <c r="G402"/>
  <c r="B403"/>
  <c r="D403"/>
  <c r="E403"/>
  <c r="F403"/>
  <c r="G403"/>
  <c r="B404"/>
  <c r="D404"/>
  <c r="E404"/>
  <c r="F404"/>
  <c r="G404"/>
  <c r="B405"/>
  <c r="D405"/>
  <c r="E405"/>
  <c r="F405"/>
  <c r="G405"/>
  <c r="B406"/>
  <c r="D406"/>
  <c r="E406"/>
  <c r="F406"/>
  <c r="G406"/>
  <c r="B407"/>
  <c r="D407"/>
  <c r="E407"/>
  <c r="F407"/>
  <c r="G407"/>
  <c r="B408"/>
  <c r="D408"/>
  <c r="E408"/>
  <c r="F408"/>
  <c r="G408"/>
  <c r="B409"/>
  <c r="D409"/>
  <c r="E409"/>
  <c r="F409"/>
  <c r="G409"/>
  <c r="B410"/>
  <c r="D410"/>
  <c r="E410"/>
  <c r="F410"/>
  <c r="G410"/>
  <c r="B411"/>
  <c r="D411"/>
  <c r="E411"/>
  <c r="F411"/>
  <c r="G411"/>
  <c r="B392"/>
  <c r="D392"/>
  <c r="E392"/>
  <c r="F392"/>
  <c r="G392"/>
  <c r="B393"/>
  <c r="D393"/>
  <c r="E393"/>
  <c r="F393"/>
  <c r="G393"/>
  <c r="B394"/>
  <c r="D394"/>
  <c r="E394"/>
  <c r="F394"/>
  <c r="G394"/>
  <c r="B395"/>
  <c r="D395"/>
  <c r="E395"/>
  <c r="F395"/>
  <c r="G395"/>
  <c r="B396"/>
  <c r="D396"/>
  <c r="E396"/>
  <c r="F396"/>
  <c r="G396"/>
  <c r="B397"/>
  <c r="D397"/>
  <c r="E397"/>
  <c r="F397"/>
  <c r="G397"/>
  <c r="B398"/>
  <c r="D398"/>
  <c r="E398"/>
  <c r="F398"/>
  <c r="G398"/>
  <c r="B399"/>
  <c r="D399"/>
  <c r="E399"/>
  <c r="F399"/>
  <c r="G399"/>
  <c r="B400"/>
  <c r="D400"/>
  <c r="E400"/>
  <c r="F400"/>
  <c r="G400"/>
  <c r="B401"/>
  <c r="D401"/>
  <c r="E401"/>
  <c r="F401"/>
  <c r="G401"/>
  <c r="B382"/>
  <c r="D382"/>
  <c r="E382"/>
  <c r="F382"/>
  <c r="G382"/>
  <c r="B383"/>
  <c r="D383"/>
  <c r="E383"/>
  <c r="F383"/>
  <c r="G383"/>
  <c r="B384"/>
  <c r="D384"/>
  <c r="E384"/>
  <c r="F384"/>
  <c r="G384"/>
  <c r="B385"/>
  <c r="D385"/>
  <c r="E385"/>
  <c r="F385"/>
  <c r="G385"/>
  <c r="B386"/>
  <c r="D386"/>
  <c r="E386"/>
  <c r="F386"/>
  <c r="G386"/>
  <c r="B387"/>
  <c r="D387"/>
  <c r="E387"/>
  <c r="F387"/>
  <c r="G387"/>
  <c r="B388"/>
  <c r="D388"/>
  <c r="E388"/>
  <c r="F388"/>
  <c r="G388"/>
  <c r="B389"/>
  <c r="D389"/>
  <c r="E389"/>
  <c r="F389"/>
  <c r="G389"/>
  <c r="B390"/>
  <c r="D390"/>
  <c r="E390"/>
  <c r="F390"/>
  <c r="G390"/>
  <c r="B391"/>
  <c r="D391"/>
  <c r="E391"/>
  <c r="F391"/>
  <c r="G391"/>
  <c r="B372"/>
  <c r="D372"/>
  <c r="E372"/>
  <c r="F372"/>
  <c r="G372"/>
  <c r="B373"/>
  <c r="D373"/>
  <c r="E373"/>
  <c r="F373"/>
  <c r="G373"/>
  <c r="B374"/>
  <c r="D374"/>
  <c r="E374"/>
  <c r="F374"/>
  <c r="G374"/>
  <c r="B375"/>
  <c r="D375"/>
  <c r="E375"/>
  <c r="F375"/>
  <c r="G375"/>
  <c r="B376"/>
  <c r="D376"/>
  <c r="E376"/>
  <c r="F376"/>
  <c r="G376"/>
  <c r="B377"/>
  <c r="D377"/>
  <c r="E377"/>
  <c r="F377"/>
  <c r="G377"/>
  <c r="B378"/>
  <c r="D378"/>
  <c r="E378"/>
  <c r="F378"/>
  <c r="G378"/>
  <c r="B379"/>
  <c r="D379"/>
  <c r="E379"/>
  <c r="F379"/>
  <c r="G379"/>
  <c r="B380"/>
  <c r="D380"/>
  <c r="E380"/>
  <c r="F380"/>
  <c r="G380"/>
  <c r="B381"/>
  <c r="D381"/>
  <c r="E381"/>
  <c r="F381"/>
  <c r="G381"/>
  <c r="B362"/>
  <c r="D362"/>
  <c r="E362"/>
  <c r="F362"/>
  <c r="G362"/>
  <c r="B363"/>
  <c r="D363"/>
  <c r="E363"/>
  <c r="F363"/>
  <c r="G363"/>
  <c r="B364"/>
  <c r="D364"/>
  <c r="E364"/>
  <c r="F364"/>
  <c r="G364"/>
  <c r="B365"/>
  <c r="D365"/>
  <c r="E365"/>
  <c r="F365"/>
  <c r="G365"/>
  <c r="B366"/>
  <c r="D366"/>
  <c r="E366"/>
  <c r="F366"/>
  <c r="G366"/>
  <c r="B367"/>
  <c r="D367"/>
  <c r="E367"/>
  <c r="F367"/>
  <c r="G367"/>
  <c r="B368"/>
  <c r="D368"/>
  <c r="E368"/>
  <c r="F368"/>
  <c r="G368"/>
  <c r="B369"/>
  <c r="D369"/>
  <c r="E369"/>
  <c r="F369"/>
  <c r="G369"/>
  <c r="B370"/>
  <c r="D370"/>
  <c r="E370"/>
  <c r="F370"/>
  <c r="G370"/>
  <c r="B371"/>
  <c r="D371"/>
  <c r="E371"/>
  <c r="F371"/>
  <c r="G371"/>
  <c r="B352"/>
  <c r="D352"/>
  <c r="E352"/>
  <c r="F352"/>
  <c r="G352"/>
  <c r="B353"/>
  <c r="D353"/>
  <c r="E353"/>
  <c r="F353"/>
  <c r="G353"/>
  <c r="B354"/>
  <c r="D354"/>
  <c r="E354"/>
  <c r="F354"/>
  <c r="G354"/>
  <c r="B355"/>
  <c r="D355"/>
  <c r="E355"/>
  <c r="G355"/>
  <c r="B356"/>
  <c r="D356"/>
  <c r="E356"/>
  <c r="F356"/>
  <c r="G356"/>
  <c r="B357"/>
  <c r="D357"/>
  <c r="E357"/>
  <c r="F357"/>
  <c r="G357"/>
  <c r="B358"/>
  <c r="D358"/>
  <c r="E358"/>
  <c r="F358"/>
  <c r="G358"/>
  <c r="B359"/>
  <c r="D359"/>
  <c r="E359"/>
  <c r="F359"/>
  <c r="G359"/>
  <c r="B360"/>
  <c r="D360"/>
  <c r="E360"/>
  <c r="F360"/>
  <c r="G360"/>
  <c r="B361"/>
  <c r="D361"/>
  <c r="E361"/>
  <c r="F361"/>
  <c r="G361"/>
  <c r="B342"/>
  <c r="D342"/>
  <c r="E342"/>
  <c r="F342"/>
  <c r="G342"/>
  <c r="B343"/>
  <c r="D343"/>
  <c r="E343"/>
  <c r="F343"/>
  <c r="G343"/>
  <c r="B344"/>
  <c r="D344"/>
  <c r="E344"/>
  <c r="F344"/>
  <c r="G344"/>
  <c r="B345"/>
  <c r="D345"/>
  <c r="E345"/>
  <c r="F345"/>
  <c r="G345"/>
  <c r="B346"/>
  <c r="D346"/>
  <c r="E346"/>
  <c r="F346"/>
  <c r="G346"/>
  <c r="B347"/>
  <c r="D347"/>
  <c r="E347"/>
  <c r="F347"/>
  <c r="G347"/>
  <c r="B348"/>
  <c r="D348"/>
  <c r="E348"/>
  <c r="F348"/>
  <c r="G348"/>
  <c r="B349"/>
  <c r="D349"/>
  <c r="E349"/>
  <c r="F349"/>
  <c r="G349"/>
  <c r="B350"/>
  <c r="D350"/>
  <c r="E350"/>
  <c r="F350"/>
  <c r="G350"/>
  <c r="B351"/>
  <c r="D351"/>
  <c r="E351"/>
  <c r="F351"/>
  <c r="G351"/>
  <c r="B332"/>
  <c r="D332"/>
  <c r="E332"/>
  <c r="F332"/>
  <c r="G332"/>
  <c r="B333"/>
  <c r="D333"/>
  <c r="E333"/>
  <c r="F333"/>
  <c r="G333"/>
  <c r="B334"/>
  <c r="D334"/>
  <c r="E334"/>
  <c r="F334"/>
  <c r="G334"/>
  <c r="B335"/>
  <c r="D335"/>
  <c r="E335"/>
  <c r="F335"/>
  <c r="G335"/>
  <c r="B336"/>
  <c r="D336"/>
  <c r="E336"/>
  <c r="F336"/>
  <c r="G336"/>
  <c r="B337"/>
  <c r="D337"/>
  <c r="E337"/>
  <c r="F337"/>
  <c r="G337"/>
  <c r="B338"/>
  <c r="D338"/>
  <c r="E338"/>
  <c r="F338"/>
  <c r="G338"/>
  <c r="B339"/>
  <c r="D339"/>
  <c r="E339"/>
  <c r="F339"/>
  <c r="G339"/>
  <c r="B340"/>
  <c r="D340"/>
  <c r="E340"/>
  <c r="F340"/>
  <c r="G340"/>
  <c r="B341"/>
  <c r="D341"/>
  <c r="E341"/>
  <c r="F341"/>
  <c r="G341"/>
  <c r="B322"/>
  <c r="D322"/>
  <c r="E322"/>
  <c r="F322"/>
  <c r="G322"/>
  <c r="B323"/>
  <c r="D323"/>
  <c r="E323"/>
  <c r="F323"/>
  <c r="G323"/>
  <c r="B324"/>
  <c r="D324"/>
  <c r="E324"/>
  <c r="F324"/>
  <c r="G324"/>
  <c r="B325"/>
  <c r="D325"/>
  <c r="E325"/>
  <c r="F325"/>
  <c r="G325"/>
  <c r="B326"/>
  <c r="D326"/>
  <c r="E326"/>
  <c r="F326"/>
  <c r="G326"/>
  <c r="B327"/>
  <c r="D327"/>
  <c r="E327"/>
  <c r="F327"/>
  <c r="G327"/>
  <c r="B328"/>
  <c r="D328"/>
  <c r="E328"/>
  <c r="F328"/>
  <c r="G328"/>
  <c r="B329"/>
  <c r="D329"/>
  <c r="E329"/>
  <c r="F329"/>
  <c r="G329"/>
  <c r="B330"/>
  <c r="D330"/>
  <c r="E330"/>
  <c r="F330"/>
  <c r="G330"/>
  <c r="B331"/>
  <c r="D331"/>
  <c r="E331"/>
  <c r="F331"/>
  <c r="G331"/>
  <c r="B312"/>
  <c r="D312"/>
  <c r="E312"/>
  <c r="F312"/>
  <c r="G312"/>
  <c r="B313"/>
  <c r="D313"/>
  <c r="E313"/>
  <c r="F313"/>
  <c r="G313"/>
  <c r="B314"/>
  <c r="D314"/>
  <c r="E314"/>
  <c r="F314"/>
  <c r="G314"/>
  <c r="B315"/>
  <c r="D315"/>
  <c r="E315"/>
  <c r="F315"/>
  <c r="G315"/>
  <c r="B316"/>
  <c r="D316"/>
  <c r="E316"/>
  <c r="F316"/>
  <c r="G316"/>
  <c r="B317"/>
  <c r="D317"/>
  <c r="E317"/>
  <c r="F317"/>
  <c r="G317"/>
  <c r="B318"/>
  <c r="D318"/>
  <c r="E318"/>
  <c r="F318"/>
  <c r="G318"/>
  <c r="B319"/>
  <c r="D319"/>
  <c r="E319"/>
  <c r="F319"/>
  <c r="G319"/>
  <c r="B320"/>
  <c r="D320"/>
  <c r="E320"/>
  <c r="F320"/>
  <c r="G320"/>
  <c r="B321"/>
  <c r="D321"/>
  <c r="E321"/>
  <c r="F321"/>
  <c r="G321"/>
  <c r="B302"/>
  <c r="D302"/>
  <c r="E302"/>
  <c r="F302"/>
  <c r="G302"/>
  <c r="B303"/>
  <c r="D303"/>
  <c r="E303"/>
  <c r="F303"/>
  <c r="G303"/>
  <c r="B304"/>
  <c r="D304"/>
  <c r="E304"/>
  <c r="F304"/>
  <c r="G304"/>
  <c r="B305"/>
  <c r="D305"/>
  <c r="E305"/>
  <c r="F305"/>
  <c r="G305"/>
  <c r="B306"/>
  <c r="D306"/>
  <c r="E306"/>
  <c r="F306"/>
  <c r="G306"/>
  <c r="B307"/>
  <c r="D307"/>
  <c r="E307"/>
  <c r="F307"/>
  <c r="G307"/>
  <c r="B308"/>
  <c r="D308"/>
  <c r="E308"/>
  <c r="F308"/>
  <c r="G308"/>
  <c r="B309"/>
  <c r="D309"/>
  <c r="E309"/>
  <c r="F309"/>
  <c r="G309"/>
  <c r="B310"/>
  <c r="D310"/>
  <c r="E310"/>
  <c r="F310"/>
  <c r="G310"/>
  <c r="B311"/>
  <c r="D311"/>
  <c r="E311"/>
  <c r="F311"/>
  <c r="G311"/>
  <c r="B292"/>
  <c r="D292"/>
  <c r="E292"/>
  <c r="F292"/>
  <c r="G292"/>
  <c r="B293"/>
  <c r="D293"/>
  <c r="E293"/>
  <c r="F293"/>
  <c r="G293"/>
  <c r="B294"/>
  <c r="D294"/>
  <c r="E294"/>
  <c r="F294"/>
  <c r="G294"/>
  <c r="B295"/>
  <c r="D295"/>
  <c r="E295"/>
  <c r="F295"/>
  <c r="G295"/>
  <c r="B296"/>
  <c r="D296"/>
  <c r="E296"/>
  <c r="F296"/>
  <c r="G296"/>
  <c r="B297"/>
  <c r="D297"/>
  <c r="E297"/>
  <c r="F297"/>
  <c r="G297"/>
  <c r="B298"/>
  <c r="D298"/>
  <c r="E298"/>
  <c r="F298"/>
  <c r="G298"/>
  <c r="B299"/>
  <c r="D299"/>
  <c r="E299"/>
  <c r="F299"/>
  <c r="G299"/>
  <c r="B300"/>
  <c r="D300"/>
  <c r="E300"/>
  <c r="F300"/>
  <c r="G300"/>
  <c r="B301"/>
  <c r="D301"/>
  <c r="E301"/>
  <c r="F301"/>
  <c r="G301"/>
  <c r="B282"/>
  <c r="D282"/>
  <c r="E282"/>
  <c r="F282"/>
  <c r="G282"/>
  <c r="B283"/>
  <c r="D283"/>
  <c r="E283"/>
  <c r="F283"/>
  <c r="G283"/>
  <c r="B284"/>
  <c r="D284"/>
  <c r="E284"/>
  <c r="F284"/>
  <c r="G284"/>
  <c r="B285"/>
  <c r="D285"/>
  <c r="E285"/>
  <c r="F285"/>
  <c r="G285"/>
  <c r="B286"/>
  <c r="D286"/>
  <c r="E286"/>
  <c r="F286"/>
  <c r="G286"/>
  <c r="B287"/>
  <c r="D287"/>
  <c r="E287"/>
  <c r="F287"/>
  <c r="G287"/>
  <c r="B288"/>
  <c r="D288"/>
  <c r="E288"/>
  <c r="F288"/>
  <c r="G288"/>
  <c r="B289"/>
  <c r="D289"/>
  <c r="E289"/>
  <c r="F289"/>
  <c r="G289"/>
  <c r="B290"/>
  <c r="D290"/>
  <c r="E290"/>
  <c r="F290"/>
  <c r="G290"/>
  <c r="B291"/>
  <c r="D291"/>
  <c r="E291"/>
  <c r="F291"/>
  <c r="G291"/>
  <c r="B272"/>
  <c r="D272"/>
  <c r="E272"/>
  <c r="F272"/>
  <c r="G272"/>
  <c r="B273"/>
  <c r="D273"/>
  <c r="E273"/>
  <c r="F273"/>
  <c r="G273"/>
  <c r="B274"/>
  <c r="D274"/>
  <c r="E274"/>
  <c r="F274"/>
  <c r="G274"/>
  <c r="B275"/>
  <c r="D275"/>
  <c r="E275"/>
  <c r="F275"/>
  <c r="G275"/>
  <c r="B276"/>
  <c r="D276"/>
  <c r="E276"/>
  <c r="F276"/>
  <c r="G276"/>
  <c r="B277"/>
  <c r="D277"/>
  <c r="E277"/>
  <c r="F277"/>
  <c r="G277"/>
  <c r="B278"/>
  <c r="D278"/>
  <c r="E278"/>
  <c r="F278"/>
  <c r="G278"/>
  <c r="B279"/>
  <c r="D279"/>
  <c r="E279"/>
  <c r="F279"/>
  <c r="G279"/>
  <c r="B280"/>
  <c r="D280"/>
  <c r="E280"/>
  <c r="F280"/>
  <c r="G280"/>
  <c r="B281"/>
  <c r="D281"/>
  <c r="E281"/>
  <c r="F281"/>
  <c r="G281"/>
  <c r="B262"/>
  <c r="D262"/>
  <c r="E262"/>
  <c r="F262"/>
  <c r="G262"/>
  <c r="B263"/>
  <c r="D263"/>
  <c r="E263"/>
  <c r="F263"/>
  <c r="G263"/>
  <c r="B264"/>
  <c r="D264"/>
  <c r="E264"/>
  <c r="F264"/>
  <c r="G264"/>
  <c r="B265"/>
  <c r="D265"/>
  <c r="E265"/>
  <c r="F265"/>
  <c r="G265"/>
  <c r="B266"/>
  <c r="D266"/>
  <c r="E266"/>
  <c r="F266"/>
  <c r="G266"/>
  <c r="B267"/>
  <c r="D267"/>
  <c r="E267"/>
  <c r="F267"/>
  <c r="G267"/>
  <c r="B268"/>
  <c r="D268"/>
  <c r="E268"/>
  <c r="F268"/>
  <c r="G268"/>
  <c r="B269"/>
  <c r="D269"/>
  <c r="E269"/>
  <c r="F269"/>
  <c r="G269"/>
  <c r="B270"/>
  <c r="D270"/>
  <c r="E270"/>
  <c r="F270"/>
  <c r="G270"/>
  <c r="B271"/>
  <c r="D271"/>
  <c r="E271"/>
  <c r="F271"/>
  <c r="G271"/>
  <c r="B252"/>
  <c r="D252"/>
  <c r="E252"/>
  <c r="F252"/>
  <c r="G252"/>
  <c r="B253"/>
  <c r="D253"/>
  <c r="E253"/>
  <c r="F253"/>
  <c r="G253"/>
  <c r="B254"/>
  <c r="D254"/>
  <c r="E254"/>
  <c r="F254"/>
  <c r="G254"/>
  <c r="B255"/>
  <c r="D255"/>
  <c r="E255"/>
  <c r="F255"/>
  <c r="G255"/>
  <c r="B256"/>
  <c r="D256"/>
  <c r="E256"/>
  <c r="F256"/>
  <c r="G256"/>
  <c r="B257"/>
  <c r="D257"/>
  <c r="E257"/>
  <c r="F257"/>
  <c r="G257"/>
  <c r="B258"/>
  <c r="D258"/>
  <c r="E258"/>
  <c r="F258"/>
  <c r="G258"/>
  <c r="B259"/>
  <c r="D259"/>
  <c r="E259"/>
  <c r="F259"/>
  <c r="G259"/>
  <c r="B260"/>
  <c r="D260"/>
  <c r="E260"/>
  <c r="F260"/>
  <c r="G260"/>
  <c r="B261"/>
  <c r="D261"/>
  <c r="E261"/>
  <c r="F261"/>
  <c r="G261"/>
  <c r="B242"/>
  <c r="D242"/>
  <c r="E242"/>
  <c r="F242"/>
  <c r="G242"/>
  <c r="B243"/>
  <c r="D243"/>
  <c r="E243"/>
  <c r="F243"/>
  <c r="G243"/>
  <c r="B244"/>
  <c r="D244"/>
  <c r="E244"/>
  <c r="F244"/>
  <c r="G244"/>
  <c r="B245"/>
  <c r="D245"/>
  <c r="E245"/>
  <c r="F245"/>
  <c r="G245"/>
  <c r="B246"/>
  <c r="D246"/>
  <c r="E246"/>
  <c r="F246"/>
  <c r="G246"/>
  <c r="B247"/>
  <c r="D247"/>
  <c r="E247"/>
  <c r="F247"/>
  <c r="G247"/>
  <c r="B248"/>
  <c r="D248"/>
  <c r="E248"/>
  <c r="F248"/>
  <c r="G248"/>
  <c r="B249"/>
  <c r="D249"/>
  <c r="E249"/>
  <c r="F249"/>
  <c r="G249"/>
  <c r="B250"/>
  <c r="D250"/>
  <c r="E250"/>
  <c r="F250"/>
  <c r="G250"/>
  <c r="B251"/>
  <c r="D251"/>
  <c r="E251"/>
  <c r="F251"/>
  <c r="G251"/>
  <c r="B232"/>
  <c r="D232"/>
  <c r="E232"/>
  <c r="F232"/>
  <c r="G232"/>
  <c r="B233"/>
  <c r="D233"/>
  <c r="E233"/>
  <c r="F233"/>
  <c r="G233"/>
  <c r="B234"/>
  <c r="D234"/>
  <c r="E234"/>
  <c r="F234"/>
  <c r="G234"/>
  <c r="B235"/>
  <c r="D235"/>
  <c r="E235"/>
  <c r="F235"/>
  <c r="G235"/>
  <c r="B236"/>
  <c r="D236"/>
  <c r="E236"/>
  <c r="F236"/>
  <c r="G236"/>
  <c r="B237"/>
  <c r="D237"/>
  <c r="E237"/>
  <c r="F237"/>
  <c r="G237"/>
  <c r="B238"/>
  <c r="D238"/>
  <c r="E238"/>
  <c r="F238"/>
  <c r="G238"/>
  <c r="B239"/>
  <c r="D239"/>
  <c r="E239"/>
  <c r="F239"/>
  <c r="G239"/>
  <c r="B240"/>
  <c r="D240"/>
  <c r="E240"/>
  <c r="F240"/>
  <c r="G240"/>
  <c r="B241"/>
  <c r="D241"/>
  <c r="E241"/>
  <c r="F241"/>
  <c r="G241"/>
  <c r="B222"/>
  <c r="D222"/>
  <c r="E222"/>
  <c r="F222"/>
  <c r="G222"/>
  <c r="B223"/>
  <c r="D223"/>
  <c r="E223"/>
  <c r="F223"/>
  <c r="G223"/>
  <c r="B224"/>
  <c r="D224"/>
  <c r="E224"/>
  <c r="F224"/>
  <c r="G224"/>
  <c r="B225"/>
  <c r="D225"/>
  <c r="E225"/>
  <c r="F225"/>
  <c r="G225"/>
  <c r="B226"/>
  <c r="D226"/>
  <c r="E226"/>
  <c r="F226"/>
  <c r="G226"/>
  <c r="B227"/>
  <c r="D227"/>
  <c r="E227"/>
  <c r="F227"/>
  <c r="G227"/>
  <c r="B228"/>
  <c r="D228"/>
  <c r="E228"/>
  <c r="F228"/>
  <c r="G228"/>
  <c r="B229"/>
  <c r="D229"/>
  <c r="E229"/>
  <c r="F229"/>
  <c r="G229"/>
  <c r="B230"/>
  <c r="D230"/>
  <c r="E230"/>
  <c r="F230"/>
  <c r="G230"/>
  <c r="B231"/>
  <c r="D231"/>
  <c r="E231"/>
  <c r="F231"/>
  <c r="G231"/>
  <c r="B212"/>
  <c r="D212"/>
  <c r="E212"/>
  <c r="F212"/>
  <c r="G212"/>
  <c r="B213"/>
  <c r="D213"/>
  <c r="E213"/>
  <c r="F213"/>
  <c r="G213"/>
  <c r="B214"/>
  <c r="D214"/>
  <c r="E214"/>
  <c r="F214"/>
  <c r="G214"/>
  <c r="B215"/>
  <c r="D215"/>
  <c r="E215"/>
  <c r="F215"/>
  <c r="G215"/>
  <c r="B216"/>
  <c r="D216"/>
  <c r="E216"/>
  <c r="F216"/>
  <c r="G216"/>
  <c r="B217"/>
  <c r="D217"/>
  <c r="E217"/>
  <c r="F217"/>
  <c r="G217"/>
  <c r="B218"/>
  <c r="D218"/>
  <c r="E218"/>
  <c r="F218"/>
  <c r="G218"/>
  <c r="B219"/>
  <c r="D219"/>
  <c r="E219"/>
  <c r="F219"/>
  <c r="G219"/>
  <c r="B220"/>
  <c r="D220"/>
  <c r="E220"/>
  <c r="F220"/>
  <c r="G220"/>
  <c r="B221"/>
  <c r="D221"/>
  <c r="E221"/>
  <c r="F221"/>
  <c r="G221"/>
  <c r="B202"/>
  <c r="D202"/>
  <c r="E202"/>
  <c r="F202"/>
  <c r="G202"/>
  <c r="B203"/>
  <c r="D203"/>
  <c r="E203"/>
  <c r="F203"/>
  <c r="G203"/>
  <c r="B204"/>
  <c r="D204"/>
  <c r="E204"/>
  <c r="F204"/>
  <c r="G204"/>
  <c r="B205"/>
  <c r="D205"/>
  <c r="E205"/>
  <c r="F205"/>
  <c r="G205"/>
  <c r="B206"/>
  <c r="D206"/>
  <c r="E206"/>
  <c r="F206"/>
  <c r="G206"/>
  <c r="B207"/>
  <c r="D207"/>
  <c r="E207"/>
  <c r="F207"/>
  <c r="G207"/>
  <c r="B208"/>
  <c r="D208"/>
  <c r="E208"/>
  <c r="F208"/>
  <c r="G208"/>
  <c r="B209"/>
  <c r="D209"/>
  <c r="E209"/>
  <c r="F209"/>
  <c r="G209"/>
  <c r="B210"/>
  <c r="D210"/>
  <c r="E210"/>
  <c r="F210"/>
  <c r="G210"/>
  <c r="B211"/>
  <c r="D211"/>
  <c r="E211"/>
  <c r="F211"/>
  <c r="G211"/>
  <c r="B192"/>
  <c r="D192"/>
  <c r="E192"/>
  <c r="F192"/>
  <c r="G192"/>
  <c r="B193"/>
  <c r="D193"/>
  <c r="E193"/>
  <c r="F193"/>
  <c r="G193"/>
  <c r="B194"/>
  <c r="D194"/>
  <c r="E194"/>
  <c r="F194"/>
  <c r="G194"/>
  <c r="B195"/>
  <c r="D195"/>
  <c r="E195"/>
  <c r="F195"/>
  <c r="G195"/>
  <c r="B196"/>
  <c r="D196"/>
  <c r="E196"/>
  <c r="F196"/>
  <c r="G196"/>
  <c r="B197"/>
  <c r="D197"/>
  <c r="E197"/>
  <c r="F197"/>
  <c r="G197"/>
  <c r="B198"/>
  <c r="D198"/>
  <c r="E198"/>
  <c r="F198"/>
  <c r="G198"/>
  <c r="B199"/>
  <c r="D199"/>
  <c r="E199"/>
  <c r="F199"/>
  <c r="G199"/>
  <c r="B200"/>
  <c r="D200"/>
  <c r="E200"/>
  <c r="F200"/>
  <c r="G200"/>
  <c r="B201"/>
  <c r="D201"/>
  <c r="E201"/>
  <c r="F201"/>
  <c r="G201"/>
  <c r="B182"/>
  <c r="D182"/>
  <c r="E182"/>
  <c r="F182"/>
  <c r="G182"/>
  <c r="B183"/>
  <c r="D183"/>
  <c r="E183"/>
  <c r="F183"/>
  <c r="G183"/>
  <c r="B184"/>
  <c r="D184"/>
  <c r="E184"/>
  <c r="F184"/>
  <c r="G184"/>
  <c r="B185"/>
  <c r="D185"/>
  <c r="E185"/>
  <c r="F185"/>
  <c r="G185"/>
  <c r="B186"/>
  <c r="D186"/>
  <c r="E186"/>
  <c r="F186"/>
  <c r="G186"/>
  <c r="B187"/>
  <c r="D187"/>
  <c r="E187"/>
  <c r="F187"/>
  <c r="G187"/>
  <c r="B188"/>
  <c r="D188"/>
  <c r="E188"/>
  <c r="F188"/>
  <c r="G188"/>
  <c r="B189"/>
  <c r="D189"/>
  <c r="E189"/>
  <c r="F189"/>
  <c r="G189"/>
  <c r="B190"/>
  <c r="D190"/>
  <c r="E190"/>
  <c r="F190"/>
  <c r="G190"/>
  <c r="B191"/>
  <c r="D191"/>
  <c r="E191"/>
  <c r="F191"/>
  <c r="G191"/>
  <c r="B172"/>
  <c r="D172"/>
  <c r="E172"/>
  <c r="F172"/>
  <c r="G172"/>
  <c r="B173"/>
  <c r="D173"/>
  <c r="E173"/>
  <c r="F173"/>
  <c r="G173"/>
  <c r="B174"/>
  <c r="D174"/>
  <c r="E174"/>
  <c r="F174"/>
  <c r="G174"/>
  <c r="B175"/>
  <c r="D175"/>
  <c r="E175"/>
  <c r="F175"/>
  <c r="G175"/>
  <c r="B176"/>
  <c r="D176"/>
  <c r="E176"/>
  <c r="F176"/>
  <c r="G176"/>
  <c r="B177"/>
  <c r="D177"/>
  <c r="E177"/>
  <c r="F177"/>
  <c r="G177"/>
  <c r="B178"/>
  <c r="D178"/>
  <c r="E178"/>
  <c r="F178"/>
  <c r="G178"/>
  <c r="B179"/>
  <c r="D179"/>
  <c r="E179"/>
  <c r="F179"/>
  <c r="G179"/>
  <c r="B180"/>
  <c r="D180"/>
  <c r="E180"/>
  <c r="F180"/>
  <c r="G180"/>
  <c r="B181"/>
  <c r="D181"/>
  <c r="E181"/>
  <c r="F181"/>
  <c r="G181"/>
  <c r="B162"/>
  <c r="D162"/>
  <c r="E162"/>
  <c r="F162"/>
  <c r="G162"/>
  <c r="B163"/>
  <c r="D163"/>
  <c r="E163"/>
  <c r="F163"/>
  <c r="G163"/>
  <c r="B164"/>
  <c r="D164"/>
  <c r="E164"/>
  <c r="F164"/>
  <c r="G164"/>
  <c r="B165"/>
  <c r="D165"/>
  <c r="E165"/>
  <c r="F165"/>
  <c r="G165"/>
  <c r="B166"/>
  <c r="D166"/>
  <c r="E166"/>
  <c r="F166"/>
  <c r="G166"/>
  <c r="B167"/>
  <c r="D167"/>
  <c r="E167"/>
  <c r="F167"/>
  <c r="G167"/>
  <c r="B168"/>
  <c r="D168"/>
  <c r="E168"/>
  <c r="F168"/>
  <c r="G168"/>
  <c r="B169"/>
  <c r="D169"/>
  <c r="E169"/>
  <c r="F169"/>
  <c r="G169"/>
  <c r="B170"/>
  <c r="D170"/>
  <c r="E170"/>
  <c r="F170"/>
  <c r="G170"/>
  <c r="B171"/>
  <c r="D171"/>
  <c r="E171"/>
  <c r="F171"/>
  <c r="G171"/>
  <c r="B152"/>
  <c r="D152"/>
  <c r="E152"/>
  <c r="F152"/>
  <c r="G152"/>
  <c r="B153"/>
  <c r="D153"/>
  <c r="E153"/>
  <c r="F153"/>
  <c r="G153"/>
  <c r="B154"/>
  <c r="D154"/>
  <c r="E154"/>
  <c r="F154"/>
  <c r="G154"/>
  <c r="B155"/>
  <c r="D155"/>
  <c r="E155"/>
  <c r="F155"/>
  <c r="G155"/>
  <c r="B156"/>
  <c r="D156"/>
  <c r="E156"/>
  <c r="F156"/>
  <c r="G156"/>
  <c r="B157"/>
  <c r="D157"/>
  <c r="E157"/>
  <c r="F157"/>
  <c r="G157"/>
  <c r="B158"/>
  <c r="D158"/>
  <c r="E158"/>
  <c r="F158"/>
  <c r="G158"/>
  <c r="B159"/>
  <c r="D159"/>
  <c r="E159"/>
  <c r="F159"/>
  <c r="G159"/>
  <c r="B160"/>
  <c r="D160"/>
  <c r="E160"/>
  <c r="F160"/>
  <c r="G160"/>
  <c r="B161"/>
  <c r="D161"/>
  <c r="E161"/>
  <c r="F161"/>
  <c r="G161"/>
  <c r="B142"/>
  <c r="D142"/>
  <c r="E142"/>
  <c r="F142"/>
  <c r="G142"/>
  <c r="B143"/>
  <c r="D143"/>
  <c r="E143"/>
  <c r="F143"/>
  <c r="G143"/>
  <c r="B144"/>
  <c r="D144"/>
  <c r="E144"/>
  <c r="F144"/>
  <c r="G144"/>
  <c r="B145"/>
  <c r="D145"/>
  <c r="E145"/>
  <c r="F145"/>
  <c r="G145"/>
  <c r="B146"/>
  <c r="D146"/>
  <c r="E146"/>
  <c r="F146"/>
  <c r="G146"/>
  <c r="B147"/>
  <c r="D147"/>
  <c r="E147"/>
  <c r="F147"/>
  <c r="G147"/>
  <c r="B148"/>
  <c r="D148"/>
  <c r="E148"/>
  <c r="F148"/>
  <c r="G148"/>
  <c r="B149"/>
  <c r="D149"/>
  <c r="E149"/>
  <c r="F149"/>
  <c r="G149"/>
  <c r="B150"/>
  <c r="D150"/>
  <c r="E150"/>
  <c r="F150"/>
  <c r="G150"/>
  <c r="B151"/>
  <c r="D151"/>
  <c r="E151"/>
  <c r="F151"/>
  <c r="G151"/>
  <c r="B132"/>
  <c r="D132"/>
  <c r="E132"/>
  <c r="F132"/>
  <c r="G132"/>
  <c r="B133"/>
  <c r="D133"/>
  <c r="E133"/>
  <c r="F133"/>
  <c r="G133"/>
  <c r="B134"/>
  <c r="D134"/>
  <c r="E134"/>
  <c r="F134"/>
  <c r="G134"/>
  <c r="B135"/>
  <c r="D135"/>
  <c r="E135"/>
  <c r="F135"/>
  <c r="G135"/>
  <c r="B136"/>
  <c r="D136"/>
  <c r="E136"/>
  <c r="F136"/>
  <c r="G136"/>
  <c r="B137"/>
  <c r="D137"/>
  <c r="E137"/>
  <c r="F137"/>
  <c r="G137"/>
  <c r="B138"/>
  <c r="D138"/>
  <c r="E138"/>
  <c r="F138"/>
  <c r="G138"/>
  <c r="B139"/>
  <c r="D139"/>
  <c r="E139"/>
  <c r="F139"/>
  <c r="G139"/>
  <c r="B140"/>
  <c r="D140"/>
  <c r="E140"/>
  <c r="F140"/>
  <c r="G140"/>
  <c r="B141"/>
  <c r="D141"/>
  <c r="E141"/>
  <c r="F141"/>
  <c r="G141"/>
  <c r="B122"/>
  <c r="D122"/>
  <c r="E122"/>
  <c r="F122"/>
  <c r="G122"/>
  <c r="B123"/>
  <c r="D123"/>
  <c r="E123"/>
  <c r="F123"/>
  <c r="G123"/>
  <c r="B124"/>
  <c r="D124"/>
  <c r="E124"/>
  <c r="F124"/>
  <c r="G124"/>
  <c r="B125"/>
  <c r="D125"/>
  <c r="E125"/>
  <c r="F125"/>
  <c r="G125"/>
  <c r="B126"/>
  <c r="D126"/>
  <c r="E126"/>
  <c r="F126"/>
  <c r="G126"/>
  <c r="B127"/>
  <c r="D127"/>
  <c r="E127"/>
  <c r="F127"/>
  <c r="G127"/>
  <c r="B128"/>
  <c r="D128"/>
  <c r="E128"/>
  <c r="F128"/>
  <c r="G128"/>
  <c r="B129"/>
  <c r="D129"/>
  <c r="E129"/>
  <c r="F129"/>
  <c r="G129"/>
  <c r="B130"/>
  <c r="D130"/>
  <c r="E130"/>
  <c r="F130"/>
  <c r="G130"/>
  <c r="B131"/>
  <c r="D131"/>
  <c r="E131"/>
  <c r="F131"/>
  <c r="G131"/>
  <c r="B112"/>
  <c r="D112"/>
  <c r="E112"/>
  <c r="F112"/>
  <c r="G112"/>
  <c r="B113"/>
  <c r="D113"/>
  <c r="E113"/>
  <c r="F113"/>
  <c r="G113"/>
  <c r="B114"/>
  <c r="D114"/>
  <c r="E114"/>
  <c r="F114"/>
  <c r="G114"/>
  <c r="B115"/>
  <c r="D115"/>
  <c r="E115"/>
  <c r="F115"/>
  <c r="G115"/>
  <c r="B116"/>
  <c r="D116"/>
  <c r="E116"/>
  <c r="F116"/>
  <c r="G116"/>
  <c r="B117"/>
  <c r="D117"/>
  <c r="E117"/>
  <c r="F117"/>
  <c r="G117"/>
  <c r="B118"/>
  <c r="D118"/>
  <c r="E118"/>
  <c r="F118"/>
  <c r="G118"/>
  <c r="B119"/>
  <c r="D119"/>
  <c r="E119"/>
  <c r="F119"/>
  <c r="G119"/>
  <c r="B120"/>
  <c r="D120"/>
  <c r="E120"/>
  <c r="F120"/>
  <c r="G120"/>
  <c r="B121"/>
  <c r="D121"/>
  <c r="E121"/>
  <c r="F121"/>
  <c r="G121"/>
  <c r="B102"/>
  <c r="D102"/>
  <c r="E102"/>
  <c r="F102"/>
  <c r="G102"/>
  <c r="B103"/>
  <c r="D103"/>
  <c r="E103"/>
  <c r="F103"/>
  <c r="G103"/>
  <c r="B104"/>
  <c r="D104"/>
  <c r="E104"/>
  <c r="F104"/>
  <c r="G104"/>
  <c r="B105"/>
  <c r="D105"/>
  <c r="E105"/>
  <c r="F105"/>
  <c r="G105"/>
  <c r="B106"/>
  <c r="D106"/>
  <c r="E106"/>
  <c r="F106"/>
  <c r="G106"/>
  <c r="B107"/>
  <c r="D107"/>
  <c r="E107"/>
  <c r="F107"/>
  <c r="G107"/>
  <c r="B108"/>
  <c r="D108"/>
  <c r="E108"/>
  <c r="F108"/>
  <c r="G108"/>
  <c r="B109"/>
  <c r="D109"/>
  <c r="E109"/>
  <c r="F109"/>
  <c r="G109"/>
  <c r="B110"/>
  <c r="D110"/>
  <c r="E110"/>
  <c r="F110"/>
  <c r="G110"/>
  <c r="B111"/>
  <c r="D111"/>
  <c r="E111"/>
  <c r="F111"/>
  <c r="G111"/>
  <c r="B92"/>
  <c r="D92"/>
  <c r="E92"/>
  <c r="F92"/>
  <c r="G92"/>
  <c r="B93"/>
  <c r="D93"/>
  <c r="E93"/>
  <c r="F93"/>
  <c r="G93"/>
  <c r="B94"/>
  <c r="D94"/>
  <c r="E94"/>
  <c r="F94"/>
  <c r="G94"/>
  <c r="B95"/>
  <c r="D95"/>
  <c r="E95"/>
  <c r="F95"/>
  <c r="G95"/>
  <c r="B96"/>
  <c r="D96"/>
  <c r="E96"/>
  <c r="F96"/>
  <c r="G96"/>
  <c r="B97"/>
  <c r="D97"/>
  <c r="E97"/>
  <c r="F97"/>
  <c r="G97"/>
  <c r="B98"/>
  <c r="D98"/>
  <c r="E98"/>
  <c r="F98"/>
  <c r="G98"/>
  <c r="B99"/>
  <c r="D99"/>
  <c r="E99"/>
  <c r="F99"/>
  <c r="G99"/>
  <c r="B100"/>
  <c r="D100"/>
  <c r="E100"/>
  <c r="F100"/>
  <c r="G100"/>
  <c r="B101"/>
  <c r="D101"/>
  <c r="E101"/>
  <c r="F101"/>
  <c r="G101"/>
  <c r="B82"/>
  <c r="D82"/>
  <c r="E82"/>
  <c r="F82"/>
  <c r="G82"/>
  <c r="B83"/>
  <c r="D83"/>
  <c r="E83"/>
  <c r="F83"/>
  <c r="G83"/>
  <c r="B84"/>
  <c r="D84"/>
  <c r="E84"/>
  <c r="F84"/>
  <c r="G84"/>
  <c r="B85"/>
  <c r="D85"/>
  <c r="E85"/>
  <c r="F85"/>
  <c r="G85"/>
  <c r="B86"/>
  <c r="D86"/>
  <c r="E86"/>
  <c r="F86"/>
  <c r="G86"/>
  <c r="B87"/>
  <c r="D87"/>
  <c r="E87"/>
  <c r="F87"/>
  <c r="G87"/>
  <c r="B88"/>
  <c r="D88"/>
  <c r="E88"/>
  <c r="F88"/>
  <c r="G88"/>
  <c r="B89"/>
  <c r="D89"/>
  <c r="E89"/>
  <c r="F89"/>
  <c r="G89"/>
  <c r="B90"/>
  <c r="D90"/>
  <c r="E90"/>
  <c r="F90"/>
  <c r="G90"/>
  <c r="B91"/>
  <c r="D91"/>
  <c r="E91"/>
  <c r="F91"/>
  <c r="G91"/>
  <c r="B72"/>
  <c r="D72"/>
  <c r="E72"/>
  <c r="F72"/>
  <c r="G72"/>
  <c r="B73"/>
  <c r="D73"/>
  <c r="E73"/>
  <c r="F73"/>
  <c r="G73"/>
  <c r="B74"/>
  <c r="D74"/>
  <c r="E74"/>
  <c r="F74"/>
  <c r="G74"/>
  <c r="B75"/>
  <c r="D75"/>
  <c r="E75"/>
  <c r="F75"/>
  <c r="G75"/>
  <c r="B76"/>
  <c r="D76"/>
  <c r="E76"/>
  <c r="F76"/>
  <c r="G76"/>
  <c r="B77"/>
  <c r="D77"/>
  <c r="E77"/>
  <c r="F77"/>
  <c r="G77"/>
  <c r="B78"/>
  <c r="D78"/>
  <c r="E78"/>
  <c r="F78"/>
  <c r="G78"/>
  <c r="B79"/>
  <c r="D79"/>
  <c r="E79"/>
  <c r="F79"/>
  <c r="G79"/>
  <c r="B80"/>
  <c r="D80"/>
  <c r="E80"/>
  <c r="F80"/>
  <c r="G80"/>
  <c r="B81"/>
  <c r="D81"/>
  <c r="E81"/>
  <c r="F81"/>
  <c r="G81"/>
  <c r="B62"/>
  <c r="D62"/>
  <c r="E62"/>
  <c r="F62"/>
  <c r="G62"/>
  <c r="B63"/>
  <c r="D63"/>
  <c r="E63"/>
  <c r="F63"/>
  <c r="G63"/>
  <c r="B64"/>
  <c r="D64"/>
  <c r="E64"/>
  <c r="F64"/>
  <c r="G64"/>
  <c r="B65"/>
  <c r="D65"/>
  <c r="E65"/>
  <c r="F65"/>
  <c r="G65"/>
  <c r="B66"/>
  <c r="D66"/>
  <c r="E66"/>
  <c r="F66"/>
  <c r="G66"/>
  <c r="B67"/>
  <c r="D67"/>
  <c r="E67"/>
  <c r="F67"/>
  <c r="G67"/>
  <c r="B68"/>
  <c r="D68"/>
  <c r="E68"/>
  <c r="F68"/>
  <c r="G68"/>
  <c r="B69"/>
  <c r="D69"/>
  <c r="E69"/>
  <c r="F69"/>
  <c r="G69"/>
  <c r="B70"/>
  <c r="D70"/>
  <c r="E70"/>
  <c r="F70"/>
  <c r="G70"/>
  <c r="B71"/>
  <c r="D71"/>
  <c r="E71"/>
  <c r="F71"/>
  <c r="G71"/>
  <c r="B52"/>
  <c r="D52"/>
  <c r="E52"/>
  <c r="F52"/>
  <c r="G52"/>
  <c r="B53"/>
  <c r="D53"/>
  <c r="E53"/>
  <c r="F53"/>
  <c r="G53"/>
  <c r="B54"/>
  <c r="D54"/>
  <c r="E54"/>
  <c r="F54"/>
  <c r="G54"/>
  <c r="B55"/>
  <c r="D55"/>
  <c r="E55"/>
  <c r="F55"/>
  <c r="G55"/>
  <c r="B56"/>
  <c r="D56"/>
  <c r="E56"/>
  <c r="F56"/>
  <c r="G56"/>
  <c r="B57"/>
  <c r="D57"/>
  <c r="E57"/>
  <c r="F57"/>
  <c r="G57"/>
  <c r="B58"/>
  <c r="D58"/>
  <c r="E58"/>
  <c r="F58"/>
  <c r="G58"/>
  <c r="B59"/>
  <c r="D59"/>
  <c r="E59"/>
  <c r="F59"/>
  <c r="G59"/>
  <c r="B60"/>
  <c r="D60"/>
  <c r="E60"/>
  <c r="F60"/>
  <c r="G60"/>
  <c r="B61"/>
  <c r="D61"/>
  <c r="E61"/>
  <c r="F61"/>
  <c r="G61"/>
  <c r="B42"/>
  <c r="D42"/>
  <c r="E42"/>
  <c r="F42"/>
  <c r="G42"/>
  <c r="B43"/>
  <c r="D43"/>
  <c r="E43"/>
  <c r="F43"/>
  <c r="G43"/>
  <c r="B44"/>
  <c r="D44"/>
  <c r="E44"/>
  <c r="F44"/>
  <c r="G44"/>
  <c r="B45"/>
  <c r="D45"/>
  <c r="E45"/>
  <c r="F45"/>
  <c r="G45"/>
  <c r="B46"/>
  <c r="D46"/>
  <c r="E46"/>
  <c r="F46"/>
  <c r="G46"/>
  <c r="B47"/>
  <c r="D47"/>
  <c r="E47"/>
  <c r="F47"/>
  <c r="G47"/>
  <c r="B48"/>
  <c r="D48"/>
  <c r="E48"/>
  <c r="F48"/>
  <c r="G48"/>
  <c r="B49"/>
  <c r="D49"/>
  <c r="E49"/>
  <c r="F49"/>
  <c r="G49"/>
  <c r="B50"/>
  <c r="D50"/>
  <c r="E50"/>
  <c r="F50"/>
  <c r="G50"/>
  <c r="B51"/>
  <c r="D51"/>
  <c r="E51"/>
  <c r="F51"/>
  <c r="G51"/>
  <c r="B32"/>
  <c r="D32"/>
  <c r="E32"/>
  <c r="F32"/>
  <c r="G32"/>
  <c r="B33"/>
  <c r="D33"/>
  <c r="E33"/>
  <c r="F33"/>
  <c r="G33"/>
  <c r="B34"/>
  <c r="D34"/>
  <c r="E34"/>
  <c r="F34"/>
  <c r="G34"/>
  <c r="B35"/>
  <c r="D35"/>
  <c r="E35"/>
  <c r="F35"/>
  <c r="G35"/>
  <c r="B36"/>
  <c r="D36"/>
  <c r="E36"/>
  <c r="F36"/>
  <c r="G36"/>
  <c r="B37"/>
  <c r="D37"/>
  <c r="E37"/>
  <c r="F37"/>
  <c r="G37"/>
  <c r="B38"/>
  <c r="D38"/>
  <c r="E38"/>
  <c r="F38"/>
  <c r="G38"/>
  <c r="B39"/>
  <c r="D39"/>
  <c r="E39"/>
  <c r="F39"/>
  <c r="G39"/>
  <c r="B40"/>
  <c r="D40"/>
  <c r="E40"/>
  <c r="F40"/>
  <c r="G40"/>
  <c r="B41"/>
  <c r="D41"/>
  <c r="E41"/>
  <c r="F41"/>
  <c r="G41"/>
  <c r="B22"/>
  <c r="D22"/>
  <c r="E22"/>
  <c r="F22"/>
  <c r="G22"/>
  <c r="B23"/>
  <c r="D23"/>
  <c r="E23"/>
  <c r="F23"/>
  <c r="G23"/>
  <c r="B24"/>
  <c r="D24"/>
  <c r="E24"/>
  <c r="F24"/>
  <c r="G24"/>
  <c r="B25"/>
  <c r="D25"/>
  <c r="E25"/>
  <c r="F25"/>
  <c r="G25"/>
  <c r="B26"/>
  <c r="D26"/>
  <c r="E26"/>
  <c r="F26"/>
  <c r="G26"/>
  <c r="B27"/>
  <c r="D27"/>
  <c r="E27"/>
  <c r="F27"/>
  <c r="G27"/>
  <c r="B28"/>
  <c r="D28"/>
  <c r="E28"/>
  <c r="F28"/>
  <c r="G28"/>
  <c r="B29"/>
  <c r="D29"/>
  <c r="E29"/>
  <c r="F29"/>
  <c r="G29"/>
  <c r="B30"/>
  <c r="D30"/>
  <c r="E30"/>
  <c r="F30"/>
  <c r="G30"/>
  <c r="B31"/>
  <c r="D31"/>
  <c r="E31"/>
  <c r="F31"/>
  <c r="G31"/>
  <c r="B12"/>
  <c r="D12"/>
  <c r="E12"/>
  <c r="F12"/>
  <c r="G12"/>
  <c r="B13"/>
  <c r="D13"/>
  <c r="E13"/>
  <c r="F13"/>
  <c r="G13"/>
  <c r="B14"/>
  <c r="D14"/>
  <c r="E14"/>
  <c r="F14"/>
  <c r="G14"/>
  <c r="B15"/>
  <c r="D15"/>
  <c r="E15"/>
  <c r="F15"/>
  <c r="G15"/>
  <c r="B16"/>
  <c r="D16"/>
  <c r="E16"/>
  <c r="F16"/>
  <c r="G16"/>
  <c r="B17"/>
  <c r="D17"/>
  <c r="E17"/>
  <c r="F17"/>
  <c r="G17"/>
  <c r="B18"/>
  <c r="D18"/>
  <c r="E18"/>
  <c r="F18"/>
  <c r="G18"/>
  <c r="B19"/>
  <c r="D19"/>
  <c r="E19"/>
  <c r="F19"/>
  <c r="G19"/>
  <c r="B20"/>
  <c r="D20"/>
  <c r="E20"/>
  <c r="F20"/>
  <c r="G20"/>
  <c r="B21"/>
  <c r="D21"/>
  <c r="E21"/>
  <c r="F21"/>
  <c r="G21"/>
  <c r="B2"/>
  <c r="D2"/>
  <c r="E2"/>
  <c r="F2"/>
  <c r="G2"/>
  <c r="B3"/>
  <c r="D3"/>
  <c r="E3"/>
  <c r="F3"/>
  <c r="G3"/>
  <c r="B4"/>
  <c r="D4"/>
  <c r="E4"/>
  <c r="F4"/>
  <c r="G4"/>
  <c r="B5"/>
  <c r="D5"/>
  <c r="E5"/>
  <c r="F5"/>
  <c r="G5"/>
  <c r="B6"/>
  <c r="D6"/>
  <c r="E6"/>
  <c r="F6"/>
  <c r="G6"/>
  <c r="B7"/>
  <c r="D7"/>
  <c r="E7"/>
  <c r="F7"/>
  <c r="G7"/>
  <c r="B8"/>
  <c r="D8"/>
  <c r="E8"/>
  <c r="F8"/>
  <c r="G8"/>
  <c r="B9"/>
  <c r="D9"/>
  <c r="E9"/>
  <c r="F9"/>
  <c r="G9"/>
  <c r="B10"/>
  <c r="D10"/>
  <c r="E10"/>
  <c r="F10"/>
  <c r="G10"/>
  <c r="B11"/>
  <c r="D11"/>
  <c r="E11"/>
  <c r="F11"/>
  <c r="G11"/>
</calcChain>
</file>

<file path=xl/sharedStrings.xml><?xml version="1.0" encoding="utf-8"?>
<sst xmlns="http://schemas.openxmlformats.org/spreadsheetml/2006/main" count="205" uniqueCount="205">
  <si>
    <t>كد طبقه حساب</t>
  </si>
  <si>
    <t>نام طبقه حساب</t>
  </si>
  <si>
    <t>كد انبار</t>
  </si>
  <si>
    <t>نام انبار</t>
  </si>
  <si>
    <t>كد كالا</t>
  </si>
  <si>
    <t>نام كالا</t>
  </si>
  <si>
    <t>واحد سنجش</t>
  </si>
  <si>
    <t>مقدار اول دوره</t>
  </si>
  <si>
    <t>مبلغ اول دوره</t>
  </si>
  <si>
    <t>مقدار وارده طي دوره</t>
  </si>
  <si>
    <t>مبلغ وارده طي دوره</t>
  </si>
  <si>
    <t>مقدار صادره طي دوره</t>
  </si>
  <si>
    <t>مبلغ صادره طي دوره</t>
  </si>
  <si>
    <t>نرخ استاندارد</t>
  </si>
  <si>
    <t>سال مالي</t>
  </si>
  <si>
    <t>="ترموستاتيك والو  "2"</t>
  </si>
  <si>
    <t>="ترمو كوبل قطر "1 طول"6"</t>
  </si>
  <si>
    <t>="اسپاكر تامينگ گر ""</t>
  </si>
  <si>
    <t>="لوله  سياه  جوشي   "1/2"</t>
  </si>
  <si>
    <t>="GATE VALVE 1/2" SCR CL-800"</t>
  </si>
  <si>
    <t>="GATE VALVE 3/4" SCR CL-800"</t>
  </si>
  <si>
    <t>="GATE VALVE 1" SCR CL-800"</t>
  </si>
  <si>
    <t>="BALL VALVE 1" S.W CL800"</t>
  </si>
  <si>
    <t>="CHECK VALVE 2" CL-150"</t>
  </si>
  <si>
    <t>="golob valve 3" cl 150 cs trim 13% cr"</t>
  </si>
  <si>
    <t>="نيپل دنده اي "2 *"3/8""</t>
  </si>
  <si>
    <t>="CHECK VALVE 1" SCR CL-800"</t>
  </si>
  <si>
    <t>="PLUG VALVE 1-1/2" SCRD CL800"</t>
  </si>
  <si>
    <t>="BALL VALVE 3/4" S.W  CL800"</t>
  </si>
  <si>
    <t>="CHECK VALVE 4 " CL-150"</t>
  </si>
  <si>
    <t>="GATE VALVE 6" CL-150"</t>
  </si>
  <si>
    <t>="گلوب ولو "6  150-CL"</t>
  </si>
  <si>
    <t>="نيپل دنده اي "2 * 1/4"</t>
  </si>
  <si>
    <t>="نيپل تردي تبديل"3/4 * "1"</t>
  </si>
  <si>
    <t>="SWEDEG NIPPLE 1-1/2"*1" SCRD SH80"</t>
  </si>
  <si>
    <t>="پلاگ  كربن استيل "1/4  3000"</t>
  </si>
  <si>
    <t>="پلاگ كربن استيل "1/2  3000"</t>
  </si>
  <si>
    <t>="رديوسر "14*"18"</t>
  </si>
  <si>
    <t>="WELDOLET RUN 4" OUTLET 2" BW SH80"</t>
  </si>
  <si>
    <t>="سه راهي جوشي "4     sch.40"</t>
  </si>
  <si>
    <t>="كپ جوشي "1/2 3000"</t>
  </si>
  <si>
    <t>="مهره ماسوره  جوشي 3000  "1/2"</t>
  </si>
  <si>
    <t>="فلنج كور  "2( كلاس 150 )RF"</t>
  </si>
  <si>
    <t>="فلنج كور "3 كلاس 150"</t>
  </si>
  <si>
    <t>="BLAND FLANG 8" CLASS 300"</t>
  </si>
  <si>
    <t>="FLANG 3/4 " PN16 S.W"</t>
  </si>
  <si>
    <t>="فلنج جوشي "1 كلاس 150"</t>
  </si>
  <si>
    <t>="فلنج "1/2 W.N كلاس 150"</t>
  </si>
  <si>
    <t>="واشر تخت معمولي 1/2 "1"</t>
  </si>
  <si>
    <t>="واشر تخت معمولي "2"</t>
  </si>
  <si>
    <t>="CHECK VALVE 2" CL-300"</t>
  </si>
  <si>
    <t>="NIPPLE 3/4"*100MM SCRD SH160"</t>
  </si>
  <si>
    <t>="SWEDGE NIPPLE 1-1/2"*1" SCRD SH160"</t>
  </si>
  <si>
    <t>="پلاگ كربن استيل "1  3000"</t>
  </si>
  <si>
    <t>="R.D COUPLING 1"*3/4" SCR"</t>
  </si>
  <si>
    <t>="GATE VALVE 2" CL-150"</t>
  </si>
  <si>
    <t>="كپ جوشي "1  3000"</t>
  </si>
  <si>
    <t>="سه راهي جوشي  3000  "1/2"</t>
  </si>
  <si>
    <t>="اس تد البو 90 درجه ( تيوب "3/4) ( ترد داخل "3/4)"</t>
  </si>
  <si>
    <t>="BLAND FLANG 10" CLASS 300"</t>
  </si>
  <si>
    <t>="فلنج جوشي "1/2 كلاس 300"</t>
  </si>
  <si>
    <t>="فلنج جوشي "3/4 كلاس 300"</t>
  </si>
  <si>
    <t>="پيچ نگهدارنده 110* "3/4"</t>
  </si>
  <si>
    <t>="پيچ نگهدارنده "7/8*115mm"</t>
  </si>
  <si>
    <t>="پيچ نگهدارنده 130* "1"</t>
  </si>
  <si>
    <t>="واشر فنري"1"</t>
  </si>
  <si>
    <t>="واشر فنري "2"</t>
  </si>
  <si>
    <t>="GASKET 8" 150# RF SPIRAL WOUND"</t>
  </si>
  <si>
    <t>="GASKET18" KLINGCRIT1000CLASS150"</t>
  </si>
  <si>
    <t>="واشر فنري 1/8 "1"</t>
  </si>
  <si>
    <t>="GASKET SPIRAL 1/2" cl-150"</t>
  </si>
  <si>
    <t>="GASKET3/4" KLINGCRIT1000CLASS150"</t>
  </si>
  <si>
    <t>="GASKET3" KLINGCRIT1000CLASS150"</t>
  </si>
  <si>
    <t>="GASKET8"KLINGCRIT1000CLASS150"</t>
  </si>
  <si>
    <t>="GASKET20" KLINGCRIT1000CLASS150"</t>
  </si>
  <si>
    <t>="GASKET1" KLINGCRIT1000CLASS 300"</t>
  </si>
  <si>
    <t>="GASKET8" KLINGCRIT1000CLASS 300"</t>
  </si>
  <si>
    <t>="GASKET10" KLINGCRIT1000CLASS 300"</t>
  </si>
  <si>
    <t>="SWEDGE NIPPLE 1"*1/2" SCRD SH160"</t>
  </si>
  <si>
    <t>="SWEDGE NIPPLE 1"*3/4" SCRD SH160"</t>
  </si>
  <si>
    <t>="پلاگ كربن استيل "3/8  3000"</t>
  </si>
  <si>
    <t>="تبديل هم مهور  "6-"10 STD"</t>
  </si>
  <si>
    <t>="سه راهي جوشي 3000  "3/4"</t>
  </si>
  <si>
    <t>="فلنج كور  "4 (كلاس 150 ) RF"</t>
  </si>
  <si>
    <t>="فلنج كور  "6( كلاس 150) RF"</t>
  </si>
  <si>
    <t>="فلنج كور "8(كلاس 150) RF"</t>
  </si>
  <si>
    <t>="FLANG 3/4" SO RF CL-300"</t>
  </si>
  <si>
    <t>="FLANG 1/2" SCR GALV"</t>
  </si>
  <si>
    <t>="FLANG 1-1/2" W.N CL-150 SH40"</t>
  </si>
  <si>
    <t>="GASKET1-1/2" KLINGCRIT1000CLASS150"</t>
  </si>
  <si>
    <t>="GASKET4".KLINGCRIT1000CLASS150"</t>
  </si>
  <si>
    <t>="GASKET14".KLINGCRIT1000CLASS150"</t>
  </si>
  <si>
    <t>="GASKET1/2" KLINGCRIT1000CLASS 300"</t>
  </si>
  <si>
    <t>="GASKET3" KLINGCRIT1000CLASS 300"</t>
  </si>
  <si>
    <t>="لوله "14 STD"</t>
  </si>
  <si>
    <t>="لوله مسي "3/4 فشار قوي"</t>
  </si>
  <si>
    <t>="CHECK VALVE 1/2" SCR CL-800"</t>
  </si>
  <si>
    <t>="GATE VALVE 4" CL-150"</t>
  </si>
  <si>
    <t>="پلاگ ولو"cl-150 8"</t>
  </si>
  <si>
    <t>="GASKET6" KLINGCRIT1000CLASS 300"</t>
  </si>
  <si>
    <t>="پلاگ كربن استيل "3/4  3000"</t>
  </si>
  <si>
    <t>="ELBOW 90 1" GLV SCR"</t>
  </si>
  <si>
    <t>="سه راهي دنده اي "1 كروم دار 3000"</t>
  </si>
  <si>
    <t>="زانو "10 45 درجه STD"</t>
  </si>
  <si>
    <t>="تبديل هم مهور"14-"10 STD"</t>
  </si>
  <si>
    <t>="سراهي "3-جوشي-80"</t>
  </si>
  <si>
    <t>="R.D COUPLING 3/4"*1/2" S.W CS 3000"</t>
  </si>
  <si>
    <t>="مهره ماسوره جوشي 3000  "3/4"</t>
  </si>
  <si>
    <t>="گسکت و پکينگ گيت ولو "2"</t>
  </si>
  <si>
    <t>="گسکت و پکينگ گيت ولو "8"</t>
  </si>
  <si>
    <t>="واشر تخت معمولي "1"</t>
  </si>
  <si>
    <t>="GASKET 4".150#.RF.SPIRAL WOUND"</t>
  </si>
  <si>
    <t>="GASKET1/2" KLINGCRIT1000CLASS150"</t>
  </si>
  <si>
    <t>="GASKET12"KLINGCERIT1000CLASS150"</t>
  </si>
  <si>
    <t>="GASKET12" KLINGCRIT1000CLASS 300"</t>
  </si>
  <si>
    <t>="CHECK VALVE 3/4" SCR  CL-800"</t>
  </si>
  <si>
    <t>="GATE VALVE 3" CL-150"</t>
  </si>
  <si>
    <t>="گيت ولو "10 كلاس 150"</t>
  </si>
  <si>
    <t>="SAFETY VAVALVE 3" CL 300"</t>
  </si>
  <si>
    <t>="سه راهي "3 جوشي رده40"</t>
  </si>
  <si>
    <t>="FLANG SLIP-ON 1" CL 150 RF CS A-105"</t>
  </si>
  <si>
    <t>="فلنج جوشي "3/4 كلاس 150"</t>
  </si>
  <si>
    <t>="FLANG 3/4" W.N CL-150 SH40"</t>
  </si>
  <si>
    <t>="FLANG 1" W.N CL-150 SH40"</t>
  </si>
  <si>
    <t>="STUD BOLT 7/8"*150MM"</t>
  </si>
  <si>
    <t>="پيچ نگهدارنده "1/8-1*145mm"</t>
  </si>
  <si>
    <t>="واشر تخت معمولي 1/4 "1"</t>
  </si>
  <si>
    <t>="گسکت چک ولو "4"</t>
  </si>
  <si>
    <t>="گسکت چک ولو"8"</t>
  </si>
  <si>
    <t>="واشر فنري 1/4 "1"</t>
  </si>
  <si>
    <t>="واشر فنري 1/2 "1"</t>
  </si>
  <si>
    <t>="واشر فنري 3/4 "1"</t>
  </si>
  <si>
    <t>="GASKET3/4" cl-300 SPIRAL WOUND"</t>
  </si>
  <si>
    <t>="GASKET10"KLINGCERIT1000CLASS150"</t>
  </si>
  <si>
    <t>="GASKET1-1/2".KLINGCRIT1000CLASS 300"</t>
  </si>
  <si>
    <t>="GASKET2" KLINGCRIT1000CLASS 300"</t>
  </si>
  <si>
    <t>="R.D COUPLING 1"*3/4" S.W CS 3000"</t>
  </si>
  <si>
    <t>="اس تد البو 90 درجه ( تيوب "1/2) ( ترد داخل"1/2)"</t>
  </si>
  <si>
    <t>="فلنج كور "4 كلاس 300"</t>
  </si>
  <si>
    <t>="فلنج كور "6 كلاس 300"</t>
  </si>
  <si>
    <t>="فلنج "2  W.N كلاس 150"</t>
  </si>
  <si>
    <t>="Orifice flang W.N 6" CL300"</t>
  </si>
  <si>
    <t>="يو بلت"3/4"</t>
  </si>
  <si>
    <t>="GASKET SPIRAL3/4" CL150"</t>
  </si>
  <si>
    <t>="GASKET6"KLINGCRIT1000CLASS150"</t>
  </si>
  <si>
    <t>="GASKET24".KLINGCRIT1000CLASS150"</t>
  </si>
  <si>
    <t>="ترموکوپل قطر  "1/4 طول "15"</t>
  </si>
  <si>
    <t>="COPPER TUBE 1/4" PVC SHEATED"</t>
  </si>
  <si>
    <t>="GLOBE VALVE 1/2" CL-800"</t>
  </si>
  <si>
    <t>="CHECK VALVE 3" CL-150"</t>
  </si>
  <si>
    <t>="COUPLING 3/8" CS SCRD A-105 CWP3000"</t>
  </si>
  <si>
    <t>="NIPPLE 1/2"*100MM SCRD SH160"</t>
  </si>
  <si>
    <t>="سه راهي دنده اي "3/4 كروم دار 3000"</t>
  </si>
  <si>
    <t>="زانو "18 90درجه SH40"</t>
  </si>
  <si>
    <t>="نيپل تبديل جوشي "1/2 &amp; "3/4"</t>
  </si>
  <si>
    <t>="تبديل "1*"2  جوشي SH=40"</t>
  </si>
  <si>
    <t>="FLANG 1/2" RF CL-150"</t>
  </si>
  <si>
    <t>="فلنج جوشي "1 كلاس300"</t>
  </si>
  <si>
    <t>="فلنج "1/2 W.N كلاس 300"</t>
  </si>
  <si>
    <t>="FLANG 3/4" W.N CL=300 SH40"</t>
  </si>
  <si>
    <t>="STUD BOLT 1-1/8"*300MM"</t>
  </si>
  <si>
    <t>="واشر تخت معمولي 1/8 "1"</t>
  </si>
  <si>
    <t>="واشر تخت معمولي 3/4 "1"</t>
  </si>
  <si>
    <t>="گسگت کيلينگريت 1/8"(3MM) دوطرف گرافيتي"</t>
  </si>
  <si>
    <t>="GASKET 3".150#.RF.SPIRAL WOUND"</t>
  </si>
  <si>
    <t>="GASKET2" KLINGCEIT1000CLASS150"</t>
  </si>
  <si>
    <t>="گسکت و پکينگ گيت ولو  "12"</t>
  </si>
  <si>
    <t>="گسکت و پکينگ گيت ولو "14"</t>
  </si>
  <si>
    <t>="گسکت چک ولو "6"</t>
  </si>
  <si>
    <t>="گسکت چک ولو "10"</t>
  </si>
  <si>
    <t>="گسکت و پکينگ گيت ولو"3"</t>
  </si>
  <si>
    <t>="گسکت و پکينگ گيت ولو "6"</t>
  </si>
  <si>
    <t>="گسکت و پکينگ گيت ولو "10"</t>
  </si>
  <si>
    <t>="گسکت چک ولو "12"</t>
  </si>
  <si>
    <t>="اتصال "1"</t>
  </si>
  <si>
    <t>="شناور "1"</t>
  </si>
  <si>
    <t>="گسکت و پکينگ گيت ولو "4"</t>
  </si>
  <si>
    <t>="يو بلت "1/2"</t>
  </si>
  <si>
    <t>="ترموول طول"15 فلنج3 اينچ 150 استن استيل 316"</t>
  </si>
  <si>
    <t>="لوله   "2  كلاس  XXS"</t>
  </si>
  <si>
    <t>="COPPER TUBE 3/8"  PVC SHEATED"</t>
  </si>
  <si>
    <t>="GLOBE VALVE 3/4" CL-800"</t>
  </si>
  <si>
    <t>="گيت ولو تعميري "10 کلاس 150"</t>
  </si>
  <si>
    <t>="PLUG VALVE 3" CL 150 CS"</t>
  </si>
  <si>
    <t>="نيپل دنده اي "2 * "1/2"</t>
  </si>
  <si>
    <t>="نيپل دنده اي "2 * "3/4"</t>
  </si>
  <si>
    <t>="NIPPLE 1"*100MM SCRD SH160"</t>
  </si>
  <si>
    <t>="SWEDGE NIPPLE 3/4"*1/2" SCRD SH160"</t>
  </si>
  <si>
    <t>="زانو "10  90 درجه  STD"</t>
  </si>
  <si>
    <t>="نيپل تبديل جوشي"3/4 &amp; "1"</t>
  </si>
  <si>
    <t>="REDUCER CONS 2"*1-1/2" SH40 BUTT-WELD"</t>
  </si>
  <si>
    <t>="رديوسر "18*"10"</t>
  </si>
  <si>
    <t>="R.D COUPLING 1"*1/2" S.W CS 3000"</t>
  </si>
  <si>
    <t>="سه راهي جوشي 3000  "1"</t>
  </si>
  <si>
    <t>="فلنج "1 W.N كلاس 300"</t>
  </si>
  <si>
    <t>="پيچ نگهدارنده 110* "5/8"</t>
  </si>
  <si>
    <t>="ورق كيلينگريت 1/16" (1/5MM) دوطرف گرافيتي"</t>
  </si>
  <si>
    <t>="GASKET1" KLINGCRIT1000CLASS150"</t>
  </si>
  <si>
    <t>="GASKET3/4" KLINGCRIT1000CLASS 300"</t>
  </si>
  <si>
    <t>="GASKET4" KLINGCRIT1000CLASS 300"</t>
  </si>
  <si>
    <t>="والف گازي "1"</t>
  </si>
  <si>
    <t>="مانيتور samsung 22" sf355 monitor"</t>
  </si>
  <si>
    <t>مبلغ مانده</t>
  </si>
  <si>
    <t>مقدار مانده</t>
  </si>
  <si>
    <t>فی میانگین</t>
  </si>
</sst>
</file>

<file path=xl/styles.xml><?xml version="1.0" encoding="utf-8"?>
<styleSheet xmlns="http://schemas.openxmlformats.org/spreadsheetml/2006/main">
  <numFmts count="2">
    <numFmt numFmtId="43" formatCode="_-* #,##0.00_-;_-* #,##0.00\-;_-* &quot;-&quot;??_-;_-@_-"/>
    <numFmt numFmtId="173" formatCode="_-* #,##0_-;_-* #,##0\-;_-* &quot;-&quot;??_-;_-@_-"/>
  </numFmts>
  <fonts count="5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FF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4" fillId="0" borderId="0" xfId="0" applyFont="1"/>
    <xf numFmtId="0" fontId="2" fillId="2" borderId="0" xfId="0" applyFont="1" applyFill="1"/>
    <xf numFmtId="173" fontId="3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R3657"/>
  <sheetViews>
    <sheetView rightToLeft="1" tabSelected="1" topLeftCell="H1" workbookViewId="0">
      <selection activeCell="R1" sqref="R1"/>
    </sheetView>
  </sheetViews>
  <sheetFormatPr defaultRowHeight="14.25"/>
  <cols>
    <col min="1" max="1" width="20.7109375" style="1" customWidth="1"/>
    <col min="2" max="2" width="50.7109375" style="1" customWidth="1"/>
    <col min="3" max="3" width="20.7109375" style="1" customWidth="1"/>
    <col min="4" max="5" width="50.7109375" style="1" customWidth="1"/>
    <col min="6" max="6" width="255.7109375" style="1" customWidth="1"/>
    <col min="7" max="7" width="30.7109375" style="1" customWidth="1"/>
    <col min="8" max="15" width="20.7109375" style="1" customWidth="1"/>
    <col min="16" max="16" width="22.28515625" style="1" customWidth="1"/>
    <col min="17" max="17" width="24.5703125" style="1" bestFit="1" customWidth="1"/>
    <col min="18" max="18" width="27.5703125" style="1" bestFit="1" customWidth="1"/>
    <col min="19" max="16384" width="9.140625" style="1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202</v>
      </c>
      <c r="Q1" s="3" t="s">
        <v>203</v>
      </c>
      <c r="R1" s="3" t="s">
        <v>204</v>
      </c>
    </row>
    <row r="2" spans="1:18" hidden="1">
      <c r="A2" s="1">
        <v>1</v>
      </c>
      <c r="B2" s="1" t="str">
        <f>"انواع محصول قير"</f>
        <v>انواع محصول قير</v>
      </c>
      <c r="C2" s="1">
        <v>100</v>
      </c>
      <c r="D2" s="1" t="str">
        <f>"مخازن قير اصفهان"</f>
        <v>مخازن قير اصفهان</v>
      </c>
      <c r="E2" s="1" t="str">
        <f>"0000000087"</f>
        <v>0000000087</v>
      </c>
      <c r="F2" s="1" t="str">
        <f>"قير امولسيون زود شكن فله(CRS1)"</f>
        <v>قير امولسيون زود شكن فله(CRS1)</v>
      </c>
      <c r="G2" s="1" t="str">
        <f>"كيلوگرم"</f>
        <v>كيلوگرم</v>
      </c>
      <c r="H2" s="1">
        <v>0</v>
      </c>
      <c r="I2" s="1">
        <v>0</v>
      </c>
      <c r="J2" s="1">
        <v>256900</v>
      </c>
      <c r="K2" s="1">
        <v>4374107844</v>
      </c>
      <c r="L2" s="1">
        <v>256900</v>
      </c>
      <c r="M2" s="1">
        <v>4374107844</v>
      </c>
      <c r="O2" s="1">
        <v>97</v>
      </c>
      <c r="P2" s="1">
        <f>I2+K2-M2</f>
        <v>0</v>
      </c>
      <c r="Q2" s="1">
        <f>H2+J2-L2</f>
        <v>0</v>
      </c>
      <c r="R2" s="1" t="e">
        <f>P2/Q2</f>
        <v>#DIV/0!</v>
      </c>
    </row>
    <row r="3" spans="1:18">
      <c r="A3" s="1">
        <v>1</v>
      </c>
      <c r="B3" s="1" t="str">
        <f>"انواع محصول قير"</f>
        <v>انواع محصول قير</v>
      </c>
      <c r="C3" s="1">
        <v>100</v>
      </c>
      <c r="D3" s="1" t="str">
        <f>"مخازن قير اصفهان"</f>
        <v>مخازن قير اصفهان</v>
      </c>
      <c r="E3" s="1" t="str">
        <f>"1000000003"</f>
        <v>1000000003</v>
      </c>
      <c r="F3" s="1" t="str">
        <f>"قير MC250"</f>
        <v>قير MC250</v>
      </c>
      <c r="G3" s="1" t="str">
        <f>"كيلوگرم"</f>
        <v>كيلوگرم</v>
      </c>
      <c r="H3" s="1">
        <v>715910</v>
      </c>
      <c r="I3" s="1">
        <v>9014726930</v>
      </c>
      <c r="J3" s="1">
        <v>8166701</v>
      </c>
      <c r="K3" s="1">
        <v>216363913325</v>
      </c>
      <c r="L3" s="1">
        <v>8463592</v>
      </c>
      <c r="M3" s="1">
        <v>214285814669</v>
      </c>
      <c r="O3" s="1">
        <v>97</v>
      </c>
      <c r="P3" s="4">
        <f t="shared" ref="P3:P66" si="0">I3+K3-M3</f>
        <v>11092825586</v>
      </c>
      <c r="Q3" s="4">
        <f t="shared" ref="Q3:Q66" si="1">H3+J3-L3</f>
        <v>419019</v>
      </c>
      <c r="R3" s="4">
        <f t="shared" ref="R3:R66" si="2">P3/Q3</f>
        <v>26473.323610623862</v>
      </c>
    </row>
    <row r="4" spans="1:18">
      <c r="A4" s="1">
        <v>1</v>
      </c>
      <c r="B4" s="1" t="str">
        <f>"انواع محصول قير"</f>
        <v>انواع محصول قير</v>
      </c>
      <c r="C4" s="1">
        <v>104</v>
      </c>
      <c r="D4" s="1" t="str">
        <f>"انبار قير بندرعباس"</f>
        <v>انبار قير بندرعباس</v>
      </c>
      <c r="E4" s="1" t="str">
        <f>"0000000077"</f>
        <v>0000000077</v>
      </c>
      <c r="F4" s="1" t="str">
        <f>"قير 60/70 - بشكه 180 كيلوگرمي"</f>
        <v>قير 60/70 - بشكه 180 كيلوگرمي</v>
      </c>
      <c r="G4" s="1" t="str">
        <f>"كيلوگرم"</f>
        <v>كيلوگرم</v>
      </c>
      <c r="H4" s="1">
        <v>2363106</v>
      </c>
      <c r="I4" s="1">
        <v>25142708981</v>
      </c>
      <c r="J4" s="1">
        <v>25412538</v>
      </c>
      <c r="K4" s="1">
        <v>534482493984</v>
      </c>
      <c r="L4" s="1">
        <v>27755915</v>
      </c>
      <c r="M4" s="1">
        <v>559207955619</v>
      </c>
      <c r="O4" s="1">
        <v>97</v>
      </c>
      <c r="P4" s="4">
        <f t="shared" si="0"/>
        <v>417247346</v>
      </c>
      <c r="Q4" s="4">
        <f t="shared" si="1"/>
        <v>19729</v>
      </c>
      <c r="R4" s="4">
        <f t="shared" si="2"/>
        <v>21148.935374322064</v>
      </c>
    </row>
    <row r="5" spans="1:18" hidden="1">
      <c r="A5" s="1">
        <v>1</v>
      </c>
      <c r="B5" s="1" t="str">
        <f>"انواع محصول قير"</f>
        <v>انواع محصول قير</v>
      </c>
      <c r="C5" s="1">
        <v>104</v>
      </c>
      <c r="D5" s="1" t="str">
        <f>"انبار قير بندرعباس"</f>
        <v>انبار قير بندرعباس</v>
      </c>
      <c r="E5" s="1" t="str">
        <f>"0000000101"</f>
        <v>0000000101</v>
      </c>
      <c r="F5" s="1" t="str">
        <f>"قير VG30 - فله"</f>
        <v>قير VG30 - فله</v>
      </c>
      <c r="G5" s="1" t="str">
        <f>"كيلوگرم"</f>
        <v>كيلوگرم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O5" s="1">
        <v>97</v>
      </c>
      <c r="P5" s="1">
        <f t="shared" si="0"/>
        <v>0</v>
      </c>
      <c r="Q5" s="1">
        <f t="shared" si="1"/>
        <v>0</v>
      </c>
      <c r="R5" s="1" t="e">
        <f t="shared" si="2"/>
        <v>#DIV/0!</v>
      </c>
    </row>
    <row r="6" spans="1:18" hidden="1">
      <c r="A6" s="1">
        <v>1</v>
      </c>
      <c r="B6" s="1" t="str">
        <f>"انواع محصول قير"</f>
        <v>انواع محصول قير</v>
      </c>
      <c r="C6" s="1">
        <v>104</v>
      </c>
      <c r="D6" s="1" t="str">
        <f>"انبار قير بندرعباس"</f>
        <v>انبار قير بندرعباس</v>
      </c>
      <c r="E6" s="1" t="str">
        <f>"1000000002"</f>
        <v>1000000002</v>
      </c>
      <c r="F6" s="1" t="str">
        <f>"قير 85/100 - فله"</f>
        <v>قير 85/100 - فله</v>
      </c>
      <c r="G6" s="1" t="str">
        <f>"كيلوگرم"</f>
        <v>كيلوگرم</v>
      </c>
      <c r="H6" s="1">
        <v>0</v>
      </c>
      <c r="I6" s="1">
        <v>0</v>
      </c>
      <c r="J6" s="1">
        <v>6050200</v>
      </c>
      <c r="K6" s="1">
        <v>101837313192</v>
      </c>
      <c r="L6" s="1">
        <v>6050200</v>
      </c>
      <c r="M6" s="1">
        <v>101837313192</v>
      </c>
      <c r="O6" s="1">
        <v>97</v>
      </c>
      <c r="P6" s="1">
        <f t="shared" si="0"/>
        <v>0</v>
      </c>
      <c r="Q6" s="1">
        <f t="shared" si="1"/>
        <v>0</v>
      </c>
      <c r="R6" s="1" t="e">
        <f t="shared" si="2"/>
        <v>#DIV/0!</v>
      </c>
    </row>
    <row r="7" spans="1:18">
      <c r="A7" s="1">
        <v>2</v>
      </c>
      <c r="B7" s="1" t="str">
        <f>"قطعات و لوازم يدكي"</f>
        <v>قطعات و لوازم يدكي</v>
      </c>
      <c r="C7" s="1">
        <v>101</v>
      </c>
      <c r="D7" s="1" t="str">
        <f>"انبار قطعات و لوازم يدكي اصفهان"</f>
        <v>انبار قطعات و لوازم يدكي اصفهان</v>
      </c>
      <c r="E7" s="1" t="str">
        <f>"2201050033"</f>
        <v>2201050033</v>
      </c>
      <c r="F7" s="1" t="str">
        <f>"BRG PLAIN CV2 S3"</f>
        <v>BRG PLAIN CV2 S3</v>
      </c>
      <c r="G7" s="1" t="str">
        <f>"عدد"</f>
        <v>عدد</v>
      </c>
      <c r="H7" s="1">
        <v>4</v>
      </c>
      <c r="I7" s="1">
        <v>418268880</v>
      </c>
      <c r="J7" s="1">
        <v>0</v>
      </c>
      <c r="K7" s="1">
        <v>0</v>
      </c>
      <c r="L7" s="1">
        <v>0</v>
      </c>
      <c r="M7" s="1">
        <v>0</v>
      </c>
      <c r="O7" s="1">
        <v>97</v>
      </c>
      <c r="P7" s="4">
        <f t="shared" si="0"/>
        <v>418268880</v>
      </c>
      <c r="Q7" s="4">
        <f t="shared" si="1"/>
        <v>4</v>
      </c>
      <c r="R7" s="4">
        <f t="shared" si="2"/>
        <v>104567220</v>
      </c>
    </row>
    <row r="8" spans="1:18">
      <c r="A8" s="1">
        <v>2</v>
      </c>
      <c r="B8" s="1" t="str">
        <f>"قطعات و لوازم يدكي"</f>
        <v>قطعات و لوازم يدكي</v>
      </c>
      <c r="C8" s="1">
        <v>101</v>
      </c>
      <c r="D8" s="1" t="str">
        <f>"انبار قطعات و لوازم يدكي اصفهان"</f>
        <v>انبار قطعات و لوازم يدكي اصفهان</v>
      </c>
      <c r="E8" s="1" t="str">
        <f>"2201080023"</f>
        <v>2201080023</v>
      </c>
      <c r="F8" s="1" t="str">
        <f>"AIR PRE 1 FILTER ELEMENT c-1601A/B"</f>
        <v>AIR PRE 1 FILTER ELEMENT c-1601A/B</v>
      </c>
      <c r="G8" s="1" t="str">
        <f>"عدد"</f>
        <v>عدد</v>
      </c>
      <c r="H8" s="1">
        <v>15</v>
      </c>
      <c r="I8" s="1">
        <v>81791638</v>
      </c>
      <c r="J8" s="1">
        <v>0</v>
      </c>
      <c r="K8" s="1">
        <v>0</v>
      </c>
      <c r="L8" s="1">
        <v>4</v>
      </c>
      <c r="M8" s="1">
        <v>21811104</v>
      </c>
      <c r="O8" s="1">
        <v>97</v>
      </c>
      <c r="P8" s="4">
        <f t="shared" si="0"/>
        <v>59980534</v>
      </c>
      <c r="Q8" s="4">
        <f t="shared" si="1"/>
        <v>11</v>
      </c>
      <c r="R8" s="4">
        <f t="shared" si="2"/>
        <v>5452775.8181818184</v>
      </c>
    </row>
    <row r="9" spans="1:18">
      <c r="A9" s="1">
        <v>2</v>
      </c>
      <c r="B9" s="1" t="str">
        <f>"قطعات و لوازم يدكي"</f>
        <v>قطعات و لوازم يدكي</v>
      </c>
      <c r="C9" s="1">
        <v>101</v>
      </c>
      <c r="D9" s="1" t="str">
        <f>"انبار قطعات و لوازم يدكي اصفهان"</f>
        <v>انبار قطعات و لوازم يدكي اصفهان</v>
      </c>
      <c r="E9" s="1" t="str">
        <f>"2202030053"</f>
        <v>2202030053</v>
      </c>
      <c r="F9" s="1" t="str">
        <f>"Oil Filtter Ellement( C-1002A/B"</f>
        <v>Oil Filtter Ellement( C-1002A/B</v>
      </c>
      <c r="G9" s="1" t="str">
        <f>"عدد"</f>
        <v>عدد</v>
      </c>
      <c r="H9" s="1">
        <v>7</v>
      </c>
      <c r="I9" s="1">
        <v>69455556</v>
      </c>
      <c r="J9" s="1">
        <v>1</v>
      </c>
      <c r="K9" s="1">
        <v>9922222</v>
      </c>
      <c r="L9" s="1">
        <v>2</v>
      </c>
      <c r="M9" s="1">
        <v>19844445</v>
      </c>
      <c r="O9" s="1">
        <v>97</v>
      </c>
      <c r="P9" s="4">
        <f t="shared" si="0"/>
        <v>59533333</v>
      </c>
      <c r="Q9" s="4">
        <f t="shared" si="1"/>
        <v>6</v>
      </c>
      <c r="R9" s="4">
        <f t="shared" si="2"/>
        <v>9922222.166666666</v>
      </c>
    </row>
    <row r="10" spans="1:18" hidden="1">
      <c r="A10" s="1">
        <v>2</v>
      </c>
      <c r="B10" s="1" t="str">
        <f>"قطعات و لوازم يدكي"</f>
        <v>قطعات و لوازم يدكي</v>
      </c>
      <c r="C10" s="1">
        <v>101</v>
      </c>
      <c r="D10" s="1" t="str">
        <f>"انبار قطعات و لوازم يدكي اصفهان"</f>
        <v>انبار قطعات و لوازم يدكي اصفهان</v>
      </c>
      <c r="E10" s="1" t="str">
        <f>"2202875353"</f>
        <v>2202875353</v>
      </c>
      <c r="F10" s="1" t="str">
        <f>"هوز اويل سيستم"</f>
        <v>هوز اويل سيستم</v>
      </c>
      <c r="G10" s="1" t="str">
        <f>"عدد"</f>
        <v>عدد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O10" s="1">
        <v>97</v>
      </c>
      <c r="P10" s="1">
        <f t="shared" si="0"/>
        <v>0</v>
      </c>
      <c r="Q10" s="1">
        <f t="shared" si="1"/>
        <v>0</v>
      </c>
      <c r="R10" s="1" t="e">
        <f t="shared" si="2"/>
        <v>#DIV/0!</v>
      </c>
    </row>
    <row r="11" spans="1:18" hidden="1">
      <c r="A11" s="1">
        <v>2</v>
      </c>
      <c r="B11" s="1" t="str">
        <f>"قطعات و لوازم يدكي"</f>
        <v>قطعات و لوازم يدكي</v>
      </c>
      <c r="C11" s="1">
        <v>101</v>
      </c>
      <c r="D11" s="1" t="str">
        <f>"انبار قطعات و لوازم يدكي اصفهان"</f>
        <v>انبار قطعات و لوازم يدكي اصفهان</v>
      </c>
      <c r="E11" s="1" t="str">
        <f>"2202876613"</f>
        <v>2202876613</v>
      </c>
      <c r="F11" s="1" t="str">
        <f>"سرويس كيت درين كاننكشنز"</f>
        <v>سرويس كيت درين كاننكشنز</v>
      </c>
      <c r="G11" s="1" t="str">
        <f>"عدد"</f>
        <v>عدد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O11" s="1">
        <v>97</v>
      </c>
      <c r="P11" s="1">
        <f t="shared" si="0"/>
        <v>0</v>
      </c>
      <c r="Q11" s="1">
        <f t="shared" si="1"/>
        <v>0</v>
      </c>
      <c r="R11" s="1" t="e">
        <f t="shared" si="2"/>
        <v>#DIV/0!</v>
      </c>
    </row>
    <row r="12" spans="1:18" hidden="1">
      <c r="A12" s="1">
        <v>2</v>
      </c>
      <c r="B12" s="1" t="str">
        <f>"قطعات و لوازم يدكي"</f>
        <v>قطعات و لوازم يدكي</v>
      </c>
      <c r="C12" s="1">
        <v>101</v>
      </c>
      <c r="D12" s="1" t="str">
        <f>"انبار قطعات و لوازم يدكي اصفهان"</f>
        <v>انبار قطعات و لوازم يدكي اصفهان</v>
      </c>
      <c r="E12" s="1" t="str">
        <f>"2202879183"</f>
        <v>2202879183</v>
      </c>
      <c r="F12" s="1" t="str">
        <f>"سافتي والو1005-0830"</f>
        <v>سافتي والو1005-0830</v>
      </c>
      <c r="G12" s="1" t="str">
        <f>"عدد"</f>
        <v>عدد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O12" s="1">
        <v>97</v>
      </c>
      <c r="P12" s="1">
        <f t="shared" si="0"/>
        <v>0</v>
      </c>
      <c r="Q12" s="1">
        <f t="shared" si="1"/>
        <v>0</v>
      </c>
      <c r="R12" s="1" t="e">
        <f t="shared" si="2"/>
        <v>#DIV/0!</v>
      </c>
    </row>
    <row r="13" spans="1:18" hidden="1">
      <c r="A13" s="1">
        <v>2</v>
      </c>
      <c r="B13" s="1" t="str">
        <f>"قطعات و لوازم يدكي"</f>
        <v>قطعات و لوازم يدكي</v>
      </c>
      <c r="C13" s="1">
        <v>101</v>
      </c>
      <c r="D13" s="1" t="str">
        <f>"انبار قطعات و لوازم يدكي اصفهان"</f>
        <v>انبار قطعات و لوازم يدكي اصفهان</v>
      </c>
      <c r="E13" s="1" t="str">
        <f>"2202899133"</f>
        <v>2202899133</v>
      </c>
      <c r="F13" s="1" t="str">
        <f>"تمپ سوئيچ(temp switch.)"</f>
        <v>تمپ سوئيچ(temp switch.)</v>
      </c>
      <c r="G13" s="1" t="str">
        <f>"عدد"</f>
        <v>عدد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O13" s="1">
        <v>97</v>
      </c>
      <c r="P13" s="1">
        <f t="shared" si="0"/>
        <v>0</v>
      </c>
      <c r="Q13" s="1">
        <f t="shared" si="1"/>
        <v>0</v>
      </c>
      <c r="R13" s="1" t="e">
        <f t="shared" si="2"/>
        <v>#DIV/0!</v>
      </c>
    </row>
    <row r="14" spans="1:18">
      <c r="A14" s="1">
        <v>2</v>
      </c>
      <c r="B14" s="1" t="str">
        <f>"قطعات و لوازم يدكي"</f>
        <v>قطعات و لوازم يدكي</v>
      </c>
      <c r="C14" s="1">
        <v>101</v>
      </c>
      <c r="D14" s="1" t="str">
        <f>"انبار قطعات و لوازم يدكي اصفهان"</f>
        <v>انبار قطعات و لوازم يدكي اصفهان</v>
      </c>
      <c r="E14" s="1" t="str">
        <f>"2301021133"</f>
        <v>2301021133</v>
      </c>
      <c r="F14" s="1" t="str">
        <f>"stabilizer flowmeter flomec omoo8s512-211"</f>
        <v>stabilizer flowmeter flomec omoo8s512-211</v>
      </c>
      <c r="G14" s="1" t="str">
        <f>"عدد"</f>
        <v>عدد</v>
      </c>
      <c r="H14" s="1">
        <v>1</v>
      </c>
      <c r="I14" s="1">
        <v>56031168</v>
      </c>
      <c r="J14" s="1">
        <v>0</v>
      </c>
      <c r="K14" s="1">
        <v>0</v>
      </c>
      <c r="L14" s="1">
        <v>0</v>
      </c>
      <c r="M14" s="1">
        <v>0</v>
      </c>
      <c r="O14" s="1">
        <v>97</v>
      </c>
      <c r="P14" s="4">
        <f t="shared" si="0"/>
        <v>56031168</v>
      </c>
      <c r="Q14" s="4">
        <f t="shared" si="1"/>
        <v>1</v>
      </c>
      <c r="R14" s="4">
        <f t="shared" si="2"/>
        <v>56031168</v>
      </c>
    </row>
    <row r="15" spans="1:18">
      <c r="A15" s="1">
        <v>2</v>
      </c>
      <c r="B15" s="1" t="str">
        <f>"قطعات و لوازم يدكي"</f>
        <v>قطعات و لوازم يدكي</v>
      </c>
      <c r="C15" s="1">
        <v>101</v>
      </c>
      <c r="D15" s="1" t="str">
        <f>"انبار قطعات و لوازم يدكي اصفهان"</f>
        <v>انبار قطعات و لوازم يدكي اصفهان</v>
      </c>
      <c r="E15" s="1" t="str">
        <f>"2302030023"</f>
        <v>2302030023</v>
      </c>
      <c r="F15" s="1" t="str">
        <f>"CPU Q02HCPU"</f>
        <v>CPU Q02HCPU</v>
      </c>
      <c r="G15" s="1" t="str">
        <f>"عدد"</f>
        <v>عدد</v>
      </c>
      <c r="H15" s="1">
        <v>1</v>
      </c>
      <c r="I15" s="1">
        <v>110976290</v>
      </c>
      <c r="J15" s="1">
        <v>0</v>
      </c>
      <c r="K15" s="1">
        <v>0</v>
      </c>
      <c r="L15" s="1">
        <v>0</v>
      </c>
      <c r="M15" s="1">
        <v>0</v>
      </c>
      <c r="O15" s="1">
        <v>97</v>
      </c>
      <c r="P15" s="4">
        <f t="shared" si="0"/>
        <v>110976290</v>
      </c>
      <c r="Q15" s="4">
        <f t="shared" si="1"/>
        <v>1</v>
      </c>
      <c r="R15" s="4">
        <f t="shared" si="2"/>
        <v>110976290</v>
      </c>
    </row>
    <row r="16" spans="1:18">
      <c r="A16" s="1">
        <v>2</v>
      </c>
      <c r="B16" s="1" t="str">
        <f>"قطعات و لوازم يدكي"</f>
        <v>قطعات و لوازم يدكي</v>
      </c>
      <c r="C16" s="1">
        <v>101</v>
      </c>
      <c r="D16" s="1" t="str">
        <f>"انبار قطعات و لوازم يدكي اصفهان"</f>
        <v>انبار قطعات و لوازم يدكي اصفهان</v>
      </c>
      <c r="E16" s="1" t="str">
        <f>"2302030063"</f>
        <v>2302030063</v>
      </c>
      <c r="F16" s="1" t="str">
        <f>"D/A OUTPUT MODULE Q68DAI"</f>
        <v>D/A OUTPUT MODULE Q68DAI</v>
      </c>
      <c r="G16" s="1" t="str">
        <f>"عدد"</f>
        <v>عدد</v>
      </c>
      <c r="H16" s="1">
        <v>1</v>
      </c>
      <c r="I16" s="1">
        <v>36186879</v>
      </c>
      <c r="J16" s="1">
        <v>0</v>
      </c>
      <c r="K16" s="1">
        <v>0</v>
      </c>
      <c r="L16" s="1">
        <v>0</v>
      </c>
      <c r="M16" s="1">
        <v>0</v>
      </c>
      <c r="O16" s="1">
        <v>97</v>
      </c>
      <c r="P16" s="4">
        <f t="shared" si="0"/>
        <v>36186879</v>
      </c>
      <c r="Q16" s="4">
        <f t="shared" si="1"/>
        <v>1</v>
      </c>
      <c r="R16" s="4">
        <f t="shared" si="2"/>
        <v>36186879</v>
      </c>
    </row>
    <row r="17" spans="1:18" hidden="1">
      <c r="A17" s="1">
        <v>2</v>
      </c>
      <c r="B17" s="1" t="str">
        <f>"قطعات و لوازم يدكي"</f>
        <v>قطعات و لوازم يدكي</v>
      </c>
      <c r="C17" s="1">
        <v>101</v>
      </c>
      <c r="D17" s="1" t="str">
        <f>"انبار قطعات و لوازم يدكي اصفهان"</f>
        <v>انبار قطعات و لوازم يدكي اصفهان</v>
      </c>
      <c r="E17" s="1" t="str">
        <f>"2441492943"</f>
        <v>2441492943</v>
      </c>
      <c r="F17" s="1" t="str">
        <f>"كولرسي 30اين نركول"</f>
        <v>كولرسي 30اين نركول</v>
      </c>
      <c r="G17" s="1" t="str">
        <f>"عدد"</f>
        <v>عدد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O17" s="1">
        <v>97</v>
      </c>
      <c r="P17" s="1">
        <f t="shared" si="0"/>
        <v>0</v>
      </c>
      <c r="Q17" s="1">
        <f t="shared" si="1"/>
        <v>0</v>
      </c>
      <c r="R17" s="1" t="e">
        <f t="shared" si="2"/>
        <v>#DIV/0!</v>
      </c>
    </row>
    <row r="18" spans="1:18" hidden="1">
      <c r="A18" s="1">
        <v>2</v>
      </c>
      <c r="B18" s="1" t="str">
        <f>"قطعات و لوازم يدكي"</f>
        <v>قطعات و لوازم يدكي</v>
      </c>
      <c r="C18" s="1">
        <v>101</v>
      </c>
      <c r="D18" s="1" t="str">
        <f>"انبار قطعات و لوازم يدكي اصفهان"</f>
        <v>انبار قطعات و لوازم يدكي اصفهان</v>
      </c>
      <c r="E18" s="1" t="str">
        <f>"3001010062"</f>
        <v>3001010062</v>
      </c>
      <c r="F18" s="1" t="str">
        <f>"قوطي خالي نيم کيلويي"</f>
        <v>قوطي خالي نيم کيلويي</v>
      </c>
      <c r="G18" s="1" t="str">
        <f>"عدد"</f>
        <v>عدد</v>
      </c>
      <c r="H18" s="1">
        <v>0</v>
      </c>
      <c r="I18" s="1">
        <v>0</v>
      </c>
      <c r="J18" s="1">
        <v>400</v>
      </c>
      <c r="K18" s="1">
        <v>10000000</v>
      </c>
      <c r="L18" s="1">
        <v>400</v>
      </c>
      <c r="M18" s="1">
        <v>10000000</v>
      </c>
      <c r="O18" s="1">
        <v>97</v>
      </c>
      <c r="P18" s="1">
        <f t="shared" si="0"/>
        <v>0</v>
      </c>
      <c r="Q18" s="1">
        <f t="shared" si="1"/>
        <v>0</v>
      </c>
      <c r="R18" s="1" t="e">
        <f t="shared" si="2"/>
        <v>#DIV/0!</v>
      </c>
    </row>
    <row r="19" spans="1:18">
      <c r="A19" s="1">
        <v>2</v>
      </c>
      <c r="B19" s="1" t="str">
        <f>"قطعات و لوازم يدكي"</f>
        <v>قطعات و لوازم يدكي</v>
      </c>
      <c r="C19" s="1">
        <v>101</v>
      </c>
      <c r="D19" s="1" t="str">
        <f>"انبار قطعات و لوازم يدكي اصفهان"</f>
        <v>انبار قطعات و لوازم يدكي اصفهان</v>
      </c>
      <c r="E19" s="1" t="str">
        <f>"3101050043"</f>
        <v>3101050043</v>
      </c>
      <c r="F19" s="1" t="str">
        <f>"SOCKET .SCREW"</f>
        <v>SOCKET .SCREW</v>
      </c>
      <c r="G19" s="1" t="str">
        <f>"عدد"</f>
        <v>عدد</v>
      </c>
      <c r="H19" s="1">
        <v>3</v>
      </c>
      <c r="I19" s="1">
        <v>209700</v>
      </c>
      <c r="J19" s="1">
        <v>0</v>
      </c>
      <c r="K19" s="1">
        <v>0</v>
      </c>
      <c r="L19" s="1">
        <v>0</v>
      </c>
      <c r="M19" s="1">
        <v>0</v>
      </c>
      <c r="O19" s="1">
        <v>97</v>
      </c>
      <c r="P19" s="4">
        <f t="shared" si="0"/>
        <v>209700</v>
      </c>
      <c r="Q19" s="4">
        <f t="shared" si="1"/>
        <v>3</v>
      </c>
      <c r="R19" s="4">
        <f t="shared" si="2"/>
        <v>69900</v>
      </c>
    </row>
    <row r="20" spans="1:18">
      <c r="A20" s="1">
        <v>2</v>
      </c>
      <c r="B20" s="1" t="str">
        <f>"قطعات و لوازم يدكي"</f>
        <v>قطعات و لوازم يدكي</v>
      </c>
      <c r="C20" s="1">
        <v>101</v>
      </c>
      <c r="D20" s="1" t="str">
        <f>"انبار قطعات و لوازم يدكي اصفهان"</f>
        <v>انبار قطعات و لوازم يدكي اصفهان</v>
      </c>
      <c r="E20" s="1" t="str">
        <f>"3101090013"</f>
        <v>3101090013</v>
      </c>
      <c r="F20" s="1" t="str">
        <f>"GASKET ."</f>
        <v>GASKET .</v>
      </c>
      <c r="G20" s="1" t="str">
        <f>"عدد"</f>
        <v>عدد</v>
      </c>
      <c r="H20" s="1">
        <v>2</v>
      </c>
      <c r="I20" s="1">
        <v>932000</v>
      </c>
      <c r="J20" s="1">
        <v>0</v>
      </c>
      <c r="K20" s="1">
        <v>0</v>
      </c>
      <c r="L20" s="1">
        <v>0</v>
      </c>
      <c r="M20" s="1">
        <v>0</v>
      </c>
      <c r="O20" s="1">
        <v>97</v>
      </c>
      <c r="P20" s="4">
        <f t="shared" si="0"/>
        <v>932000</v>
      </c>
      <c r="Q20" s="4">
        <f t="shared" si="1"/>
        <v>2</v>
      </c>
      <c r="R20" s="4">
        <f t="shared" si="2"/>
        <v>466000</v>
      </c>
    </row>
    <row r="21" spans="1:18">
      <c r="A21" s="1">
        <v>2</v>
      </c>
      <c r="B21" s="1" t="str">
        <f>"قطعات و لوازم يدكي"</f>
        <v>قطعات و لوازم يدكي</v>
      </c>
      <c r="C21" s="1">
        <v>101</v>
      </c>
      <c r="D21" s="1" t="str">
        <f>"انبار قطعات و لوازم يدكي اصفهان"</f>
        <v>انبار قطعات و لوازم يدكي اصفهان</v>
      </c>
      <c r="E21" s="1" t="str">
        <f>"3101100033"</f>
        <v>3101100033</v>
      </c>
      <c r="F21" s="1" t="str">
        <f>"PACKING &amp; O-RING P-1601D"</f>
        <v>PACKING &amp; O-RING P-1601D</v>
      </c>
      <c r="G21" s="1" t="str">
        <f>"عدد"</f>
        <v>عدد</v>
      </c>
      <c r="H21" s="1">
        <v>34</v>
      </c>
      <c r="I21" s="1">
        <v>13600000</v>
      </c>
      <c r="J21" s="1">
        <v>0</v>
      </c>
      <c r="K21" s="1">
        <v>0</v>
      </c>
      <c r="L21" s="1">
        <v>0</v>
      </c>
      <c r="M21" s="1">
        <v>0</v>
      </c>
      <c r="O21" s="1">
        <v>97</v>
      </c>
      <c r="P21" s="4">
        <f t="shared" si="0"/>
        <v>13600000</v>
      </c>
      <c r="Q21" s="4">
        <f t="shared" si="1"/>
        <v>34</v>
      </c>
      <c r="R21" s="4">
        <f t="shared" si="2"/>
        <v>400000</v>
      </c>
    </row>
    <row r="22" spans="1:18" hidden="1">
      <c r="A22" s="1">
        <v>2</v>
      </c>
      <c r="B22" s="1" t="str">
        <f>"قطعات و لوازم يدكي"</f>
        <v>قطعات و لوازم يدكي</v>
      </c>
      <c r="C22" s="1">
        <v>101</v>
      </c>
      <c r="D22" s="1" t="str">
        <f>"انبار قطعات و لوازم يدكي اصفهان"</f>
        <v>انبار قطعات و لوازم يدكي اصفهان</v>
      </c>
      <c r="E22" s="1" t="str">
        <f>"3103022613"</f>
        <v>3103022613</v>
      </c>
      <c r="F22" s="1" t="str">
        <f>"SHAFT BUSH P-1601A/B/C(سيليو)"</f>
        <v>SHAFT BUSH P-1601A/B/C(سيليو)</v>
      </c>
      <c r="G22" s="1" t="str">
        <f>"عدد"</f>
        <v>عدد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O22" s="1">
        <v>97</v>
      </c>
      <c r="P22" s="1">
        <f t="shared" si="0"/>
        <v>0</v>
      </c>
      <c r="Q22" s="1">
        <f t="shared" si="1"/>
        <v>0</v>
      </c>
      <c r="R22" s="1" t="e">
        <f t="shared" si="2"/>
        <v>#DIV/0!</v>
      </c>
    </row>
    <row r="23" spans="1:18">
      <c r="A23" s="1">
        <v>2</v>
      </c>
      <c r="B23" s="1" t="str">
        <f>"قطعات و لوازم يدكي"</f>
        <v>قطعات و لوازم يدكي</v>
      </c>
      <c r="C23" s="1">
        <v>101</v>
      </c>
      <c r="D23" s="1" t="str">
        <f>"انبار قطعات و لوازم يدكي اصفهان"</f>
        <v>انبار قطعات و لوازم يدكي اصفهان</v>
      </c>
      <c r="E23" s="1" t="str">
        <f>"3103023399"</f>
        <v>3103023399</v>
      </c>
      <c r="F23" s="1" t="str">
        <f>"PACKING FOR BLLOWS."</f>
        <v>PACKING FOR BLLOWS.</v>
      </c>
      <c r="G23" s="1" t="str">
        <f>"عدد"</f>
        <v>عدد</v>
      </c>
      <c r="H23" s="1">
        <v>36</v>
      </c>
      <c r="I23" s="1">
        <v>8788075</v>
      </c>
      <c r="J23" s="1">
        <v>0</v>
      </c>
      <c r="K23" s="1">
        <v>0</v>
      </c>
      <c r="L23" s="1">
        <v>1</v>
      </c>
      <c r="M23" s="1">
        <v>244113</v>
      </c>
      <c r="O23" s="1">
        <v>97</v>
      </c>
      <c r="P23" s="4">
        <f t="shared" si="0"/>
        <v>8543962</v>
      </c>
      <c r="Q23" s="4">
        <f t="shared" si="1"/>
        <v>35</v>
      </c>
      <c r="R23" s="4">
        <f t="shared" si="2"/>
        <v>244113.2</v>
      </c>
    </row>
    <row r="24" spans="1:18">
      <c r="A24" s="1">
        <v>2</v>
      </c>
      <c r="B24" s="1" t="str">
        <f>"قطعات و لوازم يدكي"</f>
        <v>قطعات و لوازم يدكي</v>
      </c>
      <c r="C24" s="1">
        <v>101</v>
      </c>
      <c r="D24" s="1" t="str">
        <f>"انبار قطعات و لوازم يدكي اصفهان"</f>
        <v>انبار قطعات و لوازم يدكي اصفهان</v>
      </c>
      <c r="E24" s="1" t="str">
        <f>"3103040062"</f>
        <v>3103040062</v>
      </c>
      <c r="F24" s="1" t="str">
        <f>"قطعات يدكي مربوط به پمپ"</f>
        <v>قطعات يدكي مربوط به پمپ</v>
      </c>
      <c r="G24" s="1" t="str">
        <f>"ST"</f>
        <v>ST</v>
      </c>
      <c r="H24" s="1">
        <v>2</v>
      </c>
      <c r="I24" s="1">
        <v>117661856</v>
      </c>
      <c r="J24" s="1">
        <v>0</v>
      </c>
      <c r="K24" s="1">
        <v>0</v>
      </c>
      <c r="L24" s="1">
        <v>0</v>
      </c>
      <c r="M24" s="1">
        <v>0</v>
      </c>
      <c r="O24" s="1">
        <v>97</v>
      </c>
      <c r="P24" s="4">
        <f t="shared" si="0"/>
        <v>117661856</v>
      </c>
      <c r="Q24" s="4">
        <f t="shared" si="1"/>
        <v>2</v>
      </c>
      <c r="R24" s="4">
        <f t="shared" si="2"/>
        <v>58830928</v>
      </c>
    </row>
    <row r="25" spans="1:18">
      <c r="A25" s="1">
        <v>2</v>
      </c>
      <c r="B25" s="1" t="str">
        <f>"قطعات و لوازم يدكي"</f>
        <v>قطعات و لوازم يدكي</v>
      </c>
      <c r="C25" s="1">
        <v>101</v>
      </c>
      <c r="D25" s="1" t="str">
        <f>"انبار قطعات و لوازم يدكي اصفهان"</f>
        <v>انبار قطعات و لوازم يدكي اصفهان</v>
      </c>
      <c r="E25" s="1" t="str">
        <f>"3112711013"</f>
        <v>3112711013</v>
      </c>
      <c r="F25" s="1" t="str">
        <f>"ورينگ كاس (wearring case)"</f>
        <v>ورينگ كاس (wearring case)</v>
      </c>
      <c r="G25" s="1" t="str">
        <f>"عدد"</f>
        <v>عدد</v>
      </c>
      <c r="H25" s="1">
        <v>2</v>
      </c>
      <c r="I25" s="1">
        <v>54386242</v>
      </c>
      <c r="J25" s="1">
        <v>0</v>
      </c>
      <c r="K25" s="1">
        <v>0</v>
      </c>
      <c r="L25" s="1">
        <v>0</v>
      </c>
      <c r="M25" s="1">
        <v>0</v>
      </c>
      <c r="O25" s="1">
        <v>97</v>
      </c>
      <c r="P25" s="4">
        <f t="shared" si="0"/>
        <v>54386242</v>
      </c>
      <c r="Q25" s="4">
        <f t="shared" si="1"/>
        <v>2</v>
      </c>
      <c r="R25" s="4">
        <f t="shared" si="2"/>
        <v>27193121</v>
      </c>
    </row>
    <row r="26" spans="1:18">
      <c r="A26" s="1">
        <v>2</v>
      </c>
      <c r="B26" s="1" t="str">
        <f>"قطعات و لوازم يدكي"</f>
        <v>قطعات و لوازم يدكي</v>
      </c>
      <c r="C26" s="1">
        <v>101</v>
      </c>
      <c r="D26" s="1" t="str">
        <f>"انبار قطعات و لوازم يدكي اصفهان"</f>
        <v>انبار قطعات و لوازم يدكي اصفهان</v>
      </c>
      <c r="E26" s="1" t="str">
        <f>"3112711033"</f>
        <v>3112711033</v>
      </c>
      <c r="F26" s="1" t="str">
        <f>"بوشينگ"</f>
        <v>بوشينگ</v>
      </c>
      <c r="G26" s="1" t="str">
        <f>"عدد"</f>
        <v>عدد</v>
      </c>
      <c r="H26" s="1">
        <v>2</v>
      </c>
      <c r="I26" s="1">
        <v>57277944</v>
      </c>
      <c r="J26" s="1">
        <v>0</v>
      </c>
      <c r="K26" s="1">
        <v>0</v>
      </c>
      <c r="L26" s="1">
        <v>0</v>
      </c>
      <c r="M26" s="1">
        <v>0</v>
      </c>
      <c r="O26" s="1">
        <v>97</v>
      </c>
      <c r="P26" s="4">
        <f t="shared" si="0"/>
        <v>57277944</v>
      </c>
      <c r="Q26" s="4">
        <f t="shared" si="1"/>
        <v>2</v>
      </c>
      <c r="R26" s="4">
        <f t="shared" si="2"/>
        <v>28638972</v>
      </c>
    </row>
    <row r="27" spans="1:18">
      <c r="A27" s="1">
        <v>2</v>
      </c>
      <c r="B27" s="1" t="str">
        <f>"قطعات و لوازم يدكي"</f>
        <v>قطعات و لوازم يدكي</v>
      </c>
      <c r="C27" s="1">
        <v>101</v>
      </c>
      <c r="D27" s="1" t="str">
        <f>"انبار قطعات و لوازم يدكي اصفهان"</f>
        <v>انبار قطعات و لوازم يدكي اصفهان</v>
      </c>
      <c r="E27" s="1" t="str">
        <f>"3112711043"</f>
        <v>3112711043</v>
      </c>
      <c r="F27" s="1" t="str">
        <f>"impeller ful size"</f>
        <v>impeller ful size</v>
      </c>
      <c r="G27" s="1" t="str">
        <f>"عدد"</f>
        <v>عدد</v>
      </c>
      <c r="H27" s="1">
        <v>1</v>
      </c>
      <c r="I27" s="1">
        <v>79892537</v>
      </c>
      <c r="J27" s="1">
        <v>0</v>
      </c>
      <c r="K27" s="1">
        <v>0</v>
      </c>
      <c r="L27" s="1">
        <v>0</v>
      </c>
      <c r="M27" s="1">
        <v>0</v>
      </c>
      <c r="O27" s="1">
        <v>97</v>
      </c>
      <c r="P27" s="4">
        <f t="shared" si="0"/>
        <v>79892537</v>
      </c>
      <c r="Q27" s="4">
        <f t="shared" si="1"/>
        <v>1</v>
      </c>
      <c r="R27" s="4">
        <f t="shared" si="2"/>
        <v>79892537</v>
      </c>
    </row>
    <row r="28" spans="1:18">
      <c r="A28" s="1">
        <v>2</v>
      </c>
      <c r="B28" s="1" t="str">
        <f>"قطعات و لوازم يدكي"</f>
        <v>قطعات و لوازم يدكي</v>
      </c>
      <c r="C28" s="1">
        <v>101</v>
      </c>
      <c r="D28" s="1" t="str">
        <f>"انبار قطعات و لوازم يدكي اصفهان"</f>
        <v>انبار قطعات و لوازم يدكي اصفهان</v>
      </c>
      <c r="E28" s="1" t="str">
        <f>"3112711133"</f>
        <v>3112711133</v>
      </c>
      <c r="F28" s="1" t="str">
        <f>"دفي لكتور  (deflector  inboard)"</f>
        <v>دفي لكتور  (deflector  inboard)</v>
      </c>
      <c r="G28" s="1" t="str">
        <f>"عدد"</f>
        <v>عدد</v>
      </c>
      <c r="H28" s="1">
        <v>2</v>
      </c>
      <c r="I28" s="1">
        <v>40224317</v>
      </c>
      <c r="J28" s="1">
        <v>0</v>
      </c>
      <c r="K28" s="1">
        <v>0</v>
      </c>
      <c r="L28" s="1">
        <v>0</v>
      </c>
      <c r="M28" s="1">
        <v>0</v>
      </c>
      <c r="O28" s="1">
        <v>97</v>
      </c>
      <c r="P28" s="4">
        <f t="shared" si="0"/>
        <v>40224317</v>
      </c>
      <c r="Q28" s="4">
        <f t="shared" si="1"/>
        <v>2</v>
      </c>
      <c r="R28" s="4">
        <f t="shared" si="2"/>
        <v>20112158.5</v>
      </c>
    </row>
    <row r="29" spans="1:18">
      <c r="A29" s="1">
        <v>2</v>
      </c>
      <c r="B29" s="1" t="str">
        <f>"قطعات و لوازم يدكي"</f>
        <v>قطعات و لوازم يدكي</v>
      </c>
      <c r="C29" s="1">
        <v>101</v>
      </c>
      <c r="D29" s="1" t="str">
        <f>"انبار قطعات و لوازم يدكي اصفهان"</f>
        <v>انبار قطعات و لوازم يدكي اصفهان</v>
      </c>
      <c r="E29" s="1" t="str">
        <f>"3112711153"</f>
        <v>3112711153</v>
      </c>
      <c r="F29" s="1" t="str">
        <f>"دفي لكتور  اوت برد (deflector outboard)"</f>
        <v>دفي لكتور  اوت برد (deflector outboard)</v>
      </c>
      <c r="G29" s="1" t="str">
        <f>"عدد"</f>
        <v>عدد</v>
      </c>
      <c r="H29" s="1">
        <v>2</v>
      </c>
      <c r="I29" s="1">
        <v>40224317</v>
      </c>
      <c r="J29" s="1">
        <v>0</v>
      </c>
      <c r="K29" s="1">
        <v>0</v>
      </c>
      <c r="L29" s="1">
        <v>0</v>
      </c>
      <c r="M29" s="1">
        <v>0</v>
      </c>
      <c r="O29" s="1">
        <v>97</v>
      </c>
      <c r="P29" s="4">
        <f t="shared" si="0"/>
        <v>40224317</v>
      </c>
      <c r="Q29" s="4">
        <f t="shared" si="1"/>
        <v>2</v>
      </c>
      <c r="R29" s="4">
        <f t="shared" si="2"/>
        <v>20112158.5</v>
      </c>
    </row>
    <row r="30" spans="1:18">
      <c r="A30" s="1">
        <v>2</v>
      </c>
      <c r="B30" s="1" t="str">
        <f>"قطعات و لوازم يدكي"</f>
        <v>قطعات و لوازم يدكي</v>
      </c>
      <c r="C30" s="1">
        <v>101</v>
      </c>
      <c r="D30" s="1" t="str">
        <f>"انبار قطعات و لوازم يدكي اصفهان"</f>
        <v>انبار قطعات و لوازم يدكي اصفهان</v>
      </c>
      <c r="E30" s="1" t="str">
        <f>"3112711273"</f>
        <v>3112711273</v>
      </c>
      <c r="F30" s="1" t="str">
        <f>"اسنپ رينگ(snap ring)"</f>
        <v>اسنپ رينگ(snap ring)</v>
      </c>
      <c r="G30" s="1" t="str">
        <f>"عدد"</f>
        <v>عدد</v>
      </c>
      <c r="H30" s="1">
        <v>2</v>
      </c>
      <c r="I30" s="1">
        <v>322851</v>
      </c>
      <c r="J30" s="1">
        <v>0</v>
      </c>
      <c r="K30" s="1">
        <v>0</v>
      </c>
      <c r="L30" s="1">
        <v>0</v>
      </c>
      <c r="M30" s="1">
        <v>0</v>
      </c>
      <c r="O30" s="1">
        <v>97</v>
      </c>
      <c r="P30" s="4">
        <f t="shared" si="0"/>
        <v>322851</v>
      </c>
      <c r="Q30" s="4">
        <f t="shared" si="1"/>
        <v>2</v>
      </c>
      <c r="R30" s="4">
        <f t="shared" si="2"/>
        <v>161425.5</v>
      </c>
    </row>
    <row r="31" spans="1:18">
      <c r="A31" s="1">
        <v>2</v>
      </c>
      <c r="B31" s="1" t="str">
        <f>"قطعات و لوازم يدكي"</f>
        <v>قطعات و لوازم يدكي</v>
      </c>
      <c r="C31" s="1">
        <v>101</v>
      </c>
      <c r="D31" s="1" t="str">
        <f>"انبار قطعات و لوازم يدكي اصفهان"</f>
        <v>انبار قطعات و لوازم يدكي اصفهان</v>
      </c>
      <c r="E31" s="1" t="str">
        <f>"3112711703"</f>
        <v>3112711703</v>
      </c>
      <c r="F31" s="1" t="str">
        <f>"وررينگ ايمپيلر.(wear ring impeller)"</f>
        <v>وررينگ ايمپيلر.(wear ring impeller)</v>
      </c>
      <c r="G31" s="1" t="str">
        <f>"عدد"</f>
        <v>عدد</v>
      </c>
      <c r="H31" s="1">
        <v>2</v>
      </c>
      <c r="I31" s="1">
        <v>21205815</v>
      </c>
      <c r="J31" s="1">
        <v>0</v>
      </c>
      <c r="K31" s="1">
        <v>0</v>
      </c>
      <c r="L31" s="1">
        <v>0</v>
      </c>
      <c r="M31" s="1">
        <v>0</v>
      </c>
      <c r="O31" s="1">
        <v>97</v>
      </c>
      <c r="P31" s="4">
        <f t="shared" si="0"/>
        <v>21205815</v>
      </c>
      <c r="Q31" s="4">
        <f t="shared" si="1"/>
        <v>2</v>
      </c>
      <c r="R31" s="4">
        <f t="shared" si="2"/>
        <v>10602907.5</v>
      </c>
    </row>
    <row r="32" spans="1:18">
      <c r="A32" s="1">
        <v>2</v>
      </c>
      <c r="B32" s="1" t="str">
        <f>"قطعات و لوازم يدكي"</f>
        <v>قطعات و لوازم يدكي</v>
      </c>
      <c r="C32" s="1">
        <v>101</v>
      </c>
      <c r="D32" s="1" t="str">
        <f>"انبار قطعات و لوازم يدكي اصفهان"</f>
        <v>انبار قطعات و لوازم يدكي اصفهان</v>
      </c>
      <c r="E32" s="1" t="str">
        <f>"3112711723"</f>
        <v>3112711723</v>
      </c>
      <c r="F32" s="1" t="str">
        <f>"ايمپيلر نت(impeller nat)"</f>
        <v>ايمپيلر نت(impeller nat)</v>
      </c>
      <c r="G32" s="1" t="str">
        <f>"عدد"</f>
        <v>عدد</v>
      </c>
      <c r="H32" s="1">
        <v>2</v>
      </c>
      <c r="I32" s="1">
        <v>68140363</v>
      </c>
      <c r="J32" s="1">
        <v>0</v>
      </c>
      <c r="K32" s="1">
        <v>0</v>
      </c>
      <c r="L32" s="1">
        <v>0</v>
      </c>
      <c r="M32" s="1">
        <v>0</v>
      </c>
      <c r="O32" s="1">
        <v>97</v>
      </c>
      <c r="P32" s="4">
        <f t="shared" si="0"/>
        <v>68140363</v>
      </c>
      <c r="Q32" s="4">
        <f t="shared" si="1"/>
        <v>2</v>
      </c>
      <c r="R32" s="4">
        <f t="shared" si="2"/>
        <v>34070181.5</v>
      </c>
    </row>
    <row r="33" spans="1:18">
      <c r="A33" s="1">
        <v>2</v>
      </c>
      <c r="B33" s="1" t="str">
        <f>"قطعات و لوازم يدكي"</f>
        <v>قطعات و لوازم يدكي</v>
      </c>
      <c r="C33" s="1">
        <v>101</v>
      </c>
      <c r="D33" s="1" t="str">
        <f>"انبار قطعات و لوازم يدكي اصفهان"</f>
        <v>انبار قطعات و لوازم يدكي اصفهان</v>
      </c>
      <c r="E33" s="1" t="str">
        <f>"3114810573"</f>
        <v>3114810573</v>
      </c>
      <c r="F33" s="1" t="str">
        <f>"اورينگ 68240221"</f>
        <v>اورينگ 68240221</v>
      </c>
      <c r="G33" s="1" t="str">
        <f>"عدد"</f>
        <v>عدد</v>
      </c>
      <c r="H33" s="1">
        <v>4</v>
      </c>
      <c r="I33" s="1">
        <v>4000</v>
      </c>
      <c r="J33" s="1">
        <v>0</v>
      </c>
      <c r="K33" s="1">
        <v>0</v>
      </c>
      <c r="L33" s="1">
        <v>0</v>
      </c>
      <c r="M33" s="1">
        <v>0</v>
      </c>
      <c r="O33" s="1">
        <v>97</v>
      </c>
      <c r="P33" s="4">
        <f t="shared" si="0"/>
        <v>4000</v>
      </c>
      <c r="Q33" s="4">
        <f t="shared" si="1"/>
        <v>4</v>
      </c>
      <c r="R33" s="4">
        <f t="shared" si="2"/>
        <v>1000</v>
      </c>
    </row>
    <row r="34" spans="1:18">
      <c r="A34" s="1">
        <v>2</v>
      </c>
      <c r="B34" s="1" t="str">
        <f>"قطعات و لوازم يدكي"</f>
        <v>قطعات و لوازم يدكي</v>
      </c>
      <c r="C34" s="1">
        <v>101</v>
      </c>
      <c r="D34" s="1" t="str">
        <f>"انبار قطعات و لوازم يدكي اصفهان"</f>
        <v>انبار قطعات و لوازم يدكي اصفهان</v>
      </c>
      <c r="E34" s="1" t="str">
        <f>"3114810593"</f>
        <v>3114810593</v>
      </c>
      <c r="F34" s="1" t="str">
        <f>"اورينگ 72240236"</f>
        <v>اورينگ 72240236</v>
      </c>
      <c r="G34" s="1" t="str">
        <f>"عدد"</f>
        <v>عدد</v>
      </c>
      <c r="H34" s="1">
        <v>10</v>
      </c>
      <c r="I34" s="1">
        <v>30000</v>
      </c>
      <c r="J34" s="1">
        <v>0</v>
      </c>
      <c r="K34" s="1">
        <v>0</v>
      </c>
      <c r="L34" s="1">
        <v>0</v>
      </c>
      <c r="M34" s="1">
        <v>0</v>
      </c>
      <c r="O34" s="1">
        <v>97</v>
      </c>
      <c r="P34" s="4">
        <f t="shared" si="0"/>
        <v>30000</v>
      </c>
      <c r="Q34" s="4">
        <f t="shared" si="1"/>
        <v>10</v>
      </c>
      <c r="R34" s="4">
        <f t="shared" si="2"/>
        <v>3000</v>
      </c>
    </row>
    <row r="35" spans="1:18">
      <c r="A35" s="1">
        <v>2</v>
      </c>
      <c r="B35" s="1" t="str">
        <f>"قطعات و لوازم يدكي"</f>
        <v>قطعات و لوازم يدكي</v>
      </c>
      <c r="C35" s="1">
        <v>101</v>
      </c>
      <c r="D35" s="1" t="str">
        <f>"انبار قطعات و لوازم يدكي اصفهان"</f>
        <v>انبار قطعات و لوازم يدكي اصفهان</v>
      </c>
      <c r="E35" s="1" t="str">
        <f>"3114810663"</f>
        <v>3114810663</v>
      </c>
      <c r="F35" s="1" t="str">
        <f>"اورينگ 208240260"</f>
        <v>اورينگ 208240260</v>
      </c>
      <c r="G35" s="1" t="str">
        <f>"عدد"</f>
        <v>عدد</v>
      </c>
      <c r="H35" s="1">
        <v>8</v>
      </c>
      <c r="I35" s="1">
        <v>480000</v>
      </c>
      <c r="J35" s="1">
        <v>0</v>
      </c>
      <c r="K35" s="1">
        <v>0</v>
      </c>
      <c r="L35" s="1">
        <v>4</v>
      </c>
      <c r="M35" s="1">
        <v>240000</v>
      </c>
      <c r="O35" s="1">
        <v>97</v>
      </c>
      <c r="P35" s="4">
        <f t="shared" si="0"/>
        <v>240000</v>
      </c>
      <c r="Q35" s="4">
        <f t="shared" si="1"/>
        <v>4</v>
      </c>
      <c r="R35" s="4">
        <f t="shared" si="2"/>
        <v>60000</v>
      </c>
    </row>
    <row r="36" spans="1:18">
      <c r="A36" s="1">
        <v>2</v>
      </c>
      <c r="B36" s="1" t="str">
        <f>"قطعات و لوازم يدكي"</f>
        <v>قطعات و لوازم يدكي</v>
      </c>
      <c r="C36" s="1">
        <v>101</v>
      </c>
      <c r="D36" s="1" t="str">
        <f>"انبار قطعات و لوازم يدكي اصفهان"</f>
        <v>انبار قطعات و لوازم يدكي اصفهان</v>
      </c>
      <c r="E36" s="1" t="str">
        <f>"3114812043"</f>
        <v>3114812043</v>
      </c>
      <c r="F36" s="1" t="str">
        <f>"درايو شيفت درج 31"</f>
        <v>درايو شيفت درج 31</v>
      </c>
      <c r="G36" s="1" t="str">
        <f>"عدد"</f>
        <v>عدد</v>
      </c>
      <c r="H36" s="1">
        <v>1</v>
      </c>
      <c r="I36" s="1">
        <v>1315000</v>
      </c>
      <c r="J36" s="1">
        <v>0</v>
      </c>
      <c r="K36" s="1">
        <v>0</v>
      </c>
      <c r="L36" s="1">
        <v>0</v>
      </c>
      <c r="M36" s="1">
        <v>0</v>
      </c>
      <c r="O36" s="1">
        <v>97</v>
      </c>
      <c r="P36" s="4">
        <f t="shared" si="0"/>
        <v>1315000</v>
      </c>
      <c r="Q36" s="4">
        <f t="shared" si="1"/>
        <v>1</v>
      </c>
      <c r="R36" s="4">
        <f t="shared" si="2"/>
        <v>1315000</v>
      </c>
    </row>
    <row r="37" spans="1:18">
      <c r="A37" s="1">
        <v>2</v>
      </c>
      <c r="B37" s="1" t="str">
        <f>"قطعات و لوازم يدكي"</f>
        <v>قطعات و لوازم يدكي</v>
      </c>
      <c r="C37" s="1">
        <v>101</v>
      </c>
      <c r="D37" s="1" t="str">
        <f>"انبار قطعات و لوازم يدكي اصفهان"</f>
        <v>انبار قطعات و لوازم يدكي اصفهان</v>
      </c>
      <c r="E37" s="1" t="str">
        <f>"3114812323"</f>
        <v>3114812323</v>
      </c>
      <c r="F37" s="1" t="str">
        <f>"اورينگ 68"</f>
        <v>اورينگ 68</v>
      </c>
      <c r="G37" s="1" t="str">
        <f>"عدد"</f>
        <v>عدد</v>
      </c>
      <c r="H37" s="1">
        <v>2</v>
      </c>
      <c r="I37" s="1">
        <v>28000</v>
      </c>
      <c r="J37" s="1">
        <v>0</v>
      </c>
      <c r="K37" s="1">
        <v>0</v>
      </c>
      <c r="L37" s="1">
        <v>0</v>
      </c>
      <c r="M37" s="1">
        <v>0</v>
      </c>
      <c r="O37" s="1">
        <v>97</v>
      </c>
      <c r="P37" s="4">
        <f t="shared" si="0"/>
        <v>28000</v>
      </c>
      <c r="Q37" s="4">
        <f t="shared" si="1"/>
        <v>2</v>
      </c>
      <c r="R37" s="4">
        <f t="shared" si="2"/>
        <v>14000</v>
      </c>
    </row>
    <row r="38" spans="1:18">
      <c r="A38" s="1">
        <v>2</v>
      </c>
      <c r="B38" s="1" t="str">
        <f>"قطعات و لوازم يدكي"</f>
        <v>قطعات و لوازم يدكي</v>
      </c>
      <c r="C38" s="1">
        <v>101</v>
      </c>
      <c r="D38" s="1" t="str">
        <f>"انبار قطعات و لوازم يدكي اصفهان"</f>
        <v>انبار قطعات و لوازم يدكي اصفهان</v>
      </c>
      <c r="E38" s="1" t="str">
        <f>"3114812463"</f>
        <v>3114812463</v>
      </c>
      <c r="F38" s="1" t="str">
        <f>"گروب اسكرو 111"</f>
        <v>گروب اسكرو 111</v>
      </c>
      <c r="G38" s="1" t="str">
        <f>"عدد"</f>
        <v>عدد</v>
      </c>
      <c r="H38" s="1">
        <v>3</v>
      </c>
      <c r="I38" s="1">
        <v>3750</v>
      </c>
      <c r="J38" s="1">
        <v>0</v>
      </c>
      <c r="K38" s="1">
        <v>0</v>
      </c>
      <c r="L38" s="1">
        <v>0</v>
      </c>
      <c r="M38" s="1">
        <v>0</v>
      </c>
      <c r="O38" s="1">
        <v>97</v>
      </c>
      <c r="P38" s="4">
        <f t="shared" si="0"/>
        <v>3750</v>
      </c>
      <c r="Q38" s="4">
        <f t="shared" si="1"/>
        <v>3</v>
      </c>
      <c r="R38" s="4">
        <f t="shared" si="2"/>
        <v>1250</v>
      </c>
    </row>
    <row r="39" spans="1:18">
      <c r="A39" s="1">
        <v>1</v>
      </c>
      <c r="B39" s="1" t="str">
        <f>"انواع محصول قير"</f>
        <v>انواع محصول قير</v>
      </c>
      <c r="C39" s="1">
        <v>100</v>
      </c>
      <c r="D39" s="1" t="str">
        <f>"مخازن قير اصفهان"</f>
        <v>مخازن قير اصفهان</v>
      </c>
      <c r="E39" s="1" t="str">
        <f>"0000000077"</f>
        <v>0000000077</v>
      </c>
      <c r="F39" s="1" t="str">
        <f>"قير 60/70 - بشكه 180 كيلوگرمي"</f>
        <v>قير 60/70 - بشكه 180 كيلوگرمي</v>
      </c>
      <c r="G39" s="1" t="str">
        <f>"كيلوگرم"</f>
        <v>كيلوگرم</v>
      </c>
      <c r="H39" s="1">
        <v>676469</v>
      </c>
      <c r="I39" s="1">
        <v>7197418654</v>
      </c>
      <c r="J39" s="1">
        <v>127282932</v>
      </c>
      <c r="K39" s="1">
        <v>2691898506860</v>
      </c>
      <c r="L39" s="1">
        <v>124162801</v>
      </c>
      <c r="M39" s="1">
        <v>2618801877359</v>
      </c>
      <c r="O39" s="1">
        <v>97</v>
      </c>
      <c r="P39" s="4">
        <f t="shared" si="0"/>
        <v>80294048155</v>
      </c>
      <c r="Q39" s="4">
        <f t="shared" si="1"/>
        <v>3796600</v>
      </c>
      <c r="R39" s="4">
        <f t="shared" si="2"/>
        <v>21148.935404045726</v>
      </c>
    </row>
    <row r="40" spans="1:18">
      <c r="A40" s="1">
        <v>1</v>
      </c>
      <c r="B40" s="1" t="str">
        <f>"انواع محصول قير"</f>
        <v>انواع محصول قير</v>
      </c>
      <c r="C40" s="1">
        <v>100</v>
      </c>
      <c r="D40" s="1" t="str">
        <f>"مخازن قير اصفهان"</f>
        <v>مخازن قير اصفهان</v>
      </c>
      <c r="E40" s="1" t="str">
        <f>"1000000007"</f>
        <v>1000000007</v>
      </c>
      <c r="F40" s="1" t="str">
        <f>"قير 40/50 - بشكه 180 كيلوگرمي"</f>
        <v>قير 40/50 - بشكه 180 كيلوگرمي</v>
      </c>
      <c r="G40" s="1" t="str">
        <f>"كيلوگرم"</f>
        <v>كيلوگرم</v>
      </c>
      <c r="H40" s="1">
        <v>5500</v>
      </c>
      <c r="I40" s="1">
        <v>41173578</v>
      </c>
      <c r="J40" s="1">
        <v>0</v>
      </c>
      <c r="K40" s="1">
        <v>0</v>
      </c>
      <c r="L40" s="1">
        <v>0</v>
      </c>
      <c r="M40" s="1">
        <v>0</v>
      </c>
      <c r="O40" s="1">
        <v>97</v>
      </c>
      <c r="P40" s="4">
        <f t="shared" si="0"/>
        <v>41173578</v>
      </c>
      <c r="Q40" s="4">
        <f t="shared" si="1"/>
        <v>5500</v>
      </c>
      <c r="R40" s="4">
        <f t="shared" si="2"/>
        <v>7486.1050909090909</v>
      </c>
    </row>
    <row r="41" spans="1:18">
      <c r="A41" s="1">
        <v>1</v>
      </c>
      <c r="B41" s="1" t="str">
        <f>"انواع محصول قير"</f>
        <v>انواع محصول قير</v>
      </c>
      <c r="C41" s="1">
        <v>104</v>
      </c>
      <c r="D41" s="1" t="str">
        <f>"انبار قير بندرعباس"</f>
        <v>انبار قير بندرعباس</v>
      </c>
      <c r="E41" s="1" t="str">
        <f>"0000000076"</f>
        <v>0000000076</v>
      </c>
      <c r="F41" s="1" t="str">
        <f>"قير 60/70 - فله"</f>
        <v>قير 60/70 - فله</v>
      </c>
      <c r="G41" s="1" t="str">
        <f>"كيلوگرم"</f>
        <v>كيلوگرم</v>
      </c>
      <c r="H41" s="1">
        <v>6155383</v>
      </c>
      <c r="I41" s="1">
        <v>58424217140</v>
      </c>
      <c r="J41" s="1">
        <v>260325098</v>
      </c>
      <c r="K41" s="1">
        <v>4705258021145</v>
      </c>
      <c r="L41" s="1">
        <v>260097464</v>
      </c>
      <c r="M41" s="1">
        <v>4642588840356</v>
      </c>
      <c r="O41" s="1">
        <v>97</v>
      </c>
      <c r="P41" s="4">
        <f t="shared" si="0"/>
        <v>121093397929</v>
      </c>
      <c r="Q41" s="4">
        <f t="shared" si="1"/>
        <v>6383017</v>
      </c>
      <c r="R41" s="4">
        <f t="shared" si="2"/>
        <v>18971.185245002482</v>
      </c>
    </row>
    <row r="42" spans="1:18">
      <c r="A42" s="1">
        <v>1</v>
      </c>
      <c r="B42" s="1" t="str">
        <f>"انواع محصول قير"</f>
        <v>انواع محصول قير</v>
      </c>
      <c r="C42" s="1">
        <v>122</v>
      </c>
      <c r="D42" s="1" t="str">
        <f>"انبار قير بندرعباس(مخازن ملي پخش- هرمزگان)"</f>
        <v>انبار قير بندرعباس(مخازن ملي پخش- هرمزگان)</v>
      </c>
      <c r="E42" s="1" t="str">
        <f>"0000000076"</f>
        <v>0000000076</v>
      </c>
      <c r="F42" s="1" t="str">
        <f>"قير 60/70 - فله"</f>
        <v>قير 60/70 - فله</v>
      </c>
      <c r="G42" s="1" t="str">
        <f>"كيلوگرم"</f>
        <v>كيلوگرم</v>
      </c>
      <c r="H42" s="1">
        <v>0</v>
      </c>
      <c r="I42" s="1">
        <v>0</v>
      </c>
      <c r="J42" s="1">
        <v>4358970</v>
      </c>
      <c r="K42" s="1">
        <v>84506637953</v>
      </c>
      <c r="L42" s="1">
        <v>101880</v>
      </c>
      <c r="M42" s="1">
        <v>1979263010</v>
      </c>
      <c r="O42" s="1">
        <v>97</v>
      </c>
      <c r="P42" s="4">
        <f t="shared" si="0"/>
        <v>82527374943</v>
      </c>
      <c r="Q42" s="4">
        <f t="shared" si="1"/>
        <v>4257090</v>
      </c>
      <c r="R42" s="4">
        <f t="shared" si="2"/>
        <v>19385.865683600769</v>
      </c>
    </row>
    <row r="43" spans="1:18">
      <c r="A43" s="1">
        <v>2</v>
      </c>
      <c r="B43" s="1" t="str">
        <f>"قطعات و لوازم يدكي"</f>
        <v>قطعات و لوازم يدكي</v>
      </c>
      <c r="C43" s="1">
        <v>101</v>
      </c>
      <c r="D43" s="1" t="str">
        <f>"انبار قطعات و لوازم يدكي اصفهان"</f>
        <v>انبار قطعات و لوازم يدكي اصفهان</v>
      </c>
      <c r="E43" s="1" t="str">
        <f>"2201050013"</f>
        <v>2201050013</v>
      </c>
      <c r="F43" s="1" t="str">
        <f>"BRG PLAIN CV2 S1"</f>
        <v>BRG PLAIN CV2 S1</v>
      </c>
      <c r="G43" s="1" t="str">
        <f>"عدد"</f>
        <v>عدد</v>
      </c>
      <c r="H43" s="1">
        <v>4</v>
      </c>
      <c r="I43" s="1">
        <v>418268880</v>
      </c>
      <c r="J43" s="1">
        <v>0</v>
      </c>
      <c r="K43" s="1">
        <v>0</v>
      </c>
      <c r="L43" s="1">
        <v>0</v>
      </c>
      <c r="M43" s="1">
        <v>0</v>
      </c>
      <c r="O43" s="1">
        <v>97</v>
      </c>
      <c r="P43" s="4">
        <f t="shared" si="0"/>
        <v>418268880</v>
      </c>
      <c r="Q43" s="4">
        <f t="shared" si="1"/>
        <v>4</v>
      </c>
      <c r="R43" s="4">
        <f t="shared" si="2"/>
        <v>104567220</v>
      </c>
    </row>
    <row r="44" spans="1:18">
      <c r="A44" s="1">
        <v>2</v>
      </c>
      <c r="B44" s="1" t="str">
        <f>"قطعات و لوازم يدكي"</f>
        <v>قطعات و لوازم يدكي</v>
      </c>
      <c r="C44" s="1">
        <v>101</v>
      </c>
      <c r="D44" s="1" t="str">
        <f>"انبار قطعات و لوازم يدكي اصفهان"</f>
        <v>انبار قطعات و لوازم يدكي اصفهان</v>
      </c>
      <c r="E44" s="1" t="str">
        <f>"2201070013"</f>
        <v>2201070013</v>
      </c>
      <c r="F44" s="1" t="str">
        <f>"PRESSURE  TRNSD"</f>
        <v>PRESSURE  TRNSD</v>
      </c>
      <c r="G44" s="1" t="str">
        <f>"عدد"</f>
        <v>عدد</v>
      </c>
      <c r="H44" s="1">
        <v>6</v>
      </c>
      <c r="I44" s="1">
        <v>30005640</v>
      </c>
      <c r="J44" s="1">
        <v>0</v>
      </c>
      <c r="K44" s="1">
        <v>0</v>
      </c>
      <c r="L44" s="1">
        <v>0</v>
      </c>
      <c r="M44" s="1">
        <v>0</v>
      </c>
      <c r="O44" s="1">
        <v>97</v>
      </c>
      <c r="P44" s="4">
        <f t="shared" si="0"/>
        <v>30005640</v>
      </c>
      <c r="Q44" s="4">
        <f t="shared" si="1"/>
        <v>6</v>
      </c>
      <c r="R44" s="4">
        <f t="shared" si="2"/>
        <v>5000940</v>
      </c>
    </row>
    <row r="45" spans="1:18">
      <c r="A45" s="1">
        <v>2</v>
      </c>
      <c r="B45" s="1" t="str">
        <f>"قطعات و لوازم يدكي"</f>
        <v>قطعات و لوازم يدكي</v>
      </c>
      <c r="C45" s="1">
        <v>101</v>
      </c>
      <c r="D45" s="1" t="str">
        <f>"انبار قطعات و لوازم يدكي اصفهان"</f>
        <v>انبار قطعات و لوازم يدكي اصفهان</v>
      </c>
      <c r="E45" s="1" t="str">
        <f>"2201080033"</f>
        <v>2201080033</v>
      </c>
      <c r="F45" s="1" t="str">
        <f>"KIT DEMISTER C-1601A/B"</f>
        <v>KIT DEMISTER C-1601A/B</v>
      </c>
      <c r="G45" s="1" t="str">
        <f>"عدد"</f>
        <v>عدد</v>
      </c>
      <c r="H45" s="1">
        <v>17</v>
      </c>
      <c r="I45" s="1">
        <v>267039885</v>
      </c>
      <c r="J45" s="1">
        <v>0</v>
      </c>
      <c r="K45" s="1">
        <v>0</v>
      </c>
      <c r="L45" s="1">
        <v>3</v>
      </c>
      <c r="M45" s="1">
        <v>47124686</v>
      </c>
      <c r="O45" s="1">
        <v>97</v>
      </c>
      <c r="P45" s="4">
        <f t="shared" si="0"/>
        <v>219915199</v>
      </c>
      <c r="Q45" s="4">
        <f t="shared" si="1"/>
        <v>14</v>
      </c>
      <c r="R45" s="4">
        <f t="shared" si="2"/>
        <v>15708228.5</v>
      </c>
    </row>
    <row r="46" spans="1:18">
      <c r="A46" s="1">
        <v>2</v>
      </c>
      <c r="B46" s="1" t="str">
        <f>"قطعات و لوازم يدكي"</f>
        <v>قطعات و لوازم يدكي</v>
      </c>
      <c r="C46" s="1">
        <v>101</v>
      </c>
      <c r="D46" s="1" t="str">
        <f>"انبار قطعات و لوازم يدكي اصفهان"</f>
        <v>انبار قطعات و لوازم يدكي اصفهان</v>
      </c>
      <c r="E46" s="1" t="str">
        <f>"2201110013"</f>
        <v>2201110013</v>
      </c>
      <c r="F46" s="1" t="str">
        <f>"CMC POWER SUPPLY"</f>
        <v>CMC POWER SUPPLY</v>
      </c>
      <c r="G46" s="1" t="str">
        <f>"عدد"</f>
        <v>عدد</v>
      </c>
      <c r="H46" s="1">
        <v>4</v>
      </c>
      <c r="I46" s="1">
        <v>22240440</v>
      </c>
      <c r="J46" s="1">
        <v>0</v>
      </c>
      <c r="K46" s="1">
        <v>0</v>
      </c>
      <c r="L46" s="1">
        <v>0</v>
      </c>
      <c r="M46" s="1">
        <v>0</v>
      </c>
      <c r="O46" s="1">
        <v>97</v>
      </c>
      <c r="P46" s="4">
        <f t="shared" si="0"/>
        <v>22240440</v>
      </c>
      <c r="Q46" s="4">
        <f t="shared" si="1"/>
        <v>4</v>
      </c>
      <c r="R46" s="4">
        <f t="shared" si="2"/>
        <v>5560110</v>
      </c>
    </row>
    <row r="47" spans="1:18" hidden="1">
      <c r="A47" s="1">
        <v>2</v>
      </c>
      <c r="B47" s="1" t="str">
        <f>"قطعات و لوازم يدكي"</f>
        <v>قطعات و لوازم يدكي</v>
      </c>
      <c r="C47" s="1">
        <v>101</v>
      </c>
      <c r="D47" s="1" t="str">
        <f>"انبار قطعات و لوازم يدكي اصفهان"</f>
        <v>انبار قطعات و لوازم يدكي اصفهان</v>
      </c>
      <c r="E47" s="1" t="str">
        <f>"2202875333"</f>
        <v>2202875333</v>
      </c>
      <c r="F47" s="1" t="str">
        <f>"سرويس كيت 0123- 2906      OL"</f>
        <v>سرويس كيت 0123- 2906      OL</v>
      </c>
      <c r="G47" s="1" t="str">
        <f>"عدد"</f>
        <v>عدد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O47" s="1">
        <v>97</v>
      </c>
      <c r="P47" s="1">
        <f t="shared" si="0"/>
        <v>0</v>
      </c>
      <c r="Q47" s="1">
        <f t="shared" si="1"/>
        <v>0</v>
      </c>
      <c r="R47" s="1" t="e">
        <f t="shared" si="2"/>
        <v>#DIV/0!</v>
      </c>
    </row>
    <row r="48" spans="1:18" hidden="1">
      <c r="A48" s="1">
        <v>2</v>
      </c>
      <c r="B48" s="1" t="str">
        <f>"قطعات و لوازم يدكي"</f>
        <v>قطعات و لوازم يدكي</v>
      </c>
      <c r="C48" s="1">
        <v>101</v>
      </c>
      <c r="D48" s="1" t="str">
        <f>"انبار قطعات و لوازم يدكي اصفهان"</f>
        <v>انبار قطعات و لوازم يدكي اصفهان</v>
      </c>
      <c r="E48" s="1" t="str">
        <f>"2202875613"</f>
        <v>2202875613</v>
      </c>
      <c r="F48" s="1" t="str">
        <f>"گرول 4163-2250"</f>
        <v>گرول 4163-2250</v>
      </c>
      <c r="G48" s="1" t="str">
        <f>"عدد"</f>
        <v>عدد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O48" s="1">
        <v>97</v>
      </c>
      <c r="P48" s="1">
        <f t="shared" si="0"/>
        <v>0</v>
      </c>
      <c r="Q48" s="1">
        <f t="shared" si="1"/>
        <v>0</v>
      </c>
      <c r="R48" s="1" t="e">
        <f t="shared" si="2"/>
        <v>#DIV/0!</v>
      </c>
    </row>
    <row r="49" spans="1:18" hidden="1">
      <c r="A49" s="1">
        <v>2</v>
      </c>
      <c r="B49" s="1" t="str">
        <f>"قطعات و لوازم يدكي"</f>
        <v>قطعات و لوازم يدكي</v>
      </c>
      <c r="C49" s="1">
        <v>101</v>
      </c>
      <c r="D49" s="1" t="str">
        <f>"انبار قطعات و لوازم يدكي اصفهان"</f>
        <v>انبار قطعات و لوازم يدكي اصفهان</v>
      </c>
      <c r="E49" s="1" t="str">
        <f>"2202875623"</f>
        <v>2202875623</v>
      </c>
      <c r="F49" s="1" t="str">
        <f>"گرول اويل كولر"</f>
        <v>گرول اويل كولر</v>
      </c>
      <c r="G49" s="1" t="str">
        <f>"عدد"</f>
        <v>عدد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O49" s="1">
        <v>97</v>
      </c>
      <c r="P49" s="1">
        <f t="shared" si="0"/>
        <v>0</v>
      </c>
      <c r="Q49" s="1">
        <f t="shared" si="1"/>
        <v>0</v>
      </c>
      <c r="R49" s="1" t="e">
        <f t="shared" si="2"/>
        <v>#DIV/0!</v>
      </c>
    </row>
    <row r="50" spans="1:18" hidden="1">
      <c r="A50" s="1">
        <v>2</v>
      </c>
      <c r="B50" s="1" t="str">
        <f>"قطعات و لوازم يدكي"</f>
        <v>قطعات و لوازم يدكي</v>
      </c>
      <c r="C50" s="1">
        <v>101</v>
      </c>
      <c r="D50" s="1" t="str">
        <f>"انبار قطعات و لوازم يدكي اصفهان"</f>
        <v>انبار قطعات و لوازم يدكي اصفهان</v>
      </c>
      <c r="E50" s="1" t="str">
        <f>"2202876023"</f>
        <v>2202876023</v>
      </c>
      <c r="F50" s="1" t="str">
        <f>"كامپرساتور"</f>
        <v>كامپرساتور</v>
      </c>
      <c r="G50" s="1" t="str">
        <f>"عدد"</f>
        <v>عدد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O50" s="1">
        <v>97</v>
      </c>
      <c r="P50" s="1">
        <f t="shared" si="0"/>
        <v>0</v>
      </c>
      <c r="Q50" s="1">
        <f t="shared" si="1"/>
        <v>0</v>
      </c>
      <c r="R50" s="1" t="e">
        <f t="shared" si="2"/>
        <v>#DIV/0!</v>
      </c>
    </row>
    <row r="51" spans="1:18" hidden="1">
      <c r="A51" s="1">
        <v>2</v>
      </c>
      <c r="B51" s="1" t="str">
        <f>"قطعات و لوازم يدكي"</f>
        <v>قطعات و لوازم يدكي</v>
      </c>
      <c r="C51" s="1">
        <v>101</v>
      </c>
      <c r="D51" s="1" t="str">
        <f>"انبار قطعات و لوازم يدكي اصفهان"</f>
        <v>انبار قطعات و لوازم يدكي اصفهان</v>
      </c>
      <c r="E51" s="1" t="str">
        <f>"2202877113"</f>
        <v>2202877113</v>
      </c>
      <c r="F51" s="1" t="str">
        <f>"موتور اند كاپلينگ بوفر"</f>
        <v>موتور اند كاپلينگ بوفر</v>
      </c>
      <c r="G51" s="1" t="str">
        <f>"عدد"</f>
        <v>عدد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O51" s="1">
        <v>97</v>
      </c>
      <c r="P51" s="1">
        <f t="shared" si="0"/>
        <v>0</v>
      </c>
      <c r="Q51" s="1">
        <f t="shared" si="1"/>
        <v>0</v>
      </c>
      <c r="R51" s="1" t="e">
        <f t="shared" si="2"/>
        <v>#DIV/0!</v>
      </c>
    </row>
    <row r="52" spans="1:18" hidden="1">
      <c r="A52" s="1">
        <v>2</v>
      </c>
      <c r="B52" s="1" t="str">
        <f>"قطعات و لوازم يدكي"</f>
        <v>قطعات و لوازم يدكي</v>
      </c>
      <c r="C52" s="1">
        <v>101</v>
      </c>
      <c r="D52" s="1" t="str">
        <f>"انبار قطعات و لوازم يدكي اصفهان"</f>
        <v>انبار قطعات و لوازم يدكي اصفهان</v>
      </c>
      <c r="E52" s="1" t="str">
        <f>"2202877123"</f>
        <v>2202877123</v>
      </c>
      <c r="F52" s="1" t="str">
        <f>"كاپلينگ هالف"</f>
        <v>كاپلينگ هالف</v>
      </c>
      <c r="G52" s="1" t="str">
        <f>"عدد"</f>
        <v>عدد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O52" s="1">
        <v>97</v>
      </c>
      <c r="P52" s="1">
        <f t="shared" si="0"/>
        <v>0</v>
      </c>
      <c r="Q52" s="1">
        <f t="shared" si="1"/>
        <v>0</v>
      </c>
      <c r="R52" s="1" t="e">
        <f t="shared" si="2"/>
        <v>#DIV/0!</v>
      </c>
    </row>
    <row r="53" spans="1:18" hidden="1">
      <c r="A53" s="1">
        <v>2</v>
      </c>
      <c r="B53" s="1" t="str">
        <f>"قطعات و لوازم يدكي"</f>
        <v>قطعات و لوازم يدكي</v>
      </c>
      <c r="C53" s="1">
        <v>101</v>
      </c>
      <c r="D53" s="1" t="str">
        <f>"انبار قطعات و لوازم يدكي اصفهان"</f>
        <v>انبار قطعات و لوازم يدكي اصفهان</v>
      </c>
      <c r="E53" s="1" t="str">
        <f>"2202879143"</f>
        <v>2202879143</v>
      </c>
      <c r="F53" s="1" t="str">
        <f>"سي كد 2202862153"</f>
        <v>سي كد 2202862153</v>
      </c>
      <c r="G53" s="1" t="str">
        <f>"عدد"</f>
        <v>عدد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O53" s="1">
        <v>97</v>
      </c>
      <c r="P53" s="1">
        <f t="shared" si="0"/>
        <v>0</v>
      </c>
      <c r="Q53" s="1">
        <f t="shared" si="1"/>
        <v>0</v>
      </c>
      <c r="R53" s="1" t="e">
        <f t="shared" si="2"/>
        <v>#DIV/0!</v>
      </c>
    </row>
    <row r="54" spans="1:18" hidden="1">
      <c r="A54" s="1">
        <v>2</v>
      </c>
      <c r="B54" s="1" t="str">
        <f>"قطعات و لوازم يدكي"</f>
        <v>قطعات و لوازم يدكي</v>
      </c>
      <c r="C54" s="1">
        <v>101</v>
      </c>
      <c r="D54" s="1" t="str">
        <f>"انبار قطعات و لوازم يدكي اصفهان"</f>
        <v>انبار قطعات و لوازم يدكي اصفهان</v>
      </c>
      <c r="E54" s="1" t="str">
        <f>"2202879233"</f>
        <v>2202879233</v>
      </c>
      <c r="F54" s="1" t="str">
        <f>"ديكال 1001-1088"</f>
        <v>ديكال 1001-1088</v>
      </c>
      <c r="G54" s="1" t="str">
        <f>"عدد"</f>
        <v>عدد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O54" s="1">
        <v>97</v>
      </c>
      <c r="P54" s="1">
        <f t="shared" si="0"/>
        <v>0</v>
      </c>
      <c r="Q54" s="1">
        <f t="shared" si="1"/>
        <v>0</v>
      </c>
      <c r="R54" s="1" t="e">
        <f t="shared" si="2"/>
        <v>#DIV/0!</v>
      </c>
    </row>
    <row r="55" spans="1:18" hidden="1">
      <c r="A55" s="1">
        <v>2</v>
      </c>
      <c r="B55" s="1" t="str">
        <f>"قطعات و لوازم يدكي"</f>
        <v>قطعات و لوازم يدكي</v>
      </c>
      <c r="C55" s="1">
        <v>101</v>
      </c>
      <c r="D55" s="1" t="str">
        <f>"انبار قطعات و لوازم يدكي اصفهان"</f>
        <v>انبار قطعات و لوازم يدكي اصفهان</v>
      </c>
      <c r="E55" s="1" t="str">
        <f>"2202892062"</f>
        <v>2202892062</v>
      </c>
      <c r="F55" s="1" t="str">
        <f>"blow off cooler (o.ring)1"</f>
        <v>blow off cooler (o.ring)1</v>
      </c>
      <c r="G55" s="1" t="str">
        <f>"عدد"</f>
        <v>عدد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O55" s="1">
        <v>97</v>
      </c>
      <c r="P55" s="1">
        <f t="shared" si="0"/>
        <v>0</v>
      </c>
      <c r="Q55" s="1">
        <f t="shared" si="1"/>
        <v>0</v>
      </c>
      <c r="R55" s="1" t="e">
        <f t="shared" si="2"/>
        <v>#DIV/0!</v>
      </c>
    </row>
    <row r="56" spans="1:18" hidden="1">
      <c r="A56" s="1">
        <v>2</v>
      </c>
      <c r="B56" s="1" t="str">
        <f>"قطعات و لوازم يدكي"</f>
        <v>قطعات و لوازم يدكي</v>
      </c>
      <c r="C56" s="1">
        <v>101</v>
      </c>
      <c r="D56" s="1" t="str">
        <f>"انبار قطعات و لوازم يدكي اصفهان"</f>
        <v>انبار قطعات و لوازم يدكي اصفهان</v>
      </c>
      <c r="E56" s="1" t="str">
        <f>"2202894713"</f>
        <v>2202894713</v>
      </c>
      <c r="F56" s="1" t="str">
        <f>"پرس سوئيچ(press switch)"</f>
        <v>پرس سوئيچ(press switch)</v>
      </c>
      <c r="G56" s="1" t="str">
        <f>"عدد"</f>
        <v>عدد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O56" s="1">
        <v>97</v>
      </c>
      <c r="P56" s="1">
        <f t="shared" si="0"/>
        <v>0</v>
      </c>
      <c r="Q56" s="1">
        <f t="shared" si="1"/>
        <v>0</v>
      </c>
      <c r="R56" s="1" t="e">
        <f t="shared" si="2"/>
        <v>#DIV/0!</v>
      </c>
    </row>
    <row r="57" spans="1:18" hidden="1">
      <c r="A57" s="1">
        <v>2</v>
      </c>
      <c r="B57" s="1" t="str">
        <f>"قطعات و لوازم يدكي"</f>
        <v>قطعات و لوازم يدكي</v>
      </c>
      <c r="C57" s="1">
        <v>101</v>
      </c>
      <c r="D57" s="1" t="str">
        <f>"انبار قطعات و لوازم يدكي اصفهان"</f>
        <v>انبار قطعات و لوازم يدكي اصفهان</v>
      </c>
      <c r="E57" s="1" t="str">
        <f>"2202899152"</f>
        <v>2202899152</v>
      </c>
      <c r="F57" s="1" t="str">
        <f>"temp switch 915"</f>
        <v>temp switch 915</v>
      </c>
      <c r="G57" s="1" t="str">
        <f>"عدد"</f>
        <v>عدد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O57" s="1">
        <v>97</v>
      </c>
      <c r="P57" s="1">
        <f t="shared" si="0"/>
        <v>0</v>
      </c>
      <c r="Q57" s="1">
        <f t="shared" si="1"/>
        <v>0</v>
      </c>
      <c r="R57" s="1" t="e">
        <f t="shared" si="2"/>
        <v>#DIV/0!</v>
      </c>
    </row>
    <row r="58" spans="1:18">
      <c r="A58" s="1">
        <v>2</v>
      </c>
      <c r="B58" s="1" t="str">
        <f>"قطعات و لوازم يدكي"</f>
        <v>قطعات و لوازم يدكي</v>
      </c>
      <c r="C58" s="1">
        <v>101</v>
      </c>
      <c r="D58" s="1" t="str">
        <f>"انبار قطعات و لوازم يدكي اصفهان"</f>
        <v>انبار قطعات و لوازم يدكي اصفهان</v>
      </c>
      <c r="E58" s="1" t="str">
        <f>"2301021073"</f>
        <v>2301021073</v>
      </c>
      <c r="F58" s="1" t="str">
        <f>"STABILIZER PUMP-REP.SET-MICROPUMP SERIES 200"</f>
        <v>STABILIZER PUMP-REP.SET-MICROPUMP SERIES 200</v>
      </c>
      <c r="G58" s="1" t="str">
        <f>"ST"</f>
        <v>ST</v>
      </c>
      <c r="H58" s="1">
        <v>1</v>
      </c>
      <c r="I58" s="1">
        <v>15639855</v>
      </c>
      <c r="J58" s="1">
        <v>0</v>
      </c>
      <c r="K58" s="1">
        <v>0</v>
      </c>
      <c r="L58" s="1">
        <v>0</v>
      </c>
      <c r="M58" s="1">
        <v>0</v>
      </c>
      <c r="O58" s="1">
        <v>97</v>
      </c>
      <c r="P58" s="4">
        <f t="shared" si="0"/>
        <v>15639855</v>
      </c>
      <c r="Q58" s="4">
        <f t="shared" si="1"/>
        <v>1</v>
      </c>
      <c r="R58" s="4">
        <f t="shared" si="2"/>
        <v>15639855</v>
      </c>
    </row>
    <row r="59" spans="1:18">
      <c r="A59" s="1">
        <v>2</v>
      </c>
      <c r="B59" s="1" t="str">
        <f>"قطعات و لوازم يدكي"</f>
        <v>قطعات و لوازم يدكي</v>
      </c>
      <c r="C59" s="1">
        <v>101</v>
      </c>
      <c r="D59" s="1" t="str">
        <f>"انبار قطعات و لوازم يدكي اصفهان"</f>
        <v>انبار قطعات و لوازم يدكي اصفهان</v>
      </c>
      <c r="E59" s="1" t="str">
        <f>"2441490713"</f>
        <v>2441490713</v>
      </c>
      <c r="F59" s="1" t="str">
        <f>"پينون"</f>
        <v>پينون</v>
      </c>
      <c r="G59" s="1" t="str">
        <f>"عدد"</f>
        <v>عدد</v>
      </c>
      <c r="H59" s="1">
        <v>1</v>
      </c>
      <c r="I59" s="1">
        <v>167323</v>
      </c>
      <c r="J59" s="1">
        <v>0</v>
      </c>
      <c r="K59" s="1">
        <v>0</v>
      </c>
      <c r="L59" s="1">
        <v>0</v>
      </c>
      <c r="M59" s="1">
        <v>0</v>
      </c>
      <c r="O59" s="1">
        <v>97</v>
      </c>
      <c r="P59" s="4">
        <f t="shared" si="0"/>
        <v>167323</v>
      </c>
      <c r="Q59" s="4">
        <f t="shared" si="1"/>
        <v>1</v>
      </c>
      <c r="R59" s="4">
        <f t="shared" si="2"/>
        <v>167323</v>
      </c>
    </row>
    <row r="60" spans="1:18">
      <c r="A60" s="1">
        <v>2</v>
      </c>
      <c r="B60" s="1" t="str">
        <f>"قطعات و لوازم يدكي"</f>
        <v>قطعات و لوازم يدكي</v>
      </c>
      <c r="C60" s="1">
        <v>101</v>
      </c>
      <c r="D60" s="1" t="str">
        <f>"انبار قطعات و لوازم يدكي اصفهان"</f>
        <v>انبار قطعات و لوازم يدكي اصفهان</v>
      </c>
      <c r="E60" s="1" t="str">
        <f>"2441490743"</f>
        <v>2441490743</v>
      </c>
      <c r="F60" s="1" t="str">
        <f>"نوز-2943بي6"</f>
        <v>نوز-2943بي6</v>
      </c>
      <c r="G60" s="1" t="str">
        <f>"عدد"</f>
        <v>عدد</v>
      </c>
      <c r="H60" s="1">
        <v>1</v>
      </c>
      <c r="I60" s="1">
        <v>2524</v>
      </c>
      <c r="J60" s="1">
        <v>0</v>
      </c>
      <c r="K60" s="1">
        <v>0</v>
      </c>
      <c r="L60" s="1">
        <v>0</v>
      </c>
      <c r="M60" s="1">
        <v>0</v>
      </c>
      <c r="O60" s="1">
        <v>97</v>
      </c>
      <c r="P60" s="4">
        <f t="shared" si="0"/>
        <v>2524</v>
      </c>
      <c r="Q60" s="4">
        <f t="shared" si="1"/>
        <v>1</v>
      </c>
      <c r="R60" s="4">
        <f t="shared" si="2"/>
        <v>2524</v>
      </c>
    </row>
    <row r="61" spans="1:18" hidden="1">
      <c r="A61" s="1">
        <v>2</v>
      </c>
      <c r="B61" s="1" t="str">
        <f>"قطعات و لوازم يدكي"</f>
        <v>قطعات و لوازم يدكي</v>
      </c>
      <c r="C61" s="1">
        <v>101</v>
      </c>
      <c r="D61" s="1" t="str">
        <f>"انبار قطعات و لوازم يدكي اصفهان"</f>
        <v>انبار قطعات و لوازم يدكي اصفهان</v>
      </c>
      <c r="E61" s="1" t="str">
        <f>"2441490923"</f>
        <v>2441490923</v>
      </c>
      <c r="F61" s="1" t="str">
        <f>"ايست استگ روتر"</f>
        <v>ايست استگ روتر</v>
      </c>
      <c r="G61" s="1" t="str">
        <f>"عدد"</f>
        <v>عدد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O61" s="1">
        <v>97</v>
      </c>
      <c r="P61" s="1">
        <f t="shared" si="0"/>
        <v>0</v>
      </c>
      <c r="Q61" s="1">
        <f t="shared" si="1"/>
        <v>0</v>
      </c>
      <c r="R61" s="1" t="e">
        <f t="shared" si="2"/>
        <v>#DIV/0!</v>
      </c>
    </row>
    <row r="62" spans="1:18" hidden="1">
      <c r="A62" s="1">
        <v>2</v>
      </c>
      <c r="B62" s="1" t="str">
        <f>"قطعات و لوازم يدكي"</f>
        <v>قطعات و لوازم يدكي</v>
      </c>
      <c r="C62" s="1">
        <v>101</v>
      </c>
      <c r="D62" s="1" t="str">
        <f>"انبار قطعات و لوازم يدكي اصفهان"</f>
        <v>انبار قطعات و لوازم يدكي اصفهان</v>
      </c>
      <c r="E62" s="1" t="str">
        <f>"2441490943"</f>
        <v>2441490943</v>
      </c>
      <c r="F62" s="1" t="str">
        <f>"2نداستگ روتر اسيمبلي"</f>
        <v>2نداستگ روتر اسيمبلي</v>
      </c>
      <c r="G62" s="1" t="str">
        <f>"عدد"</f>
        <v>عدد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O62" s="1">
        <v>97</v>
      </c>
      <c r="P62" s="1">
        <f t="shared" si="0"/>
        <v>0</v>
      </c>
      <c r="Q62" s="1">
        <f t="shared" si="1"/>
        <v>0</v>
      </c>
      <c r="R62" s="1" t="e">
        <f t="shared" si="2"/>
        <v>#DIV/0!</v>
      </c>
    </row>
    <row r="63" spans="1:18">
      <c r="A63" s="1">
        <v>2</v>
      </c>
      <c r="B63" s="1" t="str">
        <f>"قطعات و لوازم يدكي"</f>
        <v>قطعات و لوازم يدكي</v>
      </c>
      <c r="C63" s="1">
        <v>101</v>
      </c>
      <c r="D63" s="1" t="str">
        <f>"انبار قطعات و لوازم يدكي اصفهان"</f>
        <v>انبار قطعات و لوازم يدكي اصفهان</v>
      </c>
      <c r="E63" s="1" t="str">
        <f>"3100000001"</f>
        <v>3100000001</v>
      </c>
      <c r="F63" s="1" t="str">
        <f>"اسنپ رينگ p-1601"</f>
        <v>اسنپ رينگ p-1601</v>
      </c>
      <c r="G63" s="1" t="str">
        <f>"عدد"</f>
        <v>عدد</v>
      </c>
      <c r="H63" s="1">
        <v>50</v>
      </c>
      <c r="I63" s="1">
        <v>85000</v>
      </c>
      <c r="J63" s="1">
        <v>0</v>
      </c>
      <c r="K63" s="1">
        <v>0</v>
      </c>
      <c r="L63" s="1">
        <v>0</v>
      </c>
      <c r="M63" s="1">
        <v>0</v>
      </c>
      <c r="O63" s="1">
        <v>97</v>
      </c>
      <c r="P63" s="4">
        <f t="shared" si="0"/>
        <v>85000</v>
      </c>
      <c r="Q63" s="4">
        <f t="shared" si="1"/>
        <v>50</v>
      </c>
      <c r="R63" s="4">
        <f t="shared" si="2"/>
        <v>1700</v>
      </c>
    </row>
    <row r="64" spans="1:18">
      <c r="A64" s="1">
        <v>2</v>
      </c>
      <c r="B64" s="1" t="str">
        <f>"قطعات و لوازم يدكي"</f>
        <v>قطعات و لوازم يدكي</v>
      </c>
      <c r="C64" s="1">
        <v>101</v>
      </c>
      <c r="D64" s="1" t="str">
        <f>"انبار قطعات و لوازم يدكي اصفهان"</f>
        <v>انبار قطعات و لوازم يدكي اصفهان</v>
      </c>
      <c r="E64" s="1" t="str">
        <f>"3101020013"</f>
        <v>3101020013</v>
      </c>
      <c r="F64" s="1" t="str">
        <f>"BALL BEARING 3307"</f>
        <v>BALL BEARING 3307</v>
      </c>
      <c r="G64" s="1" t="str">
        <f>"عدد"</f>
        <v>عدد</v>
      </c>
      <c r="H64" s="1">
        <v>8</v>
      </c>
      <c r="I64" s="1">
        <v>11128890</v>
      </c>
      <c r="J64" s="1">
        <v>15</v>
      </c>
      <c r="K64" s="1">
        <v>90000000</v>
      </c>
      <c r="L64" s="1">
        <v>4</v>
      </c>
      <c r="M64" s="1">
        <v>5564445</v>
      </c>
      <c r="O64" s="1">
        <v>97</v>
      </c>
      <c r="P64" s="4">
        <f t="shared" si="0"/>
        <v>95564445</v>
      </c>
      <c r="Q64" s="4">
        <f t="shared" si="1"/>
        <v>19</v>
      </c>
      <c r="R64" s="4">
        <f t="shared" si="2"/>
        <v>5029707.6315789474</v>
      </c>
    </row>
    <row r="65" spans="1:18">
      <c r="A65" s="1">
        <v>2</v>
      </c>
      <c r="B65" s="1" t="str">
        <f>"قطعات و لوازم يدكي"</f>
        <v>قطعات و لوازم يدكي</v>
      </c>
      <c r="C65" s="1">
        <v>101</v>
      </c>
      <c r="D65" s="1" t="str">
        <f>"انبار قطعات و لوازم يدكي اصفهان"</f>
        <v>انبار قطعات و لوازم يدكي اصفهان</v>
      </c>
      <c r="E65" s="1" t="str">
        <f>"3101070013"</f>
        <v>3101070013</v>
      </c>
      <c r="F65" s="1" t="str">
        <f>"SHIM"</f>
        <v>SHIM</v>
      </c>
      <c r="G65" s="1" t="str">
        <f>"عدد"</f>
        <v>عدد</v>
      </c>
      <c r="H65" s="1">
        <v>4</v>
      </c>
      <c r="I65" s="1">
        <v>559200</v>
      </c>
      <c r="J65" s="1">
        <v>0</v>
      </c>
      <c r="K65" s="1">
        <v>0</v>
      </c>
      <c r="L65" s="1">
        <v>0</v>
      </c>
      <c r="M65" s="1">
        <v>0</v>
      </c>
      <c r="O65" s="1">
        <v>97</v>
      </c>
      <c r="P65" s="4">
        <f t="shared" si="0"/>
        <v>559200</v>
      </c>
      <c r="Q65" s="4">
        <f t="shared" si="1"/>
        <v>4</v>
      </c>
      <c r="R65" s="4">
        <f t="shared" si="2"/>
        <v>139800</v>
      </c>
    </row>
    <row r="66" spans="1:18">
      <c r="A66" s="1">
        <v>2</v>
      </c>
      <c r="B66" s="1" t="str">
        <f>"قطعات و لوازم يدكي"</f>
        <v>قطعات و لوازم يدكي</v>
      </c>
      <c r="C66" s="1">
        <v>101</v>
      </c>
      <c r="D66" s="1" t="str">
        <f>"انبار قطعات و لوازم يدكي اصفهان"</f>
        <v>انبار قطعات و لوازم يدكي اصفهان</v>
      </c>
      <c r="E66" s="1" t="str">
        <f>"3101080013"</f>
        <v>3101080013</v>
      </c>
      <c r="F66" s="1" t="str">
        <f>"KEY"</f>
        <v>KEY</v>
      </c>
      <c r="G66" s="1" t="str">
        <f>"عدد"</f>
        <v>عدد</v>
      </c>
      <c r="H66" s="1">
        <v>2</v>
      </c>
      <c r="I66" s="1">
        <v>279600</v>
      </c>
      <c r="J66" s="1">
        <v>0</v>
      </c>
      <c r="K66" s="1">
        <v>0</v>
      </c>
      <c r="L66" s="1">
        <v>0</v>
      </c>
      <c r="M66" s="1">
        <v>0</v>
      </c>
      <c r="O66" s="1">
        <v>97</v>
      </c>
      <c r="P66" s="4">
        <f t="shared" si="0"/>
        <v>279600</v>
      </c>
      <c r="Q66" s="4">
        <f t="shared" si="1"/>
        <v>2</v>
      </c>
      <c r="R66" s="4">
        <f t="shared" si="2"/>
        <v>139800</v>
      </c>
    </row>
    <row r="67" spans="1:18">
      <c r="A67" s="1">
        <v>2</v>
      </c>
      <c r="B67" s="1" t="str">
        <f>"قطعات و لوازم يدكي"</f>
        <v>قطعات و لوازم يدكي</v>
      </c>
      <c r="C67" s="1">
        <v>101</v>
      </c>
      <c r="D67" s="1" t="str">
        <f>"انبار قطعات و لوازم يدكي اصفهان"</f>
        <v>انبار قطعات و لوازم يدكي اصفهان</v>
      </c>
      <c r="E67" s="1" t="str">
        <f>"3101140043"</f>
        <v>3101140043</v>
      </c>
      <c r="F67" s="1" t="str">
        <f>"گلند پکينگ (P-1605)"</f>
        <v>گلند پکينگ (P-1605)</v>
      </c>
      <c r="G67" s="1" t="str">
        <f>"عدد"</f>
        <v>عدد</v>
      </c>
      <c r="H67" s="1">
        <v>10</v>
      </c>
      <c r="I67" s="1">
        <v>400000</v>
      </c>
      <c r="J67" s="1">
        <v>0</v>
      </c>
      <c r="K67" s="1">
        <v>0</v>
      </c>
      <c r="L67" s="1">
        <v>0</v>
      </c>
      <c r="M67" s="1">
        <v>0</v>
      </c>
      <c r="O67" s="1">
        <v>97</v>
      </c>
      <c r="P67" s="4">
        <f t="shared" ref="P67:P130" si="3">I67+K67-M67</f>
        <v>400000</v>
      </c>
      <c r="Q67" s="4">
        <f t="shared" ref="Q67:Q130" si="4">H67+J67-L67</f>
        <v>10</v>
      </c>
      <c r="R67" s="4">
        <f t="shared" ref="R67:R130" si="5">P67/Q67</f>
        <v>40000</v>
      </c>
    </row>
    <row r="68" spans="1:18">
      <c r="A68" s="1">
        <v>2</v>
      </c>
      <c r="B68" s="1" t="str">
        <f>"قطعات و لوازم يدكي"</f>
        <v>قطعات و لوازم يدكي</v>
      </c>
      <c r="C68" s="1">
        <v>101</v>
      </c>
      <c r="D68" s="1" t="str">
        <f>"انبار قطعات و لوازم يدكي اصفهان"</f>
        <v>انبار قطعات و لوازم يدكي اصفهان</v>
      </c>
      <c r="E68" s="1" t="str">
        <f>"3103022593"</f>
        <v>3103022593</v>
      </c>
      <c r="F68" s="1" t="str">
        <f>"بوش P-1601A.B.C"</f>
        <v>بوش P-1601A.B.C</v>
      </c>
      <c r="G68" s="1" t="str">
        <f>"عدد"</f>
        <v>عدد</v>
      </c>
      <c r="H68" s="1">
        <v>8</v>
      </c>
      <c r="I68" s="1">
        <v>2800000</v>
      </c>
      <c r="J68" s="1">
        <v>0</v>
      </c>
      <c r="K68" s="1">
        <v>0</v>
      </c>
      <c r="L68" s="1">
        <v>0</v>
      </c>
      <c r="M68" s="1">
        <v>0</v>
      </c>
      <c r="O68" s="1">
        <v>97</v>
      </c>
      <c r="P68" s="4">
        <f t="shared" si="3"/>
        <v>2800000</v>
      </c>
      <c r="Q68" s="4">
        <f t="shared" si="4"/>
        <v>8</v>
      </c>
      <c r="R68" s="4">
        <f t="shared" si="5"/>
        <v>350000</v>
      </c>
    </row>
    <row r="69" spans="1:18">
      <c r="A69" s="1">
        <v>2</v>
      </c>
      <c r="B69" s="1" t="str">
        <f>"قطعات و لوازم يدكي"</f>
        <v>قطعات و لوازم يدكي</v>
      </c>
      <c r="C69" s="1">
        <v>101</v>
      </c>
      <c r="D69" s="1" t="str">
        <f>"انبار قطعات و لوازم يدكي اصفهان"</f>
        <v>انبار قطعات و لوازم يدكي اصفهان</v>
      </c>
      <c r="E69" s="1" t="str">
        <f>"3103023369"</f>
        <v>3103023369</v>
      </c>
      <c r="F69" s="1" t="str">
        <f>"مکانيكال سل اسلوت2 606"</f>
        <v>مکانيكال سل اسلوت2 606</v>
      </c>
      <c r="G69" s="1" t="str">
        <f>"عدد"</f>
        <v>عدد</v>
      </c>
      <c r="H69" s="1">
        <v>8</v>
      </c>
      <c r="I69" s="1">
        <v>77036817</v>
      </c>
      <c r="J69" s="1">
        <v>0</v>
      </c>
      <c r="K69" s="1">
        <v>0</v>
      </c>
      <c r="L69" s="1">
        <v>0</v>
      </c>
      <c r="M69" s="1">
        <v>0</v>
      </c>
      <c r="O69" s="1">
        <v>97</v>
      </c>
      <c r="P69" s="4">
        <f t="shared" si="3"/>
        <v>77036817</v>
      </c>
      <c r="Q69" s="4">
        <f t="shared" si="4"/>
        <v>8</v>
      </c>
      <c r="R69" s="4">
        <f t="shared" si="5"/>
        <v>9629602.125</v>
      </c>
    </row>
    <row r="70" spans="1:18">
      <c r="A70" s="1">
        <v>2</v>
      </c>
      <c r="B70" s="1" t="str">
        <f>"قطعات و لوازم يدكي"</f>
        <v>قطعات و لوازم يدكي</v>
      </c>
      <c r="C70" s="1">
        <v>101</v>
      </c>
      <c r="D70" s="1" t="str">
        <f>"انبار قطعات و لوازم يدكي اصفهان"</f>
        <v>انبار قطعات و لوازم يدكي اصفهان</v>
      </c>
      <c r="E70" s="1" t="str">
        <f>"3112711743"</f>
        <v>3112711743</v>
      </c>
      <c r="F70" s="1" t="str">
        <f>"شافت ويت كيز(shaft with keys)"</f>
        <v>شافت ويت كيز(shaft with keys)</v>
      </c>
      <c r="G70" s="1" t="str">
        <f>"عدد"</f>
        <v>عدد</v>
      </c>
      <c r="H70" s="1">
        <v>1</v>
      </c>
      <c r="I70" s="1">
        <v>43458945</v>
      </c>
      <c r="J70" s="1">
        <v>0</v>
      </c>
      <c r="K70" s="1">
        <v>0</v>
      </c>
      <c r="L70" s="1">
        <v>0</v>
      </c>
      <c r="M70" s="1">
        <v>0</v>
      </c>
      <c r="O70" s="1">
        <v>97</v>
      </c>
      <c r="P70" s="4">
        <f t="shared" si="3"/>
        <v>43458945</v>
      </c>
      <c r="Q70" s="4">
        <f t="shared" si="4"/>
        <v>1</v>
      </c>
      <c r="R70" s="4">
        <f t="shared" si="5"/>
        <v>43458945</v>
      </c>
    </row>
    <row r="71" spans="1:18">
      <c r="A71" s="1">
        <v>2</v>
      </c>
      <c r="B71" s="1" t="str">
        <f>"قطعات و لوازم يدكي"</f>
        <v>قطعات و لوازم يدكي</v>
      </c>
      <c r="C71" s="1">
        <v>101</v>
      </c>
      <c r="D71" s="1" t="str">
        <f>"انبار قطعات و لوازم يدكي اصفهان"</f>
        <v>انبار قطعات و لوازم يدكي اصفهان</v>
      </c>
      <c r="E71" s="1" t="str">
        <f>"3112711773"</f>
        <v>3112711773</v>
      </c>
      <c r="F71" s="1" t="str">
        <f>"رينگ اسنپ.(ring snap)"</f>
        <v>رينگ اسنپ.(ring snap)</v>
      </c>
      <c r="G71" s="1" t="str">
        <f>"عدد"</f>
        <v>عدد</v>
      </c>
      <c r="H71" s="1">
        <v>2</v>
      </c>
      <c r="I71" s="1">
        <v>667316</v>
      </c>
      <c r="J71" s="1">
        <v>0</v>
      </c>
      <c r="K71" s="1">
        <v>0</v>
      </c>
      <c r="L71" s="1">
        <v>0</v>
      </c>
      <c r="M71" s="1">
        <v>0</v>
      </c>
      <c r="O71" s="1">
        <v>97</v>
      </c>
      <c r="P71" s="4">
        <f t="shared" si="3"/>
        <v>667316</v>
      </c>
      <c r="Q71" s="4">
        <f t="shared" si="4"/>
        <v>2</v>
      </c>
      <c r="R71" s="4">
        <f t="shared" si="5"/>
        <v>333658</v>
      </c>
    </row>
    <row r="72" spans="1:18" hidden="1">
      <c r="A72" s="1">
        <v>2</v>
      </c>
      <c r="B72" s="1" t="str">
        <f>"قطعات و لوازم يدكي"</f>
        <v>قطعات و لوازم يدكي</v>
      </c>
      <c r="C72" s="1">
        <v>101</v>
      </c>
      <c r="D72" s="1" t="str">
        <f>"انبار قطعات و لوازم يدكي اصفهان"</f>
        <v>انبار قطعات و لوازم يدكي اصفهان</v>
      </c>
      <c r="E72" s="1" t="str">
        <f>"3113300053"</f>
        <v>3113300053</v>
      </c>
      <c r="F72" s="1" t="str">
        <f>"بوش روي شافت پمپ liestritz"</f>
        <v>بوش روي شافت پمپ liestritz</v>
      </c>
      <c r="G72" s="1" t="str">
        <f>"عدد"</f>
        <v>عدد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O72" s="1">
        <v>97</v>
      </c>
      <c r="P72" s="1">
        <f t="shared" si="3"/>
        <v>0</v>
      </c>
      <c r="Q72" s="1">
        <f t="shared" si="4"/>
        <v>0</v>
      </c>
      <c r="R72" s="1" t="e">
        <f t="shared" si="5"/>
        <v>#DIV/0!</v>
      </c>
    </row>
    <row r="73" spans="1:18">
      <c r="A73" s="1">
        <v>2</v>
      </c>
      <c r="B73" s="1" t="str">
        <f>"قطعات و لوازم يدكي"</f>
        <v>قطعات و لوازم يدكي</v>
      </c>
      <c r="C73" s="1">
        <v>101</v>
      </c>
      <c r="D73" s="1" t="str">
        <f>"انبار قطعات و لوازم يدكي اصفهان"</f>
        <v>انبار قطعات و لوازم يدكي اصفهان</v>
      </c>
      <c r="E73" s="1" t="str">
        <f>"3114810143"</f>
        <v>3114810143</v>
      </c>
      <c r="F73" s="1" t="str">
        <f>"اسكرور لفت مت ."</f>
        <v>اسكرور لفت مت .</v>
      </c>
      <c r="G73" s="1" t="str">
        <f>"عدد"</f>
        <v>عدد</v>
      </c>
      <c r="H73" s="1">
        <v>16</v>
      </c>
      <c r="I73" s="1">
        <v>39580952</v>
      </c>
      <c r="J73" s="1">
        <v>0</v>
      </c>
      <c r="K73" s="1">
        <v>0</v>
      </c>
      <c r="L73" s="1">
        <v>0</v>
      </c>
      <c r="M73" s="1">
        <v>0</v>
      </c>
      <c r="O73" s="1">
        <v>97</v>
      </c>
      <c r="P73" s="4">
        <f t="shared" si="3"/>
        <v>39580952</v>
      </c>
      <c r="Q73" s="4">
        <f t="shared" si="4"/>
        <v>16</v>
      </c>
      <c r="R73" s="4">
        <f t="shared" si="5"/>
        <v>2473809.5</v>
      </c>
    </row>
    <row r="74" spans="1:18">
      <c r="A74" s="1">
        <v>2</v>
      </c>
      <c r="B74" s="1" t="str">
        <f>"قطعات و لوازم يدكي"</f>
        <v>قطعات و لوازم يدكي</v>
      </c>
      <c r="C74" s="1">
        <v>101</v>
      </c>
      <c r="D74" s="1" t="str">
        <f>"انبار قطعات و لوازم يدكي اصفهان"</f>
        <v>انبار قطعات و لوازم يدكي اصفهان</v>
      </c>
      <c r="E74" s="1" t="str">
        <f>"3114812743"</f>
        <v>3114812743</v>
      </c>
      <c r="F74" s="1" t="str">
        <f>"اسپاسر رينگ 65"</f>
        <v>اسپاسر رينگ 65</v>
      </c>
      <c r="G74" s="1" t="str">
        <f>"عدد"</f>
        <v>عدد</v>
      </c>
      <c r="H74" s="1">
        <v>2</v>
      </c>
      <c r="I74" s="1">
        <v>60000</v>
      </c>
      <c r="J74" s="1">
        <v>0</v>
      </c>
      <c r="K74" s="1">
        <v>0</v>
      </c>
      <c r="L74" s="1">
        <v>0</v>
      </c>
      <c r="M74" s="1">
        <v>0</v>
      </c>
      <c r="O74" s="1">
        <v>97</v>
      </c>
      <c r="P74" s="4">
        <f t="shared" si="3"/>
        <v>60000</v>
      </c>
      <c r="Q74" s="4">
        <f t="shared" si="4"/>
        <v>2</v>
      </c>
      <c r="R74" s="4">
        <f t="shared" si="5"/>
        <v>30000</v>
      </c>
    </row>
    <row r="75" spans="1:18">
      <c r="A75" s="1">
        <v>2</v>
      </c>
      <c r="B75" s="1" t="str">
        <f>"قطعات و لوازم يدكي"</f>
        <v>قطعات و لوازم يدكي</v>
      </c>
      <c r="C75" s="1">
        <v>101</v>
      </c>
      <c r="D75" s="1" t="str">
        <f>"انبار قطعات و لوازم يدكي اصفهان"</f>
        <v>انبار قطعات و لوازم يدكي اصفهان</v>
      </c>
      <c r="E75" s="1" t="str">
        <f>"3114816043"</f>
        <v>3114816043</v>
      </c>
      <c r="F75" s="1" t="str">
        <f>"اسكورو لفت"</f>
        <v>اسكورو لفت</v>
      </c>
      <c r="G75" s="1" t="str">
        <f>"عدد"</f>
        <v>عدد</v>
      </c>
      <c r="H75" s="1">
        <v>4</v>
      </c>
      <c r="I75" s="1">
        <v>223395274</v>
      </c>
      <c r="J75" s="1">
        <v>0</v>
      </c>
      <c r="K75" s="1">
        <v>0</v>
      </c>
      <c r="L75" s="1">
        <v>0</v>
      </c>
      <c r="M75" s="1">
        <v>0</v>
      </c>
      <c r="O75" s="1">
        <v>97</v>
      </c>
      <c r="P75" s="4">
        <f t="shared" si="3"/>
        <v>223395274</v>
      </c>
      <c r="Q75" s="4">
        <f t="shared" si="4"/>
        <v>4</v>
      </c>
      <c r="R75" s="4">
        <f t="shared" si="5"/>
        <v>55848818.5</v>
      </c>
    </row>
    <row r="76" spans="1:18">
      <c r="A76" s="1">
        <v>1</v>
      </c>
      <c r="B76" s="1" t="str">
        <f>"انواع محصول قير"</f>
        <v>انواع محصول قير</v>
      </c>
      <c r="C76" s="1">
        <v>100</v>
      </c>
      <c r="D76" s="1" t="str">
        <f>"مخازن قير اصفهان"</f>
        <v>مخازن قير اصفهان</v>
      </c>
      <c r="E76" s="1" t="str">
        <f>"0000000078"</f>
        <v>0000000078</v>
      </c>
      <c r="F76" s="1" t="str">
        <f>"قير 60/70 - پلي بگ"</f>
        <v>قير 60/70 - پلي بگ</v>
      </c>
      <c r="G76" s="1" t="str">
        <f>"كيلوگرم"</f>
        <v>كيلوگرم</v>
      </c>
      <c r="H76" s="1">
        <v>343900</v>
      </c>
      <c r="I76" s="1">
        <v>2574685439</v>
      </c>
      <c r="J76" s="1">
        <v>0</v>
      </c>
      <c r="K76" s="1">
        <v>0</v>
      </c>
      <c r="L76" s="1">
        <v>339716</v>
      </c>
      <c r="M76" s="1">
        <v>2543360973</v>
      </c>
      <c r="O76" s="1">
        <v>97</v>
      </c>
      <c r="P76" s="4">
        <f t="shared" si="3"/>
        <v>31324466</v>
      </c>
      <c r="Q76" s="4">
        <f t="shared" si="4"/>
        <v>4184</v>
      </c>
      <c r="R76" s="4">
        <f t="shared" si="5"/>
        <v>7486.7270554493307</v>
      </c>
    </row>
    <row r="77" spans="1:18" hidden="1">
      <c r="A77" s="1">
        <v>1</v>
      </c>
      <c r="B77" s="1" t="str">
        <f>"انواع محصول قير"</f>
        <v>انواع محصول قير</v>
      </c>
      <c r="C77" s="1">
        <v>100</v>
      </c>
      <c r="D77" s="1" t="str">
        <f>"مخازن قير اصفهان"</f>
        <v>مخازن قير اصفهان</v>
      </c>
      <c r="E77" s="1" t="str">
        <f>"0000000093"</f>
        <v>0000000093</v>
      </c>
      <c r="F77" s="1" t="str">
        <f>"قير  PG64-10"</f>
        <v>قير  PG64-10</v>
      </c>
      <c r="G77" s="1" t="str">
        <f>"كيلوگرم"</f>
        <v>كيلوگرم</v>
      </c>
      <c r="H77" s="1">
        <v>0</v>
      </c>
      <c r="I77" s="1">
        <v>0</v>
      </c>
      <c r="J77" s="1">
        <v>24223960</v>
      </c>
      <c r="K77" s="1">
        <v>439872146462</v>
      </c>
      <c r="L77" s="1">
        <v>24223960</v>
      </c>
      <c r="M77" s="1">
        <v>439872146462</v>
      </c>
      <c r="O77" s="1">
        <v>97</v>
      </c>
      <c r="P77" s="1">
        <f t="shared" si="3"/>
        <v>0</v>
      </c>
      <c r="Q77" s="1">
        <f t="shared" si="4"/>
        <v>0</v>
      </c>
      <c r="R77" s="1" t="e">
        <f t="shared" si="5"/>
        <v>#DIV/0!</v>
      </c>
    </row>
    <row r="78" spans="1:18" hidden="1">
      <c r="A78" s="1">
        <v>1</v>
      </c>
      <c r="B78" s="1" t="str">
        <f>"انواع محصول قير"</f>
        <v>انواع محصول قير</v>
      </c>
      <c r="C78" s="1">
        <v>100</v>
      </c>
      <c r="D78" s="1" t="str">
        <f>"مخازن قير اصفهان"</f>
        <v>مخازن قير اصفهان</v>
      </c>
      <c r="E78" s="1" t="str">
        <f>"0000000094"</f>
        <v>0000000094</v>
      </c>
      <c r="F78" s="1" t="str">
        <f>"قير  PG70-10"</f>
        <v>قير  PG70-10</v>
      </c>
      <c r="G78" s="1" t="str">
        <f>"كيلوگرم"</f>
        <v>كيلوگرم</v>
      </c>
      <c r="H78" s="1">
        <v>0</v>
      </c>
      <c r="I78" s="1">
        <v>0</v>
      </c>
      <c r="J78" s="1">
        <v>30886640</v>
      </c>
      <c r="K78" s="1">
        <v>560856797726</v>
      </c>
      <c r="L78" s="1">
        <v>30886640</v>
      </c>
      <c r="M78" s="1">
        <v>560856797726</v>
      </c>
      <c r="O78" s="1">
        <v>97</v>
      </c>
      <c r="P78" s="1">
        <f t="shared" si="3"/>
        <v>0</v>
      </c>
      <c r="Q78" s="1">
        <f t="shared" si="4"/>
        <v>0</v>
      </c>
      <c r="R78" s="1" t="e">
        <f t="shared" si="5"/>
        <v>#DIV/0!</v>
      </c>
    </row>
    <row r="79" spans="1:18">
      <c r="A79" s="1">
        <v>1</v>
      </c>
      <c r="B79" s="1" t="str">
        <f>"انواع محصول قير"</f>
        <v>انواع محصول قير</v>
      </c>
      <c r="C79" s="1">
        <v>100</v>
      </c>
      <c r="D79" s="1" t="str">
        <f>"مخازن قير اصفهان"</f>
        <v>مخازن قير اصفهان</v>
      </c>
      <c r="E79" s="1" t="str">
        <f>"0000000107"</f>
        <v>0000000107</v>
      </c>
      <c r="F79" s="1" t="str">
        <f>"قير 60/70 - بشكه 200 كيلوگرمي"</f>
        <v>قير 60/70 - بشكه 200 كيلوگرمي</v>
      </c>
      <c r="G79" s="1" t="str">
        <f>"كيلوگرم"</f>
        <v>كيلوگرم</v>
      </c>
      <c r="H79" s="1">
        <v>5186</v>
      </c>
      <c r="I79" s="1">
        <v>38839883</v>
      </c>
      <c r="J79" s="1">
        <v>0</v>
      </c>
      <c r="K79" s="1">
        <v>0</v>
      </c>
      <c r="L79" s="1">
        <v>0</v>
      </c>
      <c r="M79" s="1">
        <v>0</v>
      </c>
      <c r="O79" s="1">
        <v>97</v>
      </c>
      <c r="P79" s="4">
        <f t="shared" si="3"/>
        <v>38839883</v>
      </c>
      <c r="Q79" s="4">
        <f t="shared" si="4"/>
        <v>5186</v>
      </c>
      <c r="R79" s="4">
        <f t="shared" si="5"/>
        <v>7489.3719629772468</v>
      </c>
    </row>
    <row r="80" spans="1:18">
      <c r="A80" s="1">
        <v>1</v>
      </c>
      <c r="B80" s="1" t="str">
        <f>"انواع محصول قير"</f>
        <v>انواع محصول قير</v>
      </c>
      <c r="C80" s="1">
        <v>104</v>
      </c>
      <c r="D80" s="1" t="str">
        <f>"انبار قير بندرعباس"</f>
        <v>انبار قير بندرعباس</v>
      </c>
      <c r="E80" s="1" t="str">
        <f>"1000000001"</f>
        <v>1000000001</v>
      </c>
      <c r="F80" s="1" t="str">
        <f>"قير 85/100 - بشكه 180 كيلوگرمي"</f>
        <v>قير 85/100 - بشكه 180 كيلوگرمي</v>
      </c>
      <c r="G80" s="1" t="str">
        <f>"كيلوگرم"</f>
        <v>كيلوگرم</v>
      </c>
      <c r="H80" s="1">
        <v>493907</v>
      </c>
      <c r="I80" s="1">
        <v>5254849311</v>
      </c>
      <c r="J80" s="1">
        <v>3471064</v>
      </c>
      <c r="K80" s="1">
        <v>73409308323</v>
      </c>
      <c r="L80" s="1">
        <v>3953461</v>
      </c>
      <c r="M80" s="1">
        <v>78420733387</v>
      </c>
      <c r="O80" s="1">
        <v>97</v>
      </c>
      <c r="P80" s="4">
        <f t="shared" si="3"/>
        <v>243424247</v>
      </c>
      <c r="Q80" s="4">
        <f t="shared" si="4"/>
        <v>11510</v>
      </c>
      <c r="R80" s="4">
        <f t="shared" si="5"/>
        <v>21148.935447437012</v>
      </c>
    </row>
    <row r="81" spans="1:18" hidden="1">
      <c r="A81" s="1">
        <v>1</v>
      </c>
      <c r="B81" s="1" t="str">
        <f>"انواع محصول قير"</f>
        <v>انواع محصول قير</v>
      </c>
      <c r="C81" s="1">
        <v>204</v>
      </c>
      <c r="D81" s="1" t="str">
        <f>"مخازن قير هميار جي يزد(بندرعباس)"</f>
        <v>مخازن قير هميار جي يزد(بندرعباس)</v>
      </c>
      <c r="E81" s="1" t="str">
        <f>"0000000076"</f>
        <v>0000000076</v>
      </c>
      <c r="F81" s="1" t="str">
        <f>"قير 60/70 - فله"</f>
        <v>قير 60/70 - فله</v>
      </c>
      <c r="G81" s="1" t="str">
        <f>"كيلوگرم"</f>
        <v>كيلوگرم</v>
      </c>
      <c r="H81" s="1">
        <v>0</v>
      </c>
      <c r="I81" s="1">
        <v>0</v>
      </c>
      <c r="J81" s="1">
        <v>3188750</v>
      </c>
      <c r="K81" s="1">
        <v>72851684342</v>
      </c>
      <c r="L81" s="1">
        <v>3188750</v>
      </c>
      <c r="M81" s="1">
        <v>72851684342</v>
      </c>
      <c r="O81" s="1">
        <v>97</v>
      </c>
      <c r="P81" s="1">
        <f t="shared" si="3"/>
        <v>0</v>
      </c>
      <c r="Q81" s="1">
        <f t="shared" si="4"/>
        <v>0</v>
      </c>
      <c r="R81" s="1" t="e">
        <f t="shared" si="5"/>
        <v>#DIV/0!</v>
      </c>
    </row>
    <row r="82" spans="1:18">
      <c r="A82" s="1">
        <v>2</v>
      </c>
      <c r="B82" s="1" t="str">
        <f>"قطعات و لوازم يدكي"</f>
        <v>قطعات و لوازم يدكي</v>
      </c>
      <c r="C82" s="1">
        <v>101</v>
      </c>
      <c r="D82" s="1" t="str">
        <f>"انبار قطعات و لوازم يدكي اصفهان"</f>
        <v>انبار قطعات و لوازم يدكي اصفهان</v>
      </c>
      <c r="E82" s="1" t="str">
        <f>"2201010013"</f>
        <v>2201010013</v>
      </c>
      <c r="F82" s="1" t="str">
        <f>"GASKET KIT CC700 3ST"</f>
        <v>GASKET KIT CC700 3ST</v>
      </c>
      <c r="G82" s="1" t="str">
        <f>"ST"</f>
        <v>ST</v>
      </c>
      <c r="H82" s="1">
        <v>4</v>
      </c>
      <c r="I82" s="1">
        <v>187661880</v>
      </c>
      <c r="J82" s="1">
        <v>0</v>
      </c>
      <c r="K82" s="1">
        <v>0</v>
      </c>
      <c r="L82" s="1">
        <v>1</v>
      </c>
      <c r="M82" s="1">
        <v>46915470</v>
      </c>
      <c r="O82" s="1">
        <v>97</v>
      </c>
      <c r="P82" s="4">
        <f t="shared" si="3"/>
        <v>140746410</v>
      </c>
      <c r="Q82" s="4">
        <f t="shared" si="4"/>
        <v>3</v>
      </c>
      <c r="R82" s="4">
        <f t="shared" si="5"/>
        <v>46915470</v>
      </c>
    </row>
    <row r="83" spans="1:18">
      <c r="A83" s="1">
        <v>2</v>
      </c>
      <c r="B83" s="1" t="str">
        <f>"قطعات و لوازم يدكي"</f>
        <v>قطعات و لوازم يدكي</v>
      </c>
      <c r="C83" s="1">
        <v>101</v>
      </c>
      <c r="D83" s="1" t="str">
        <f>"انبار قطعات و لوازم يدكي اصفهان"</f>
        <v>انبار قطعات و لوازم يدكي اصفهان</v>
      </c>
      <c r="E83" s="1" t="str">
        <f>"2201080013"</f>
        <v>2201080013</v>
      </c>
      <c r="F83" s="1" t="str">
        <f>"AIR ABS 2.FILTER ELEMENT C-1601A/B"</f>
        <v>AIR ABS 2.FILTER ELEMENT C-1601A/B</v>
      </c>
      <c r="G83" s="1" t="str">
        <f>"عدد"</f>
        <v>عدد</v>
      </c>
      <c r="H83" s="1">
        <v>11</v>
      </c>
      <c r="I83" s="1">
        <v>297000000</v>
      </c>
      <c r="J83" s="1">
        <v>0</v>
      </c>
      <c r="K83" s="1">
        <v>0</v>
      </c>
      <c r="L83" s="1">
        <v>4</v>
      </c>
      <c r="M83" s="1">
        <v>108000000</v>
      </c>
      <c r="O83" s="1">
        <v>97</v>
      </c>
      <c r="P83" s="4">
        <f t="shared" si="3"/>
        <v>189000000</v>
      </c>
      <c r="Q83" s="4">
        <f t="shared" si="4"/>
        <v>7</v>
      </c>
      <c r="R83" s="4">
        <f t="shared" si="5"/>
        <v>27000000</v>
      </c>
    </row>
    <row r="84" spans="1:18">
      <c r="A84" s="1">
        <v>2</v>
      </c>
      <c r="B84" s="1" t="str">
        <f>"قطعات و لوازم يدكي"</f>
        <v>قطعات و لوازم يدكي</v>
      </c>
      <c r="C84" s="1">
        <v>101</v>
      </c>
      <c r="D84" s="1" t="str">
        <f>"انبار قطعات و لوازم يدكي اصفهان"</f>
        <v>انبار قطعات و لوازم يدكي اصفهان</v>
      </c>
      <c r="E84" s="1" t="str">
        <f>"2202040013"</f>
        <v>2202040013</v>
      </c>
      <c r="F84" s="1" t="str">
        <f>"Air inter filter cartridge CSTV 1005 /TB C-1004"</f>
        <v>Air inter filter cartridge CSTV 1005 /TB C-1004</v>
      </c>
      <c r="G84" s="1" t="str">
        <f>"عدد"</f>
        <v>عدد</v>
      </c>
      <c r="H84" s="1">
        <v>9</v>
      </c>
      <c r="I84" s="1">
        <v>118800000</v>
      </c>
      <c r="J84" s="1">
        <v>9</v>
      </c>
      <c r="K84" s="1">
        <v>90000000</v>
      </c>
      <c r="L84" s="1">
        <v>12</v>
      </c>
      <c r="M84" s="1">
        <v>141120000</v>
      </c>
      <c r="O84" s="1">
        <v>97</v>
      </c>
      <c r="P84" s="4">
        <f t="shared" si="3"/>
        <v>67680000</v>
      </c>
      <c r="Q84" s="4">
        <f t="shared" si="4"/>
        <v>6</v>
      </c>
      <c r="R84" s="4">
        <f t="shared" si="5"/>
        <v>11280000</v>
      </c>
    </row>
    <row r="85" spans="1:18" hidden="1">
      <c r="A85" s="1">
        <v>2</v>
      </c>
      <c r="B85" s="1" t="str">
        <f>"قطعات و لوازم يدكي"</f>
        <v>قطعات و لوازم يدكي</v>
      </c>
      <c r="C85" s="1">
        <v>101</v>
      </c>
      <c r="D85" s="1" t="str">
        <f>"انبار قطعات و لوازم يدكي اصفهان"</f>
        <v>انبار قطعات و لوازم يدكي اصفهان</v>
      </c>
      <c r="E85" s="1" t="str">
        <f>"2202829722"</f>
        <v>2202829722</v>
      </c>
      <c r="F85" s="1" t="str">
        <f>"مبدل خنك كننده هوا ss.304"</f>
        <v>مبدل خنك كننده هوا ss.304</v>
      </c>
      <c r="G85" s="1" t="str">
        <f>"عدد"</f>
        <v>عدد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O85" s="1">
        <v>97</v>
      </c>
      <c r="P85" s="1">
        <f t="shared" si="3"/>
        <v>0</v>
      </c>
      <c r="Q85" s="1">
        <f t="shared" si="4"/>
        <v>0</v>
      </c>
      <c r="R85" s="1" t="e">
        <f t="shared" si="5"/>
        <v>#DIV/0!</v>
      </c>
    </row>
    <row r="86" spans="1:18" hidden="1">
      <c r="A86" s="1">
        <v>2</v>
      </c>
      <c r="B86" s="1" t="str">
        <f>"قطعات و لوازم يدكي"</f>
        <v>قطعات و لوازم يدكي</v>
      </c>
      <c r="C86" s="1">
        <v>101</v>
      </c>
      <c r="D86" s="1" t="str">
        <f>"انبار قطعات و لوازم يدكي اصفهان"</f>
        <v>انبار قطعات و لوازم يدكي اصفهان</v>
      </c>
      <c r="E86" s="1" t="str">
        <f>"2202875263"</f>
        <v>2202875263</v>
      </c>
      <c r="F86" s="1" t="str">
        <f>"سرويس كيت"</f>
        <v>سرويس كيت</v>
      </c>
      <c r="G86" s="1" t="str">
        <f>"عدد"</f>
        <v>عدد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O86" s="1">
        <v>97</v>
      </c>
      <c r="P86" s="1">
        <f t="shared" si="3"/>
        <v>0</v>
      </c>
      <c r="Q86" s="1">
        <f t="shared" si="4"/>
        <v>0</v>
      </c>
      <c r="R86" s="1" t="e">
        <f t="shared" si="5"/>
        <v>#DIV/0!</v>
      </c>
    </row>
    <row r="87" spans="1:18" hidden="1">
      <c r="A87" s="1">
        <v>2</v>
      </c>
      <c r="B87" s="1" t="str">
        <f>"قطعات و لوازم يدكي"</f>
        <v>قطعات و لوازم يدكي</v>
      </c>
      <c r="C87" s="1">
        <v>101</v>
      </c>
      <c r="D87" s="1" t="str">
        <f>"انبار قطعات و لوازم يدكي اصفهان"</f>
        <v>انبار قطعات و لوازم يدكي اصفهان</v>
      </c>
      <c r="E87" s="1" t="str">
        <f>"2202875823"</f>
        <v>2202875823</v>
      </c>
      <c r="F87" s="1" t="str">
        <f>"اورينگ ديسكچرگ سيلنسر اند بلو اف كلر كن"</f>
        <v>اورينگ ديسكچرگ سيلنسر اند بلو اف كلر كن</v>
      </c>
      <c r="G87" s="1" t="str">
        <f>"عدد"</f>
        <v>عدد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O87" s="1">
        <v>97</v>
      </c>
      <c r="P87" s="1">
        <f t="shared" si="3"/>
        <v>0</v>
      </c>
      <c r="Q87" s="1">
        <f t="shared" si="4"/>
        <v>0</v>
      </c>
      <c r="R87" s="1" t="e">
        <f t="shared" si="5"/>
        <v>#DIV/0!</v>
      </c>
    </row>
    <row r="88" spans="1:18" hidden="1">
      <c r="A88" s="1">
        <v>2</v>
      </c>
      <c r="B88" s="1" t="str">
        <f>"قطعات و لوازم يدكي"</f>
        <v>قطعات و لوازم يدكي</v>
      </c>
      <c r="C88" s="1">
        <v>101</v>
      </c>
      <c r="D88" s="1" t="str">
        <f>"انبار قطعات و لوازم يدكي اصفهان"</f>
        <v>انبار قطعات و لوازم يدكي اصفهان</v>
      </c>
      <c r="E88" s="1" t="str">
        <f>"2202876423"</f>
        <v>2202876423</v>
      </c>
      <c r="F88" s="1" t="str">
        <f>"سيكلن"</f>
        <v>سيكلن</v>
      </c>
      <c r="G88" s="1" t="str">
        <f>"عدد"</f>
        <v>عدد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O88" s="1">
        <v>97</v>
      </c>
      <c r="P88" s="1">
        <f t="shared" si="3"/>
        <v>0</v>
      </c>
      <c r="Q88" s="1">
        <f t="shared" si="4"/>
        <v>0</v>
      </c>
      <c r="R88" s="1" t="e">
        <f t="shared" si="5"/>
        <v>#DIV/0!</v>
      </c>
    </row>
    <row r="89" spans="1:18" hidden="1">
      <c r="A89" s="1">
        <v>2</v>
      </c>
      <c r="B89" s="1" t="str">
        <f>"قطعات و لوازم يدكي"</f>
        <v>قطعات و لوازم يدكي</v>
      </c>
      <c r="C89" s="1">
        <v>101</v>
      </c>
      <c r="D89" s="1" t="str">
        <f>"انبار قطعات و لوازم يدكي اصفهان"</f>
        <v>انبار قطعات و لوازم يدكي اصفهان</v>
      </c>
      <c r="E89" s="1" t="str">
        <f>"2202876443"</f>
        <v>2202876443</v>
      </c>
      <c r="F89" s="1" t="str">
        <f>"سرويسكيت واتر سيستم"</f>
        <v>سرويسكيت واتر سيستم</v>
      </c>
      <c r="G89" s="1" t="str">
        <f>"عدد"</f>
        <v>عدد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O89" s="1">
        <v>97</v>
      </c>
      <c r="P89" s="1">
        <f t="shared" si="3"/>
        <v>0</v>
      </c>
      <c r="Q89" s="1">
        <f t="shared" si="4"/>
        <v>0</v>
      </c>
      <c r="R89" s="1" t="e">
        <f t="shared" si="5"/>
        <v>#DIV/0!</v>
      </c>
    </row>
    <row r="90" spans="1:18" hidden="1">
      <c r="A90" s="1">
        <v>2</v>
      </c>
      <c r="B90" s="1" t="str">
        <f>"قطعات و لوازم يدكي"</f>
        <v>قطعات و لوازم يدكي</v>
      </c>
      <c r="C90" s="1">
        <v>101</v>
      </c>
      <c r="D90" s="1" t="str">
        <f>"انبار قطعات و لوازم يدكي اصفهان"</f>
        <v>انبار قطعات و لوازم يدكي اصفهان</v>
      </c>
      <c r="E90" s="1" t="str">
        <f>"2202876863"</f>
        <v>2202876863</v>
      </c>
      <c r="F90" s="1" t="str">
        <f>"فولوت والو آن لودر"</f>
        <v>فولوت والو آن لودر</v>
      </c>
      <c r="G90" s="1" t="str">
        <f>"عدد"</f>
        <v>عدد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O90" s="1">
        <v>97</v>
      </c>
      <c r="P90" s="1">
        <f t="shared" si="3"/>
        <v>0</v>
      </c>
      <c r="Q90" s="1">
        <f t="shared" si="4"/>
        <v>0</v>
      </c>
      <c r="R90" s="1" t="e">
        <f t="shared" si="5"/>
        <v>#DIV/0!</v>
      </c>
    </row>
    <row r="91" spans="1:18" hidden="1">
      <c r="A91" s="1">
        <v>2</v>
      </c>
      <c r="B91" s="1" t="str">
        <f>"قطعات و لوازم يدكي"</f>
        <v>قطعات و لوازم يدكي</v>
      </c>
      <c r="C91" s="1">
        <v>101</v>
      </c>
      <c r="D91" s="1" t="str">
        <f>"انبار قطعات و لوازم يدكي اصفهان"</f>
        <v>انبار قطعات و لوازم يدكي اصفهان</v>
      </c>
      <c r="E91" s="1" t="str">
        <f>"2202877133"</f>
        <v>2202877133</v>
      </c>
      <c r="F91" s="1" t="str">
        <f>"كاسكت توربين دريو ارانگيمنت"</f>
        <v>كاسكت توربين دريو ارانگيمنت</v>
      </c>
      <c r="G91" s="1" t="str">
        <f>"عدد"</f>
        <v>عدد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O91" s="1">
        <v>97</v>
      </c>
      <c r="P91" s="1">
        <f t="shared" si="3"/>
        <v>0</v>
      </c>
      <c r="Q91" s="1">
        <f t="shared" si="4"/>
        <v>0</v>
      </c>
      <c r="R91" s="1" t="e">
        <f t="shared" si="5"/>
        <v>#DIV/0!</v>
      </c>
    </row>
    <row r="92" spans="1:18" hidden="1">
      <c r="A92" s="1">
        <v>2</v>
      </c>
      <c r="B92" s="1" t="str">
        <f>"قطعات و لوازم يدكي"</f>
        <v>قطعات و لوازم يدكي</v>
      </c>
      <c r="C92" s="1">
        <v>101</v>
      </c>
      <c r="D92" s="1" t="str">
        <f>"انبار قطعات و لوازم يدكي اصفهان"</f>
        <v>انبار قطعات و لوازم يدكي اصفهان</v>
      </c>
      <c r="E92" s="1" t="str">
        <f>"2202877333"</f>
        <v>2202877333</v>
      </c>
      <c r="F92" s="1" t="str">
        <f>"اسپيسر"</f>
        <v>اسپيسر</v>
      </c>
      <c r="G92" s="1" t="str">
        <f>"عدد"</f>
        <v>عدد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O92" s="1">
        <v>97</v>
      </c>
      <c r="P92" s="1">
        <f t="shared" si="3"/>
        <v>0</v>
      </c>
      <c r="Q92" s="1">
        <f t="shared" si="4"/>
        <v>0</v>
      </c>
      <c r="R92" s="1" t="e">
        <f t="shared" si="5"/>
        <v>#DIV/0!</v>
      </c>
    </row>
    <row r="93" spans="1:18" hidden="1">
      <c r="A93" s="1">
        <v>2</v>
      </c>
      <c r="B93" s="1" t="str">
        <f>"قطعات و لوازم يدكي"</f>
        <v>قطعات و لوازم يدكي</v>
      </c>
      <c r="C93" s="1">
        <v>101</v>
      </c>
      <c r="D93" s="1" t="str">
        <f>"انبار قطعات و لوازم يدكي اصفهان"</f>
        <v>انبار قطعات و لوازم يدكي اصفهان</v>
      </c>
      <c r="E93" s="1" t="str">
        <f>"2202879103"</f>
        <v>2202879103</v>
      </c>
      <c r="F93" s="1" t="str">
        <f>"سرويس كيت 0112-2906"</f>
        <v>سرويس كيت 0112-2906</v>
      </c>
      <c r="G93" s="1" t="str">
        <f>"عدد"</f>
        <v>عدد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O93" s="1">
        <v>97</v>
      </c>
      <c r="P93" s="1">
        <f t="shared" si="3"/>
        <v>0</v>
      </c>
      <c r="Q93" s="1">
        <f t="shared" si="4"/>
        <v>0</v>
      </c>
      <c r="R93" s="1" t="e">
        <f t="shared" si="5"/>
        <v>#DIV/0!</v>
      </c>
    </row>
    <row r="94" spans="1:18" hidden="1">
      <c r="A94" s="1">
        <v>2</v>
      </c>
      <c r="B94" s="1" t="str">
        <f>"قطعات و لوازم يدكي"</f>
        <v>قطعات و لوازم يدكي</v>
      </c>
      <c r="C94" s="1">
        <v>101</v>
      </c>
      <c r="D94" s="1" t="str">
        <f>"انبار قطعات و لوازم يدكي اصفهان"</f>
        <v>انبار قطعات و لوازم يدكي اصفهان</v>
      </c>
      <c r="E94" s="1" t="str">
        <f>"2202924023"</f>
        <v>2202924023</v>
      </c>
      <c r="F94" s="1" t="str">
        <f>"diaphragm"</f>
        <v>diaphragm</v>
      </c>
      <c r="G94" s="1" t="str">
        <f>"عدد"</f>
        <v>عدد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O94" s="1">
        <v>97</v>
      </c>
      <c r="P94" s="1">
        <f t="shared" si="3"/>
        <v>0</v>
      </c>
      <c r="Q94" s="1">
        <f t="shared" si="4"/>
        <v>0</v>
      </c>
      <c r="R94" s="1" t="e">
        <f t="shared" si="5"/>
        <v>#DIV/0!</v>
      </c>
    </row>
    <row r="95" spans="1:18">
      <c r="A95" s="1">
        <v>2</v>
      </c>
      <c r="B95" s="1" t="str">
        <f>"قطعات و لوازم يدكي"</f>
        <v>قطعات و لوازم يدكي</v>
      </c>
      <c r="C95" s="1">
        <v>101</v>
      </c>
      <c r="D95" s="1" t="str">
        <f>"انبار قطعات و لوازم يدكي اصفهان"</f>
        <v>انبار قطعات و لوازم يدكي اصفهان</v>
      </c>
      <c r="E95" s="1" t="str">
        <f>"2301021053"</f>
        <v>2301021053</v>
      </c>
      <c r="F95" s="1" t="str">
        <f>"SOLVENT PUPM-PACK.SET-GP 33EMR"</f>
        <v>SOLVENT PUPM-PACK.SET-GP 33EMR</v>
      </c>
      <c r="G95" s="1" t="str">
        <f>"ST"</f>
        <v>ST</v>
      </c>
      <c r="H95" s="1">
        <v>1</v>
      </c>
      <c r="I95" s="1">
        <v>11898225</v>
      </c>
      <c r="J95" s="1">
        <v>0</v>
      </c>
      <c r="K95" s="1">
        <v>0</v>
      </c>
      <c r="L95" s="1">
        <v>0</v>
      </c>
      <c r="M95" s="1">
        <v>0</v>
      </c>
      <c r="O95" s="1">
        <v>97</v>
      </c>
      <c r="P95" s="4">
        <f t="shared" si="3"/>
        <v>11898225</v>
      </c>
      <c r="Q95" s="4">
        <f t="shared" si="4"/>
        <v>1</v>
      </c>
      <c r="R95" s="4">
        <f t="shared" si="5"/>
        <v>11898225</v>
      </c>
    </row>
    <row r="96" spans="1:18">
      <c r="A96" s="1">
        <v>2</v>
      </c>
      <c r="B96" s="1" t="str">
        <f>"قطعات و لوازم يدكي"</f>
        <v>قطعات و لوازم يدكي</v>
      </c>
      <c r="C96" s="1">
        <v>101</v>
      </c>
      <c r="D96" s="1" t="str">
        <f>"انبار قطعات و لوازم يدكي اصفهان"</f>
        <v>انبار قطعات و لوازم يدكي اصفهان</v>
      </c>
      <c r="E96" s="1" t="str">
        <f>"2301021113"</f>
        <v>2301021113</v>
      </c>
      <c r="F96" s="1" t="str">
        <f>"solvent flowmeter flomec omo25s515-211"</f>
        <v>solvent flowmeter flomec omo25s515-211</v>
      </c>
      <c r="G96" s="1" t="str">
        <f>"عدد"</f>
        <v>عدد</v>
      </c>
      <c r="H96" s="1">
        <v>1</v>
      </c>
      <c r="I96" s="1">
        <v>112061974</v>
      </c>
      <c r="J96" s="1">
        <v>0</v>
      </c>
      <c r="K96" s="1">
        <v>0</v>
      </c>
      <c r="L96" s="1">
        <v>0</v>
      </c>
      <c r="M96" s="1">
        <v>0</v>
      </c>
      <c r="O96" s="1">
        <v>97</v>
      </c>
      <c r="P96" s="4">
        <f t="shared" si="3"/>
        <v>112061974</v>
      </c>
      <c r="Q96" s="4">
        <f t="shared" si="4"/>
        <v>1</v>
      </c>
      <c r="R96" s="4">
        <f t="shared" si="5"/>
        <v>112061974</v>
      </c>
    </row>
    <row r="97" spans="1:18">
      <c r="A97" s="1">
        <v>2</v>
      </c>
      <c r="B97" s="1" t="str">
        <f>"قطعات و لوازم يدكي"</f>
        <v>قطعات و لوازم يدكي</v>
      </c>
      <c r="C97" s="1">
        <v>101</v>
      </c>
      <c r="D97" s="1" t="str">
        <f>"انبار قطعات و لوازم يدكي اصفهان"</f>
        <v>انبار قطعات و لوازم يدكي اصفهان</v>
      </c>
      <c r="E97" s="1" t="str">
        <f>"2302030013"</f>
        <v>2302030013</v>
      </c>
      <c r="F97" s="1" t="str">
        <f>"power supply q61p-a2"</f>
        <v>power supply q61p-a2</v>
      </c>
      <c r="G97" s="1" t="str">
        <f>"عدد"</f>
        <v>عدد</v>
      </c>
      <c r="H97" s="1">
        <v>1</v>
      </c>
      <c r="I97" s="1">
        <v>5720977</v>
      </c>
      <c r="J97" s="1">
        <v>0</v>
      </c>
      <c r="K97" s="1">
        <v>0</v>
      </c>
      <c r="L97" s="1">
        <v>0</v>
      </c>
      <c r="M97" s="1">
        <v>0</v>
      </c>
      <c r="O97" s="1">
        <v>97</v>
      </c>
      <c r="P97" s="4">
        <f t="shared" si="3"/>
        <v>5720977</v>
      </c>
      <c r="Q97" s="4">
        <f t="shared" si="4"/>
        <v>1</v>
      </c>
      <c r="R97" s="4">
        <f t="shared" si="5"/>
        <v>5720977</v>
      </c>
    </row>
    <row r="98" spans="1:18">
      <c r="A98" s="1">
        <v>2</v>
      </c>
      <c r="B98" s="1" t="str">
        <f>"قطعات و لوازم يدكي"</f>
        <v>قطعات و لوازم يدكي</v>
      </c>
      <c r="C98" s="1">
        <v>101</v>
      </c>
      <c r="D98" s="1" t="str">
        <f>"انبار قطعات و لوازم يدكي اصفهان"</f>
        <v>انبار قطعات و لوازم يدكي اصفهان</v>
      </c>
      <c r="E98" s="1" t="str">
        <f>"2302030053"</f>
        <v>2302030053</v>
      </c>
      <c r="F98" s="1" t="str">
        <f>"A/D INPUT MODULE Q68ADI"</f>
        <v>A/D INPUT MODULE Q68ADI</v>
      </c>
      <c r="G98" s="1" t="str">
        <f>"عدد"</f>
        <v>عدد</v>
      </c>
      <c r="H98" s="1">
        <v>1</v>
      </c>
      <c r="I98" s="1">
        <v>28382741</v>
      </c>
      <c r="J98" s="1">
        <v>0</v>
      </c>
      <c r="K98" s="1">
        <v>0</v>
      </c>
      <c r="L98" s="1">
        <v>0</v>
      </c>
      <c r="M98" s="1">
        <v>0</v>
      </c>
      <c r="O98" s="1">
        <v>97</v>
      </c>
      <c r="P98" s="4">
        <f t="shared" si="3"/>
        <v>28382741</v>
      </c>
      <c r="Q98" s="4">
        <f t="shared" si="4"/>
        <v>1</v>
      </c>
      <c r="R98" s="4">
        <f t="shared" si="5"/>
        <v>28382741</v>
      </c>
    </row>
    <row r="99" spans="1:18">
      <c r="A99" s="1">
        <v>2</v>
      </c>
      <c r="B99" s="1" t="str">
        <f>"قطعات و لوازم يدكي"</f>
        <v>قطعات و لوازم يدكي</v>
      </c>
      <c r="C99" s="1">
        <v>101</v>
      </c>
      <c r="D99" s="1" t="str">
        <f>"انبار قطعات و لوازم يدكي اصفهان"</f>
        <v>انبار قطعات و لوازم يدكي اصفهان</v>
      </c>
      <c r="E99" s="1" t="str">
        <f>"2302030093"</f>
        <v>2302030093</v>
      </c>
      <c r="F99" s="1" t="str">
        <f>"F/I CONVERTER 2255 B1"</f>
        <v>F/I CONVERTER 2255 B1</v>
      </c>
      <c r="G99" s="1" t="str">
        <f>"عدد"</f>
        <v>عدد</v>
      </c>
      <c r="H99" s="1">
        <v>2</v>
      </c>
      <c r="I99" s="1">
        <v>35469987</v>
      </c>
      <c r="J99" s="1">
        <v>0</v>
      </c>
      <c r="K99" s="1">
        <v>0</v>
      </c>
      <c r="L99" s="1">
        <v>0</v>
      </c>
      <c r="M99" s="1">
        <v>0</v>
      </c>
      <c r="O99" s="1">
        <v>97</v>
      </c>
      <c r="P99" s="4">
        <f t="shared" si="3"/>
        <v>35469987</v>
      </c>
      <c r="Q99" s="4">
        <f t="shared" si="4"/>
        <v>2</v>
      </c>
      <c r="R99" s="4">
        <f t="shared" si="5"/>
        <v>17734993.5</v>
      </c>
    </row>
    <row r="100" spans="1:18">
      <c r="A100" s="1">
        <v>2</v>
      </c>
      <c r="B100" s="1" t="str">
        <f>"قطعات و لوازم يدكي"</f>
        <v>قطعات و لوازم يدكي</v>
      </c>
      <c r="C100" s="1">
        <v>101</v>
      </c>
      <c r="D100" s="1" t="str">
        <f>"انبار قطعات و لوازم يدكي اصفهان"</f>
        <v>انبار قطعات و لوازم يدكي اصفهان</v>
      </c>
      <c r="E100" s="1" t="str">
        <f>"2441490513"</f>
        <v>2441490513</v>
      </c>
      <c r="F100" s="1" t="str">
        <f>"توروست بارينگ سي اس بابيت5ايكس 158"</f>
        <v>توروست بارينگ سي اس بابيت5ايكس 158</v>
      </c>
      <c r="G100" s="1" t="str">
        <f>"عدد"</f>
        <v>عدد</v>
      </c>
      <c r="H100" s="1">
        <v>7</v>
      </c>
      <c r="I100" s="1">
        <v>22565223</v>
      </c>
      <c r="J100" s="1">
        <v>0</v>
      </c>
      <c r="K100" s="1">
        <v>0</v>
      </c>
      <c r="L100" s="1">
        <v>0</v>
      </c>
      <c r="M100" s="1">
        <v>0</v>
      </c>
      <c r="O100" s="1">
        <v>97</v>
      </c>
      <c r="P100" s="4">
        <f t="shared" si="3"/>
        <v>22565223</v>
      </c>
      <c r="Q100" s="4">
        <f t="shared" si="4"/>
        <v>7</v>
      </c>
      <c r="R100" s="4">
        <f t="shared" si="5"/>
        <v>3223603.2857142859</v>
      </c>
    </row>
    <row r="101" spans="1:18" hidden="1">
      <c r="A101" s="1">
        <v>2</v>
      </c>
      <c r="B101" s="1" t="str">
        <f>"قطعات و لوازم يدكي"</f>
        <v>قطعات و لوازم يدكي</v>
      </c>
      <c r="C101" s="1">
        <v>101</v>
      </c>
      <c r="D101" s="1" t="str">
        <f>"انبار قطعات و لوازم يدكي اصفهان"</f>
        <v>انبار قطعات و لوازم يدكي اصفهان</v>
      </c>
      <c r="E101" s="1" t="str">
        <f>"2441490963"</f>
        <v>2441490963</v>
      </c>
      <c r="F101" s="1" t="str">
        <f>"3 ار دي استيگ روتر اسيمبلي"</f>
        <v>3 ار دي استيگ روتر اسيمبلي</v>
      </c>
      <c r="G101" s="1" t="str">
        <f>"عدد"</f>
        <v>عدد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O101" s="1">
        <v>97</v>
      </c>
      <c r="P101" s="1">
        <f t="shared" si="3"/>
        <v>0</v>
      </c>
      <c r="Q101" s="1">
        <f t="shared" si="4"/>
        <v>0</v>
      </c>
      <c r="R101" s="1" t="e">
        <f t="shared" si="5"/>
        <v>#DIV/0!</v>
      </c>
    </row>
    <row r="102" spans="1:18" hidden="1">
      <c r="A102" s="1">
        <v>2</v>
      </c>
      <c r="B102" s="1" t="str">
        <f>"قطعات و لوازم يدكي"</f>
        <v>قطعات و لوازم يدكي</v>
      </c>
      <c r="C102" s="1">
        <v>101</v>
      </c>
      <c r="D102" s="1" t="str">
        <f>"انبار قطعات و لوازم يدكي اصفهان"</f>
        <v>انبار قطعات و لوازم يدكي اصفهان</v>
      </c>
      <c r="E102" s="1" t="str">
        <f>"3001010032"</f>
        <v>3001010032</v>
      </c>
      <c r="F102" s="1" t="str">
        <f>"حلب خالي 20کيلويي"</f>
        <v>حلب خالي 20کيلويي</v>
      </c>
      <c r="G102" s="1" t="str">
        <f>"عدد"</f>
        <v>عدد</v>
      </c>
      <c r="H102" s="1">
        <v>0</v>
      </c>
      <c r="I102" s="1">
        <v>0</v>
      </c>
      <c r="J102" s="1">
        <v>100</v>
      </c>
      <c r="K102" s="1">
        <v>9500000</v>
      </c>
      <c r="L102" s="1">
        <v>100</v>
      </c>
      <c r="M102" s="1">
        <v>9500000</v>
      </c>
      <c r="O102" s="1">
        <v>97</v>
      </c>
      <c r="P102" s="1">
        <f t="shared" si="3"/>
        <v>0</v>
      </c>
      <c r="Q102" s="1">
        <f t="shared" si="4"/>
        <v>0</v>
      </c>
      <c r="R102" s="1" t="e">
        <f t="shared" si="5"/>
        <v>#DIV/0!</v>
      </c>
    </row>
    <row r="103" spans="1:18">
      <c r="A103" s="1">
        <v>2</v>
      </c>
      <c r="B103" s="1" t="str">
        <f>"قطعات و لوازم يدكي"</f>
        <v>قطعات و لوازم يدكي</v>
      </c>
      <c r="C103" s="1">
        <v>101</v>
      </c>
      <c r="D103" s="1" t="str">
        <f>"انبار قطعات و لوازم يدكي اصفهان"</f>
        <v>انبار قطعات و لوازم يدكي اصفهان</v>
      </c>
      <c r="E103" s="1" t="str">
        <f>"3101050053"</f>
        <v>3101050053</v>
      </c>
      <c r="F103" s="1" t="str">
        <f>"SOCKET SCREW."</f>
        <v>SOCKET SCREW.</v>
      </c>
      <c r="G103" s="1" t="str">
        <f>"عدد"</f>
        <v>عدد</v>
      </c>
      <c r="H103" s="1">
        <v>6</v>
      </c>
      <c r="I103" s="1">
        <v>419400</v>
      </c>
      <c r="J103" s="1">
        <v>0</v>
      </c>
      <c r="K103" s="1">
        <v>0</v>
      </c>
      <c r="L103" s="1">
        <v>0</v>
      </c>
      <c r="M103" s="1">
        <v>0</v>
      </c>
      <c r="O103" s="1">
        <v>97</v>
      </c>
      <c r="P103" s="4">
        <f t="shared" si="3"/>
        <v>419400</v>
      </c>
      <c r="Q103" s="4">
        <f t="shared" si="4"/>
        <v>6</v>
      </c>
      <c r="R103" s="4">
        <f t="shared" si="5"/>
        <v>69900</v>
      </c>
    </row>
    <row r="104" spans="1:18">
      <c r="A104" s="1">
        <v>2</v>
      </c>
      <c r="B104" s="1" t="str">
        <f>"قطعات و لوازم يدكي"</f>
        <v>قطعات و لوازم يدكي</v>
      </c>
      <c r="C104" s="1">
        <v>101</v>
      </c>
      <c r="D104" s="1" t="str">
        <f>"انبار قطعات و لوازم يدكي اصفهان"</f>
        <v>انبار قطعات و لوازم يدكي اصفهان</v>
      </c>
      <c r="E104" s="1" t="str">
        <f>"3101080023"</f>
        <v>3101080023</v>
      </c>
      <c r="F104" s="1" t="str">
        <f>"KEY."</f>
        <v>KEY.</v>
      </c>
      <c r="G104" s="1" t="str">
        <f>"عدد"</f>
        <v>عدد</v>
      </c>
      <c r="H104" s="1">
        <v>1</v>
      </c>
      <c r="I104" s="1">
        <v>139800</v>
      </c>
      <c r="J104" s="1">
        <v>0</v>
      </c>
      <c r="K104" s="1">
        <v>0</v>
      </c>
      <c r="L104" s="1">
        <v>0</v>
      </c>
      <c r="M104" s="1">
        <v>0</v>
      </c>
      <c r="O104" s="1">
        <v>97</v>
      </c>
      <c r="P104" s="4">
        <f t="shared" si="3"/>
        <v>139800</v>
      </c>
      <c r="Q104" s="4">
        <f t="shared" si="4"/>
        <v>1</v>
      </c>
      <c r="R104" s="4">
        <f t="shared" si="5"/>
        <v>139800</v>
      </c>
    </row>
    <row r="105" spans="1:18">
      <c r="A105" s="1">
        <v>2</v>
      </c>
      <c r="B105" s="1" t="str">
        <f>"قطعات و لوازم يدكي"</f>
        <v>قطعات و لوازم يدكي</v>
      </c>
      <c r="C105" s="1">
        <v>101</v>
      </c>
      <c r="D105" s="1" t="str">
        <f>"انبار قطعات و لوازم يدكي اصفهان"</f>
        <v>انبار قطعات و لوازم يدكي اصفهان</v>
      </c>
      <c r="E105" s="1" t="str">
        <f>"3101090033"</f>
        <v>3101090033</v>
      </c>
      <c r="F105" s="1" t="str">
        <f>"GASKET,"</f>
        <v>GASKET,</v>
      </c>
      <c r="G105" s="1" t="str">
        <f>"عدد"</f>
        <v>عدد</v>
      </c>
      <c r="H105" s="1">
        <v>1</v>
      </c>
      <c r="I105" s="1">
        <v>466000</v>
      </c>
      <c r="J105" s="1">
        <v>0</v>
      </c>
      <c r="K105" s="1">
        <v>0</v>
      </c>
      <c r="L105" s="1">
        <v>0</v>
      </c>
      <c r="M105" s="1">
        <v>0</v>
      </c>
      <c r="O105" s="1">
        <v>97</v>
      </c>
      <c r="P105" s="4">
        <f t="shared" si="3"/>
        <v>466000</v>
      </c>
      <c r="Q105" s="4">
        <f t="shared" si="4"/>
        <v>1</v>
      </c>
      <c r="R105" s="4">
        <f t="shared" si="5"/>
        <v>466000</v>
      </c>
    </row>
    <row r="106" spans="1:18">
      <c r="A106" s="1">
        <v>2</v>
      </c>
      <c r="B106" s="1" t="str">
        <f>"قطعات و لوازم يدكي"</f>
        <v>قطعات و لوازم يدكي</v>
      </c>
      <c r="C106" s="1">
        <v>101</v>
      </c>
      <c r="D106" s="1" t="str">
        <f>"انبار قطعات و لوازم يدكي اصفهان"</f>
        <v>انبار قطعات و لوازم يدكي اصفهان</v>
      </c>
      <c r="E106" s="1" t="str">
        <f>"3101110023"</f>
        <v>3101110023</v>
      </c>
      <c r="F106" s="1" t="str">
        <f>"LIPSEAL 45 65 10"</f>
        <v>LIPSEAL 45 65 10</v>
      </c>
      <c r="G106" s="1" t="str">
        <f>"عدد"</f>
        <v>عدد</v>
      </c>
      <c r="H106" s="1">
        <v>4</v>
      </c>
      <c r="I106" s="1">
        <v>100000</v>
      </c>
      <c r="J106" s="1">
        <v>0</v>
      </c>
      <c r="K106" s="1">
        <v>0</v>
      </c>
      <c r="L106" s="1">
        <v>0</v>
      </c>
      <c r="M106" s="1">
        <v>0</v>
      </c>
      <c r="O106" s="1">
        <v>97</v>
      </c>
      <c r="P106" s="4">
        <f t="shared" si="3"/>
        <v>100000</v>
      </c>
      <c r="Q106" s="4">
        <f t="shared" si="4"/>
        <v>4</v>
      </c>
      <c r="R106" s="4">
        <f t="shared" si="5"/>
        <v>25000</v>
      </c>
    </row>
    <row r="107" spans="1:18">
      <c r="A107" s="1">
        <v>2</v>
      </c>
      <c r="B107" s="1" t="str">
        <f>"قطعات و لوازم يدكي"</f>
        <v>قطعات و لوازم يدكي</v>
      </c>
      <c r="C107" s="1">
        <v>101</v>
      </c>
      <c r="D107" s="1" t="str">
        <f>"انبار قطعات و لوازم يدكي اصفهان"</f>
        <v>انبار قطعات و لوازم يدكي اصفهان</v>
      </c>
      <c r="E107" s="1" t="str">
        <f>"3101120013"</f>
        <v>3101120013</v>
      </c>
      <c r="F107" s="1" t="str">
        <f>"CASING INSERT"</f>
        <v>CASING INSERT</v>
      </c>
      <c r="G107" s="1" t="str">
        <f>"عدد"</f>
        <v>عدد</v>
      </c>
      <c r="H107" s="1">
        <v>1</v>
      </c>
      <c r="I107" s="1">
        <v>123946640</v>
      </c>
      <c r="J107" s="1">
        <v>0</v>
      </c>
      <c r="K107" s="1">
        <v>0</v>
      </c>
      <c r="L107" s="1">
        <v>0</v>
      </c>
      <c r="M107" s="1">
        <v>0</v>
      </c>
      <c r="O107" s="1">
        <v>97</v>
      </c>
      <c r="P107" s="4">
        <f t="shared" si="3"/>
        <v>123946640</v>
      </c>
      <c r="Q107" s="4">
        <f t="shared" si="4"/>
        <v>1</v>
      </c>
      <c r="R107" s="4">
        <f t="shared" si="5"/>
        <v>123946640</v>
      </c>
    </row>
    <row r="108" spans="1:18">
      <c r="A108" s="1">
        <v>2</v>
      </c>
      <c r="B108" s="1" t="str">
        <f>"قطعات و لوازم يدكي"</f>
        <v>قطعات و لوازم يدكي</v>
      </c>
      <c r="C108" s="1">
        <v>101</v>
      </c>
      <c r="D108" s="1" t="str">
        <f>"انبار قطعات و لوازم يدكي اصفهان"</f>
        <v>انبار قطعات و لوازم يدكي اصفهان</v>
      </c>
      <c r="E108" s="1" t="str">
        <f>"3101140033"</f>
        <v>3101140033</v>
      </c>
      <c r="F108" s="1" t="str">
        <f>"اورينگ (P-1605 )"</f>
        <v>اورينگ (P-1605 )</v>
      </c>
      <c r="G108" s="1" t="str">
        <f>"عدد"</f>
        <v>عدد</v>
      </c>
      <c r="H108" s="1">
        <v>7</v>
      </c>
      <c r="I108" s="1">
        <v>7000</v>
      </c>
      <c r="J108" s="1">
        <v>0</v>
      </c>
      <c r="K108" s="1">
        <v>0</v>
      </c>
      <c r="L108" s="1">
        <v>1</v>
      </c>
      <c r="M108" s="1">
        <v>1000</v>
      </c>
      <c r="O108" s="1">
        <v>97</v>
      </c>
      <c r="P108" s="4">
        <f t="shared" si="3"/>
        <v>6000</v>
      </c>
      <c r="Q108" s="4">
        <f t="shared" si="4"/>
        <v>6</v>
      </c>
      <c r="R108" s="4">
        <f t="shared" si="5"/>
        <v>1000</v>
      </c>
    </row>
    <row r="109" spans="1:18">
      <c r="A109" s="1">
        <v>2</v>
      </c>
      <c r="B109" s="1" t="str">
        <f>"قطعات و لوازم يدكي"</f>
        <v>قطعات و لوازم يدكي</v>
      </c>
      <c r="C109" s="1">
        <v>101</v>
      </c>
      <c r="D109" s="1" t="str">
        <f>"انبار قطعات و لوازم يدكي اصفهان"</f>
        <v>انبار قطعات و لوازم يدكي اصفهان</v>
      </c>
      <c r="E109" s="1" t="str">
        <f>"3112711053"</f>
        <v>3112711053</v>
      </c>
      <c r="F109" s="1" t="str">
        <f>"wearring   impeller  eye"</f>
        <v>wearring   impeller  eye</v>
      </c>
      <c r="G109" s="1" t="str">
        <f>"عدد"</f>
        <v>عدد</v>
      </c>
      <c r="H109" s="1">
        <v>2</v>
      </c>
      <c r="I109" s="1">
        <v>159785073</v>
      </c>
      <c r="J109" s="1">
        <v>0</v>
      </c>
      <c r="K109" s="1">
        <v>0</v>
      </c>
      <c r="L109" s="1">
        <v>0</v>
      </c>
      <c r="M109" s="1">
        <v>0</v>
      </c>
      <c r="O109" s="1">
        <v>97</v>
      </c>
      <c r="P109" s="4">
        <f t="shared" si="3"/>
        <v>159785073</v>
      </c>
      <c r="Q109" s="4">
        <f t="shared" si="4"/>
        <v>2</v>
      </c>
      <c r="R109" s="4">
        <f t="shared" si="5"/>
        <v>79892536.5</v>
      </c>
    </row>
    <row r="110" spans="1:18">
      <c r="A110" s="1">
        <v>2</v>
      </c>
      <c r="B110" s="1" t="str">
        <f>"قطعات و لوازم يدكي"</f>
        <v>قطعات و لوازم يدكي</v>
      </c>
      <c r="C110" s="1">
        <v>101</v>
      </c>
      <c r="D110" s="1" t="str">
        <f>"انبار قطعات و لوازم يدكي اصفهان"</f>
        <v>انبار قطعات و لوازم يدكي اصفهان</v>
      </c>
      <c r="E110" s="1" t="str">
        <f>"3112711203"</f>
        <v>3112711203</v>
      </c>
      <c r="F110" s="1" t="str">
        <f>"ورنينگ ايمپيلر اي(wearhng  impeller eye)"</f>
        <v>ورنينگ ايمپيلر اي(wearhng  impeller eye)</v>
      </c>
      <c r="G110" s="1" t="str">
        <f>"عدد"</f>
        <v>عدد</v>
      </c>
      <c r="H110" s="1">
        <v>2</v>
      </c>
      <c r="I110" s="1">
        <v>41558948</v>
      </c>
      <c r="J110" s="1">
        <v>0</v>
      </c>
      <c r="K110" s="1">
        <v>0</v>
      </c>
      <c r="L110" s="1">
        <v>0</v>
      </c>
      <c r="M110" s="1">
        <v>0</v>
      </c>
      <c r="O110" s="1">
        <v>97</v>
      </c>
      <c r="P110" s="4">
        <f t="shared" si="3"/>
        <v>41558948</v>
      </c>
      <c r="Q110" s="4">
        <f t="shared" si="4"/>
        <v>2</v>
      </c>
      <c r="R110" s="4">
        <f t="shared" si="5"/>
        <v>20779474</v>
      </c>
    </row>
    <row r="111" spans="1:18">
      <c r="A111" s="1">
        <v>2</v>
      </c>
      <c r="B111" s="1" t="str">
        <f>"قطعات و لوازم يدكي"</f>
        <v>قطعات و لوازم يدكي</v>
      </c>
      <c r="C111" s="1">
        <v>101</v>
      </c>
      <c r="D111" s="1" t="str">
        <f>"انبار قطعات و لوازم يدكي اصفهان"</f>
        <v>انبار قطعات و لوازم يدكي اصفهان</v>
      </c>
      <c r="E111" s="1" t="str">
        <f>"3112711213"</f>
        <v>3112711213</v>
      </c>
      <c r="F111" s="1" t="str">
        <f>"اويل رينگ(OIL RING)"</f>
        <v>اويل رينگ(OIL RING)</v>
      </c>
      <c r="G111" s="1" t="str">
        <f>"عدد"</f>
        <v>عدد</v>
      </c>
      <c r="H111" s="1">
        <v>4</v>
      </c>
      <c r="I111" s="1">
        <v>111219309</v>
      </c>
      <c r="J111" s="1">
        <v>0</v>
      </c>
      <c r="K111" s="1">
        <v>0</v>
      </c>
      <c r="L111" s="1">
        <v>0</v>
      </c>
      <c r="M111" s="1">
        <v>0</v>
      </c>
      <c r="O111" s="1">
        <v>97</v>
      </c>
      <c r="P111" s="4">
        <f t="shared" si="3"/>
        <v>111219309</v>
      </c>
      <c r="Q111" s="4">
        <f t="shared" si="4"/>
        <v>4</v>
      </c>
      <c r="R111" s="4">
        <f t="shared" si="5"/>
        <v>27804827.25</v>
      </c>
    </row>
    <row r="112" spans="1:18">
      <c r="A112" s="1">
        <v>2</v>
      </c>
      <c r="B112" s="1" t="str">
        <f>"قطعات و لوازم يدكي"</f>
        <v>قطعات و لوازم يدكي</v>
      </c>
      <c r="C112" s="1">
        <v>101</v>
      </c>
      <c r="D112" s="1" t="str">
        <f>"انبار قطعات و لوازم يدكي اصفهان"</f>
        <v>انبار قطعات و لوازم يدكي اصفهان</v>
      </c>
      <c r="E112" s="1" t="str">
        <f>"3112711233"</f>
        <v>3112711233</v>
      </c>
      <c r="F112" s="1" t="str">
        <f>"نت ايمپيلر(nat empeller)"</f>
        <v>نت ايمپيلر(nat empeller)</v>
      </c>
      <c r="G112" s="1" t="str">
        <f>"عدد"</f>
        <v>عدد</v>
      </c>
      <c r="H112" s="1">
        <v>1</v>
      </c>
      <c r="I112" s="1">
        <v>18304845</v>
      </c>
      <c r="J112" s="1">
        <v>0</v>
      </c>
      <c r="K112" s="1">
        <v>0</v>
      </c>
      <c r="L112" s="1">
        <v>0</v>
      </c>
      <c r="M112" s="1">
        <v>0</v>
      </c>
      <c r="O112" s="1">
        <v>97</v>
      </c>
      <c r="P112" s="4">
        <f t="shared" si="3"/>
        <v>18304845</v>
      </c>
      <c r="Q112" s="4">
        <f t="shared" si="4"/>
        <v>1</v>
      </c>
      <c r="R112" s="4">
        <f t="shared" si="5"/>
        <v>18304845</v>
      </c>
    </row>
    <row r="113" spans="1:18" hidden="1">
      <c r="A113" s="1">
        <v>1</v>
      </c>
      <c r="B113" s="1" t="str">
        <f>"انواع محصول قير"</f>
        <v>انواع محصول قير</v>
      </c>
      <c r="C113" s="1">
        <v>100</v>
      </c>
      <c r="D113" s="1" t="str">
        <f>"مخازن قير اصفهان"</f>
        <v>مخازن قير اصفهان</v>
      </c>
      <c r="E113" s="1" t="str">
        <f>"0000000089"</f>
        <v>0000000089</v>
      </c>
      <c r="F113" s="1" t="str">
        <f>"قير  PG58-16"</f>
        <v>قير  PG58-16</v>
      </c>
      <c r="G113" s="1" t="str">
        <f>"كيلوگرم"</f>
        <v>كيلوگرم</v>
      </c>
      <c r="H113" s="1">
        <v>0</v>
      </c>
      <c r="I113" s="1">
        <v>0</v>
      </c>
      <c r="J113" s="1">
        <v>2610060</v>
      </c>
      <c r="K113" s="1">
        <v>47394921996</v>
      </c>
      <c r="L113" s="1">
        <v>2610060</v>
      </c>
      <c r="M113" s="1">
        <v>47394921996</v>
      </c>
      <c r="O113" s="1">
        <v>97</v>
      </c>
      <c r="P113" s="1">
        <f t="shared" si="3"/>
        <v>0</v>
      </c>
      <c r="Q113" s="1">
        <f t="shared" si="4"/>
        <v>0</v>
      </c>
      <c r="R113" s="1" t="e">
        <f t="shared" si="5"/>
        <v>#DIV/0!</v>
      </c>
    </row>
    <row r="114" spans="1:18" hidden="1">
      <c r="A114" s="1">
        <v>1</v>
      </c>
      <c r="B114" s="1" t="str">
        <f>"انواع محصول قير"</f>
        <v>انواع محصول قير</v>
      </c>
      <c r="C114" s="1">
        <v>100</v>
      </c>
      <c r="D114" s="1" t="str">
        <f>"مخازن قير اصفهان"</f>
        <v>مخازن قير اصفهان</v>
      </c>
      <c r="E114" s="1" t="str">
        <f>"0000000091"</f>
        <v>0000000091</v>
      </c>
      <c r="F114" s="1" t="str">
        <f>"قير  PG64-22"</f>
        <v>قير  PG64-22</v>
      </c>
      <c r="G114" s="1" t="str">
        <f>"كيلوگرم"</f>
        <v>كيلوگرم</v>
      </c>
      <c r="H114" s="1">
        <v>0</v>
      </c>
      <c r="I114" s="1">
        <v>0</v>
      </c>
      <c r="J114" s="1">
        <v>117136680</v>
      </c>
      <c r="K114" s="1">
        <v>2127033022720</v>
      </c>
      <c r="L114" s="1">
        <v>117136680</v>
      </c>
      <c r="M114" s="1">
        <v>2127033022720</v>
      </c>
      <c r="O114" s="1">
        <v>97</v>
      </c>
      <c r="P114" s="1">
        <f t="shared" si="3"/>
        <v>0</v>
      </c>
      <c r="Q114" s="1">
        <f t="shared" si="4"/>
        <v>0</v>
      </c>
      <c r="R114" s="1" t="e">
        <f t="shared" si="5"/>
        <v>#DIV/0!</v>
      </c>
    </row>
    <row r="115" spans="1:18" hidden="1">
      <c r="A115" s="1">
        <v>1</v>
      </c>
      <c r="B115" s="1" t="str">
        <f>"انواع محصول قير"</f>
        <v>انواع محصول قير</v>
      </c>
      <c r="C115" s="1">
        <v>100</v>
      </c>
      <c r="D115" s="1" t="str">
        <f>"مخازن قير اصفهان"</f>
        <v>مخازن قير اصفهان</v>
      </c>
      <c r="E115" s="1" t="str">
        <f>"0000000092"</f>
        <v>0000000092</v>
      </c>
      <c r="F115" s="1" t="str">
        <f>"قير  PG64-16"</f>
        <v>قير  PG64-16</v>
      </c>
      <c r="G115" s="1" t="str">
        <f>"كيلوگرم"</f>
        <v>كيلوگرم</v>
      </c>
      <c r="H115" s="1">
        <v>0</v>
      </c>
      <c r="I115" s="1">
        <v>0</v>
      </c>
      <c r="J115" s="1">
        <v>66629340</v>
      </c>
      <c r="K115" s="1">
        <v>1209892635356</v>
      </c>
      <c r="L115" s="1">
        <v>66629340</v>
      </c>
      <c r="M115" s="1">
        <v>1209892635356</v>
      </c>
      <c r="O115" s="1">
        <v>97</v>
      </c>
      <c r="P115" s="1">
        <f t="shared" si="3"/>
        <v>0</v>
      </c>
      <c r="Q115" s="1">
        <f t="shared" si="4"/>
        <v>0</v>
      </c>
      <c r="R115" s="1" t="e">
        <f t="shared" si="5"/>
        <v>#DIV/0!</v>
      </c>
    </row>
    <row r="116" spans="1:18">
      <c r="A116" s="1">
        <v>1</v>
      </c>
      <c r="B116" s="1" t="str">
        <f>"انواع محصول قير"</f>
        <v>انواع محصول قير</v>
      </c>
      <c r="C116" s="1">
        <v>100</v>
      </c>
      <c r="D116" s="1" t="str">
        <f>"مخازن قير اصفهان"</f>
        <v>مخازن قير اصفهان</v>
      </c>
      <c r="E116" s="1" t="str">
        <f>"1000000004"</f>
        <v>1000000004</v>
      </c>
      <c r="F116" s="1" t="str">
        <f>"قير 40/50 - فله"</f>
        <v>قير 40/50 - فله</v>
      </c>
      <c r="G116" s="1" t="str">
        <f>"كيلوگرم"</f>
        <v>كيلوگرم</v>
      </c>
      <c r="H116" s="1">
        <v>1701278</v>
      </c>
      <c r="I116" s="1">
        <v>14515874745</v>
      </c>
      <c r="J116" s="1">
        <v>9997198</v>
      </c>
      <c r="K116" s="1">
        <v>181534684786</v>
      </c>
      <c r="L116" s="1">
        <v>8565700</v>
      </c>
      <c r="M116" s="1">
        <v>144043928903</v>
      </c>
      <c r="O116" s="1">
        <v>97</v>
      </c>
      <c r="P116" s="4">
        <f t="shared" si="3"/>
        <v>52006630628</v>
      </c>
      <c r="Q116" s="4">
        <f t="shared" si="4"/>
        <v>3132776</v>
      </c>
      <c r="R116" s="4">
        <f t="shared" si="5"/>
        <v>16600.813664302841</v>
      </c>
    </row>
    <row r="117" spans="1:18">
      <c r="A117" s="1">
        <v>2</v>
      </c>
      <c r="B117" s="1" t="str">
        <f>"قطعات و لوازم يدكي"</f>
        <v>قطعات و لوازم يدكي</v>
      </c>
      <c r="C117" s="1">
        <v>101</v>
      </c>
      <c r="D117" s="1" t="str">
        <f>"انبار قطعات و لوازم يدكي اصفهان"</f>
        <v>انبار قطعات و لوازم يدكي اصفهان</v>
      </c>
      <c r="E117" s="1" t="str">
        <f>"2201020013"</f>
        <v>2201020013</v>
      </c>
      <c r="F117" s="1" t="str">
        <f>"seal B/G 0-1-2CI-CV2-CH5"</f>
        <v>seal B/G 0-1-2CI-CV2-CH5</v>
      </c>
      <c r="G117" s="1" t="str">
        <f>"عدد"</f>
        <v>عدد</v>
      </c>
      <c r="H117" s="1">
        <v>4</v>
      </c>
      <c r="I117" s="1">
        <v>28734480</v>
      </c>
      <c r="J117" s="1">
        <v>0</v>
      </c>
      <c r="K117" s="1">
        <v>0</v>
      </c>
      <c r="L117" s="1">
        <v>1</v>
      </c>
      <c r="M117" s="1">
        <v>7183620</v>
      </c>
      <c r="O117" s="1">
        <v>97</v>
      </c>
      <c r="P117" s="4">
        <f t="shared" si="3"/>
        <v>21550860</v>
      </c>
      <c r="Q117" s="4">
        <f t="shared" si="4"/>
        <v>3</v>
      </c>
      <c r="R117" s="4">
        <f t="shared" si="5"/>
        <v>7183620</v>
      </c>
    </row>
    <row r="118" spans="1:18">
      <c r="A118" s="1">
        <v>2</v>
      </c>
      <c r="B118" s="1" t="str">
        <f>"قطعات و لوازم يدكي"</f>
        <v>قطعات و لوازم يدكي</v>
      </c>
      <c r="C118" s="1">
        <v>101</v>
      </c>
      <c r="D118" s="1" t="str">
        <f>"انبار قطعات و لوازم يدكي اصفهان"</f>
        <v>انبار قطعات و لوازم يدكي اصفهان</v>
      </c>
      <c r="E118" s="1" t="str">
        <f>"2201020033"</f>
        <v>2201020033</v>
      </c>
      <c r="F118" s="1" t="str">
        <f>"SEAL AIR CV2 S2"</f>
        <v>SEAL AIR CV2 S2</v>
      </c>
      <c r="G118" s="1" t="str">
        <f>"عدد"</f>
        <v>عدد</v>
      </c>
      <c r="H118" s="1">
        <v>3</v>
      </c>
      <c r="I118" s="1">
        <v>304962570</v>
      </c>
      <c r="J118" s="1">
        <v>0</v>
      </c>
      <c r="K118" s="1">
        <v>0</v>
      </c>
      <c r="L118" s="1">
        <v>0</v>
      </c>
      <c r="M118" s="1">
        <v>0</v>
      </c>
      <c r="O118" s="1">
        <v>97</v>
      </c>
      <c r="P118" s="4">
        <f t="shared" si="3"/>
        <v>304962570</v>
      </c>
      <c r="Q118" s="4">
        <f t="shared" si="4"/>
        <v>3</v>
      </c>
      <c r="R118" s="4">
        <f t="shared" si="5"/>
        <v>101654190</v>
      </c>
    </row>
    <row r="119" spans="1:18">
      <c r="A119" s="1">
        <v>2</v>
      </c>
      <c r="B119" s="1" t="str">
        <f>"قطعات و لوازم يدكي"</f>
        <v>قطعات و لوازم يدكي</v>
      </c>
      <c r="C119" s="1">
        <v>101</v>
      </c>
      <c r="D119" s="1" t="str">
        <f>"انبار قطعات و لوازم يدكي اصفهان"</f>
        <v>انبار قطعات و لوازم يدكي اصفهان</v>
      </c>
      <c r="E119" s="1" t="str">
        <f>"2201030013"</f>
        <v>2201030013</v>
      </c>
      <c r="F119" s="1" t="str">
        <f>"THRUST BRG B/G CV2"</f>
        <v>THRUST BRG B/G CV2</v>
      </c>
      <c r="G119" s="1" t="str">
        <f>"عدد"</f>
        <v>عدد</v>
      </c>
      <c r="H119" s="1">
        <v>8</v>
      </c>
      <c r="I119" s="1">
        <v>371975760</v>
      </c>
      <c r="J119" s="1">
        <v>0</v>
      </c>
      <c r="K119" s="1">
        <v>0</v>
      </c>
      <c r="L119" s="1">
        <v>0</v>
      </c>
      <c r="M119" s="1">
        <v>0</v>
      </c>
      <c r="O119" s="1">
        <v>97</v>
      </c>
      <c r="P119" s="4">
        <f t="shared" si="3"/>
        <v>371975760</v>
      </c>
      <c r="Q119" s="4">
        <f t="shared" si="4"/>
        <v>8</v>
      </c>
      <c r="R119" s="4">
        <f t="shared" si="5"/>
        <v>46496970</v>
      </c>
    </row>
    <row r="120" spans="1:18">
      <c r="A120" s="1">
        <v>2</v>
      </c>
      <c r="B120" s="1" t="str">
        <f>"قطعات و لوازم يدكي"</f>
        <v>قطعات و لوازم يدكي</v>
      </c>
      <c r="C120" s="1">
        <v>101</v>
      </c>
      <c r="D120" s="1" t="str">
        <f>"انبار قطعات و لوازم يدكي اصفهان"</f>
        <v>انبار قطعات و لوازم يدكي اصفهان</v>
      </c>
      <c r="E120" s="1" t="str">
        <f>"2201040013"</f>
        <v>2201040013</v>
      </c>
      <c r="F120" s="1" t="str">
        <f>"CONDENSATE TRAP"</f>
        <v>CONDENSATE TRAP</v>
      </c>
      <c r="G120" s="1" t="str">
        <f>"عدد"</f>
        <v>عدد</v>
      </c>
      <c r="H120" s="1">
        <v>8</v>
      </c>
      <c r="I120" s="1">
        <v>78122880</v>
      </c>
      <c r="J120" s="1">
        <v>0</v>
      </c>
      <c r="K120" s="1">
        <v>0</v>
      </c>
      <c r="L120" s="1">
        <v>0</v>
      </c>
      <c r="M120" s="1">
        <v>0</v>
      </c>
      <c r="O120" s="1">
        <v>97</v>
      </c>
      <c r="P120" s="4">
        <f t="shared" si="3"/>
        <v>78122880</v>
      </c>
      <c r="Q120" s="4">
        <f t="shared" si="4"/>
        <v>8</v>
      </c>
      <c r="R120" s="4">
        <f t="shared" si="5"/>
        <v>9765360</v>
      </c>
    </row>
    <row r="121" spans="1:18">
      <c r="A121" s="1">
        <v>2</v>
      </c>
      <c r="B121" s="1" t="str">
        <f>"قطعات و لوازم يدكي"</f>
        <v>قطعات و لوازم يدكي</v>
      </c>
      <c r="C121" s="1">
        <v>101</v>
      </c>
      <c r="D121" s="1" t="str">
        <f>"انبار قطعات و لوازم يدكي اصفهان"</f>
        <v>انبار قطعات و لوازم يدكي اصفهان</v>
      </c>
      <c r="E121" s="1" t="str">
        <f>"2201050023"</f>
        <v>2201050023</v>
      </c>
      <c r="F121" s="1" t="str">
        <f>"BRG PLAIN CV2 S2"</f>
        <v>BRG PLAIN CV2 S2</v>
      </c>
      <c r="G121" s="1" t="str">
        <f>"عدد"</f>
        <v>عدد</v>
      </c>
      <c r="H121" s="1">
        <v>3</v>
      </c>
      <c r="I121" s="1">
        <v>313701660</v>
      </c>
      <c r="J121" s="1">
        <v>0</v>
      </c>
      <c r="K121" s="1">
        <v>0</v>
      </c>
      <c r="L121" s="1">
        <v>0</v>
      </c>
      <c r="M121" s="1">
        <v>0</v>
      </c>
      <c r="O121" s="1">
        <v>97</v>
      </c>
      <c r="P121" s="4">
        <f t="shared" si="3"/>
        <v>313701660</v>
      </c>
      <c r="Q121" s="4">
        <f t="shared" si="4"/>
        <v>3</v>
      </c>
      <c r="R121" s="4">
        <f t="shared" si="5"/>
        <v>104567220</v>
      </c>
    </row>
    <row r="122" spans="1:18">
      <c r="A122" s="1">
        <v>2</v>
      </c>
      <c r="B122" s="1" t="str">
        <f>"قطعات و لوازم يدكي"</f>
        <v>قطعات و لوازم يدكي</v>
      </c>
      <c r="C122" s="1">
        <v>101</v>
      </c>
      <c r="D122" s="1" t="str">
        <f>"انبار قطعات و لوازم يدكي اصفهان"</f>
        <v>انبار قطعات و لوازم يدكي اصفهان</v>
      </c>
      <c r="E122" s="1" t="str">
        <f>"2201060013"</f>
        <v>2201060013</v>
      </c>
      <c r="F122" s="1" t="str">
        <f>"TEMP. TRNSMITTER"</f>
        <v>TEMP. TRNSMITTER</v>
      </c>
      <c r="G122" s="1" t="str">
        <f>"عدد"</f>
        <v>عدد</v>
      </c>
      <c r="H122" s="1">
        <v>5</v>
      </c>
      <c r="I122" s="1">
        <v>48848400</v>
      </c>
      <c r="J122" s="1">
        <v>1</v>
      </c>
      <c r="K122" s="1">
        <v>9769680</v>
      </c>
      <c r="L122" s="1">
        <v>1</v>
      </c>
      <c r="M122" s="1">
        <v>9769680</v>
      </c>
      <c r="O122" s="1">
        <v>97</v>
      </c>
      <c r="P122" s="4">
        <f t="shared" si="3"/>
        <v>48848400</v>
      </c>
      <c r="Q122" s="4">
        <f t="shared" si="4"/>
        <v>5</v>
      </c>
      <c r="R122" s="4">
        <f t="shared" si="5"/>
        <v>9769680</v>
      </c>
    </row>
    <row r="123" spans="1:18">
      <c r="A123" s="1">
        <v>2</v>
      </c>
      <c r="B123" s="1" t="str">
        <f>"قطعات و لوازم يدكي"</f>
        <v>قطعات و لوازم يدكي</v>
      </c>
      <c r="C123" s="1">
        <v>101</v>
      </c>
      <c r="D123" s="1" t="str">
        <f>"انبار قطعات و لوازم يدكي اصفهان"</f>
        <v>انبار قطعات و لوازم يدكي اصفهان</v>
      </c>
      <c r="E123" s="1" t="str">
        <f>"2202030073"</f>
        <v>2202030073</v>
      </c>
      <c r="F123" s="1" t="str">
        <f>"Inter Cooler Repair Kit C-1002A/B"</f>
        <v>Inter Cooler Repair Kit C-1002A/B</v>
      </c>
      <c r="G123" s="1" t="str">
        <f>"ST"</f>
        <v>ST</v>
      </c>
      <c r="H123" s="1">
        <v>4</v>
      </c>
      <c r="I123" s="1">
        <v>3000000</v>
      </c>
      <c r="J123" s="1">
        <v>10</v>
      </c>
      <c r="K123" s="1">
        <v>9000000</v>
      </c>
      <c r="L123" s="1">
        <v>8</v>
      </c>
      <c r="M123" s="1">
        <v>6750000</v>
      </c>
      <c r="O123" s="1">
        <v>97</v>
      </c>
      <c r="P123" s="4">
        <f t="shared" si="3"/>
        <v>5250000</v>
      </c>
      <c r="Q123" s="4">
        <f t="shared" si="4"/>
        <v>6</v>
      </c>
      <c r="R123" s="4">
        <f t="shared" si="5"/>
        <v>875000</v>
      </c>
    </row>
    <row r="124" spans="1:18">
      <c r="A124" s="1">
        <v>2</v>
      </c>
      <c r="B124" s="1" t="str">
        <f>"قطعات و لوازم يدكي"</f>
        <v>قطعات و لوازم يدكي</v>
      </c>
      <c r="C124" s="1">
        <v>101</v>
      </c>
      <c r="D124" s="1" t="str">
        <f>"انبار قطعات و لوازم يدكي اصفهان"</f>
        <v>انبار قطعات و لوازم يدكي اصفهان</v>
      </c>
      <c r="E124" s="1" t="str">
        <f>"2202030083"</f>
        <v>2202030083</v>
      </c>
      <c r="F124" s="1" t="str">
        <f>"Oil Cooler Repair KIT C-1002A/B"</f>
        <v>Oil Cooler Repair KIT C-1002A/B</v>
      </c>
      <c r="G124" s="1" t="str">
        <f>"ST"</f>
        <v>ST</v>
      </c>
      <c r="H124" s="1">
        <v>2</v>
      </c>
      <c r="I124" s="1">
        <v>2870000</v>
      </c>
      <c r="J124" s="1">
        <v>0</v>
      </c>
      <c r="K124" s="1">
        <v>0</v>
      </c>
      <c r="L124" s="1">
        <v>0</v>
      </c>
      <c r="M124" s="1">
        <v>0</v>
      </c>
      <c r="O124" s="1">
        <v>97</v>
      </c>
      <c r="P124" s="4">
        <f t="shared" si="3"/>
        <v>2870000</v>
      </c>
      <c r="Q124" s="4">
        <f t="shared" si="4"/>
        <v>2</v>
      </c>
      <c r="R124" s="4">
        <f t="shared" si="5"/>
        <v>1435000</v>
      </c>
    </row>
    <row r="125" spans="1:18">
      <c r="A125" s="1">
        <v>2</v>
      </c>
      <c r="B125" s="1" t="str">
        <f>"قطعات و لوازم يدكي"</f>
        <v>قطعات و لوازم يدكي</v>
      </c>
      <c r="C125" s="1">
        <v>101</v>
      </c>
      <c r="D125" s="1" t="str">
        <f>"انبار قطعات و لوازم يدكي اصفهان"</f>
        <v>انبار قطعات و لوازم يدكي اصفهان</v>
      </c>
      <c r="E125" s="1" t="str">
        <f>"2202030093"</f>
        <v>2202030093</v>
      </c>
      <c r="F125" s="1" t="str">
        <f>"نوار سيليکون 5-53-770"</f>
        <v>نوار سيليکون 5-53-770</v>
      </c>
      <c r="G125" s="1" t="str">
        <f>"كيلوگرم"</f>
        <v>كيلوگرم</v>
      </c>
      <c r="H125" s="1">
        <v>0</v>
      </c>
      <c r="I125" s="1">
        <v>0</v>
      </c>
      <c r="J125" s="1">
        <v>4.4000000000000004</v>
      </c>
      <c r="K125" s="1">
        <v>7920000</v>
      </c>
      <c r="L125" s="1">
        <v>0</v>
      </c>
      <c r="M125" s="1">
        <v>0</v>
      </c>
      <c r="O125" s="1">
        <v>97</v>
      </c>
      <c r="P125" s="4">
        <f t="shared" si="3"/>
        <v>7920000</v>
      </c>
      <c r="Q125" s="4">
        <f t="shared" si="4"/>
        <v>4.4000000000000004</v>
      </c>
      <c r="R125" s="4">
        <f t="shared" si="5"/>
        <v>1799999.9999999998</v>
      </c>
    </row>
    <row r="126" spans="1:18">
      <c r="A126" s="1">
        <v>2</v>
      </c>
      <c r="B126" s="1" t="str">
        <f>"قطعات و لوازم يدكي"</f>
        <v>قطعات و لوازم يدكي</v>
      </c>
      <c r="C126" s="1">
        <v>101</v>
      </c>
      <c r="D126" s="1" t="str">
        <f>"انبار قطعات و لوازم يدكي اصفهان"</f>
        <v>انبار قطعات و لوازم يدكي اصفهان</v>
      </c>
      <c r="E126" s="1" t="str">
        <f>"2202030103"</f>
        <v>2202030103</v>
      </c>
      <c r="F126" s="1" t="str">
        <f>"نوار سيليکون 3-37-695"</f>
        <v>نوار سيليکون 3-37-695</v>
      </c>
      <c r="G126" s="1" t="str">
        <f>"كيلوگرم"</f>
        <v>كيلوگرم</v>
      </c>
      <c r="H126" s="1">
        <v>0</v>
      </c>
      <c r="I126" s="1">
        <v>0</v>
      </c>
      <c r="J126" s="1">
        <v>1.5</v>
      </c>
      <c r="K126" s="1">
        <v>2700000</v>
      </c>
      <c r="L126" s="1">
        <v>0</v>
      </c>
      <c r="M126" s="1">
        <v>0</v>
      </c>
      <c r="O126" s="1">
        <v>97</v>
      </c>
      <c r="P126" s="4">
        <f t="shared" si="3"/>
        <v>2700000</v>
      </c>
      <c r="Q126" s="4">
        <f t="shared" si="4"/>
        <v>1.5</v>
      </c>
      <c r="R126" s="4">
        <f t="shared" si="5"/>
        <v>1800000</v>
      </c>
    </row>
    <row r="127" spans="1:18">
      <c r="A127" s="1">
        <v>2</v>
      </c>
      <c r="B127" s="1" t="str">
        <f>"قطعات و لوازم يدكي"</f>
        <v>قطعات و لوازم يدكي</v>
      </c>
      <c r="C127" s="1">
        <v>101</v>
      </c>
      <c r="D127" s="1" t="str">
        <f>"انبار قطعات و لوازم يدكي اصفهان"</f>
        <v>انبار قطعات و لوازم يدكي اصفهان</v>
      </c>
      <c r="E127" s="1" t="str">
        <f>"2202040033"</f>
        <v>2202040033</v>
      </c>
      <c r="F127" s="1" t="str">
        <f>"Oil Filter Parker C-1004"</f>
        <v>Oil Filter Parker C-1004</v>
      </c>
      <c r="G127" s="1" t="str">
        <f>"عدد"</f>
        <v>عدد</v>
      </c>
      <c r="H127" s="1">
        <v>2</v>
      </c>
      <c r="I127" s="1">
        <v>24600000</v>
      </c>
      <c r="J127" s="1">
        <v>0</v>
      </c>
      <c r="K127" s="1">
        <v>0</v>
      </c>
      <c r="L127" s="1">
        <v>0</v>
      </c>
      <c r="M127" s="1">
        <v>0</v>
      </c>
      <c r="O127" s="1">
        <v>97</v>
      </c>
      <c r="P127" s="4">
        <f t="shared" si="3"/>
        <v>24600000</v>
      </c>
      <c r="Q127" s="4">
        <f t="shared" si="4"/>
        <v>2</v>
      </c>
      <c r="R127" s="4">
        <f t="shared" si="5"/>
        <v>12300000</v>
      </c>
    </row>
    <row r="128" spans="1:18" hidden="1">
      <c r="A128" s="1">
        <v>2</v>
      </c>
      <c r="B128" s="1" t="str">
        <f>"قطعات و لوازم يدكي"</f>
        <v>قطعات و لوازم يدكي</v>
      </c>
      <c r="C128" s="1">
        <v>101</v>
      </c>
      <c r="D128" s="1" t="str">
        <f>"انبار قطعات و لوازم يدكي اصفهان"</f>
        <v>انبار قطعات و لوازم يدكي اصفهان</v>
      </c>
      <c r="E128" s="1" t="str">
        <f>"2202875343"</f>
        <v>2202875343</v>
      </c>
      <c r="F128" s="1" t="str">
        <f>"سرويس كيت  0120-2906- 2910       OLD  P/NO"</f>
        <v>سرويس كيت  0120-2906- 2910       OLD  P/NO</v>
      </c>
      <c r="G128" s="1" t="str">
        <f>"عدد"</f>
        <v>عدد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O128" s="1">
        <v>97</v>
      </c>
      <c r="P128" s="1">
        <f t="shared" si="3"/>
        <v>0</v>
      </c>
      <c r="Q128" s="1">
        <f t="shared" si="4"/>
        <v>0</v>
      </c>
      <c r="R128" s="1" t="e">
        <f t="shared" si="5"/>
        <v>#DIV/0!</v>
      </c>
    </row>
    <row r="129" spans="1:18" hidden="1">
      <c r="A129" s="1">
        <v>2</v>
      </c>
      <c r="B129" s="1" t="str">
        <f>"قطعات و لوازم يدكي"</f>
        <v>قطعات و لوازم يدكي</v>
      </c>
      <c r="C129" s="1">
        <v>101</v>
      </c>
      <c r="D129" s="1" t="str">
        <f>"انبار قطعات و لوازم يدكي اصفهان"</f>
        <v>انبار قطعات و لوازم يدكي اصفهان</v>
      </c>
      <c r="E129" s="1" t="str">
        <f>"2202877313"</f>
        <v>2202877313</v>
      </c>
      <c r="F129" s="1" t="str">
        <f>"جرويل 6461-2250"</f>
        <v>جرويل 6461-2250</v>
      </c>
      <c r="G129" s="1" t="str">
        <f>"عدد"</f>
        <v>عدد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O129" s="1">
        <v>97</v>
      </c>
      <c r="P129" s="1">
        <f t="shared" si="3"/>
        <v>0</v>
      </c>
      <c r="Q129" s="1">
        <f t="shared" si="4"/>
        <v>0</v>
      </c>
      <c r="R129" s="1" t="e">
        <f t="shared" si="5"/>
        <v>#DIV/0!</v>
      </c>
    </row>
    <row r="130" spans="1:18" hidden="1">
      <c r="A130" s="1">
        <v>2</v>
      </c>
      <c r="B130" s="1" t="str">
        <f>"قطعات و لوازم يدكي"</f>
        <v>قطعات و لوازم يدكي</v>
      </c>
      <c r="C130" s="1">
        <v>101</v>
      </c>
      <c r="D130" s="1" t="str">
        <f>"انبار قطعات و لوازم يدكي اصفهان"</f>
        <v>انبار قطعات و لوازم يدكي اصفهان</v>
      </c>
      <c r="E130" s="1" t="str">
        <f>"2202877323"</f>
        <v>2202877323</v>
      </c>
      <c r="F130" s="1" t="str">
        <f>"جرويل 6460-2250"</f>
        <v>جرويل 6460-2250</v>
      </c>
      <c r="G130" s="1" t="str">
        <f>"عدد"</f>
        <v>عدد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O130" s="1">
        <v>97</v>
      </c>
      <c r="P130" s="1">
        <f t="shared" si="3"/>
        <v>0</v>
      </c>
      <c r="Q130" s="1">
        <f t="shared" si="4"/>
        <v>0</v>
      </c>
      <c r="R130" s="1" t="e">
        <f t="shared" si="5"/>
        <v>#DIV/0!</v>
      </c>
    </row>
    <row r="131" spans="1:18" hidden="1">
      <c r="A131" s="1">
        <v>2</v>
      </c>
      <c r="B131" s="1" t="str">
        <f>"قطعات و لوازم يدكي"</f>
        <v>قطعات و لوازم يدكي</v>
      </c>
      <c r="C131" s="1">
        <v>101</v>
      </c>
      <c r="D131" s="1" t="str">
        <f>"انبار قطعات و لوازم يدكي اصفهان"</f>
        <v>انبار قطعات و لوازم يدكي اصفهان</v>
      </c>
      <c r="E131" s="1" t="str">
        <f>"2202877363"</f>
        <v>2202877363</v>
      </c>
      <c r="F131" s="1" t="str">
        <f>"وايو اسپرينگ"</f>
        <v>وايو اسپرينگ</v>
      </c>
      <c r="G131" s="1" t="str">
        <f>"عدد"</f>
        <v>عدد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O131" s="1">
        <v>97</v>
      </c>
      <c r="P131" s="1">
        <f t="shared" ref="P131:P194" si="6">I131+K131-M131</f>
        <v>0</v>
      </c>
      <c r="Q131" s="1">
        <f t="shared" ref="Q131:Q194" si="7">H131+J131-L131</f>
        <v>0</v>
      </c>
      <c r="R131" s="1" t="e">
        <f t="shared" ref="R131:R194" si="8">P131/Q131</f>
        <v>#DIV/0!</v>
      </c>
    </row>
    <row r="132" spans="1:18" hidden="1">
      <c r="A132" s="1">
        <v>2</v>
      </c>
      <c r="B132" s="1" t="str">
        <f>"قطعات و لوازم يدكي"</f>
        <v>قطعات و لوازم يدكي</v>
      </c>
      <c r="C132" s="1">
        <v>101</v>
      </c>
      <c r="D132" s="1" t="str">
        <f>"انبار قطعات و لوازم يدكي اصفهان"</f>
        <v>انبار قطعات و لوازم يدكي اصفهان</v>
      </c>
      <c r="E132" s="1" t="str">
        <f>"2202879163"</f>
        <v>2202879163</v>
      </c>
      <c r="F132" s="1" t="str">
        <f>"سافتي والو  ."</f>
        <v>سافتي والو  .</v>
      </c>
      <c r="G132" s="1" t="str">
        <f>"عدد"</f>
        <v>عدد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O132" s="1">
        <v>97</v>
      </c>
      <c r="P132" s="1">
        <f t="shared" si="6"/>
        <v>0</v>
      </c>
      <c r="Q132" s="1">
        <f t="shared" si="7"/>
        <v>0</v>
      </c>
      <c r="R132" s="1" t="e">
        <f t="shared" si="8"/>
        <v>#DIV/0!</v>
      </c>
    </row>
    <row r="133" spans="1:18" hidden="1">
      <c r="A133" s="1">
        <v>2</v>
      </c>
      <c r="B133" s="1" t="str">
        <f>"قطعات و لوازم يدكي"</f>
        <v>قطعات و لوازم يدكي</v>
      </c>
      <c r="C133" s="1">
        <v>101</v>
      </c>
      <c r="D133" s="1" t="str">
        <f>"انبار قطعات و لوازم يدكي اصفهان"</f>
        <v>انبار قطعات و لوازم يدكي اصفهان</v>
      </c>
      <c r="E133" s="1" t="str">
        <f>"2202879223"</f>
        <v>2202879223</v>
      </c>
      <c r="F133" s="1" t="str">
        <f>"اورينگ 9873-0633"</f>
        <v>اورينگ 9873-0633</v>
      </c>
      <c r="G133" s="1" t="str">
        <f>"عدد"</f>
        <v>عدد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O133" s="1">
        <v>97</v>
      </c>
      <c r="P133" s="1">
        <f t="shared" si="6"/>
        <v>0</v>
      </c>
      <c r="Q133" s="1">
        <f t="shared" si="7"/>
        <v>0</v>
      </c>
      <c r="R133" s="1" t="e">
        <f t="shared" si="8"/>
        <v>#DIV/0!</v>
      </c>
    </row>
    <row r="134" spans="1:18" hidden="1">
      <c r="A134" s="1">
        <v>2</v>
      </c>
      <c r="B134" s="1" t="str">
        <f>"قطعات و لوازم يدكي"</f>
        <v>قطعات و لوازم يدكي</v>
      </c>
      <c r="C134" s="1">
        <v>101</v>
      </c>
      <c r="D134" s="1" t="str">
        <f>"انبار قطعات و لوازم يدكي اصفهان"</f>
        <v>انبار قطعات و لوازم يدكي اصفهان</v>
      </c>
      <c r="E134" s="1" t="str">
        <f>"2202879253"</f>
        <v>2202879253</v>
      </c>
      <c r="F134" s="1" t="str">
        <f>"سيركيپ"</f>
        <v>سيركيپ</v>
      </c>
      <c r="G134" s="1" t="str">
        <f>"عدد"</f>
        <v>عدد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O134" s="1">
        <v>97</v>
      </c>
      <c r="P134" s="1">
        <f t="shared" si="6"/>
        <v>0</v>
      </c>
      <c r="Q134" s="1">
        <f t="shared" si="7"/>
        <v>0</v>
      </c>
      <c r="R134" s="1" t="e">
        <f t="shared" si="8"/>
        <v>#DIV/0!</v>
      </c>
    </row>
    <row r="135" spans="1:18" hidden="1">
      <c r="A135" s="1">
        <v>2</v>
      </c>
      <c r="B135" s="1" t="str">
        <f>"قطعات و لوازم يدكي"</f>
        <v>قطعات و لوازم يدكي</v>
      </c>
      <c r="C135" s="1">
        <v>101</v>
      </c>
      <c r="D135" s="1" t="str">
        <f>"انبار قطعات و لوازم يدكي اصفهان"</f>
        <v>انبار قطعات و لوازم يدكي اصفهان</v>
      </c>
      <c r="E135" s="1" t="str">
        <f>"2202879263"</f>
        <v>2202879263</v>
      </c>
      <c r="F135" s="1" t="str">
        <f>"بولت 1478-0147"</f>
        <v>بولت 1478-0147</v>
      </c>
      <c r="G135" s="1" t="str">
        <f>"عدد"</f>
        <v>عدد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O135" s="1">
        <v>97</v>
      </c>
      <c r="P135" s="1">
        <f t="shared" si="6"/>
        <v>0</v>
      </c>
      <c r="Q135" s="1">
        <f t="shared" si="7"/>
        <v>0</v>
      </c>
      <c r="R135" s="1" t="e">
        <f t="shared" si="8"/>
        <v>#DIV/0!</v>
      </c>
    </row>
    <row r="136" spans="1:18" hidden="1">
      <c r="A136" s="1">
        <v>2</v>
      </c>
      <c r="B136" s="1" t="str">
        <f>"قطعات و لوازم يدكي"</f>
        <v>قطعات و لوازم يدكي</v>
      </c>
      <c r="C136" s="1">
        <v>101</v>
      </c>
      <c r="D136" s="1" t="str">
        <f>"انبار قطعات و لوازم يدكي اصفهان"</f>
        <v>انبار قطعات و لوازم يدكي اصفهان</v>
      </c>
      <c r="E136" s="1" t="str">
        <f>"2202879283"</f>
        <v>2202879283</v>
      </c>
      <c r="F136" s="1" t="str">
        <f>"نوت 2116-0266"</f>
        <v>نوت 2116-0266</v>
      </c>
      <c r="G136" s="1" t="str">
        <f>"عدد"</f>
        <v>عدد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O136" s="1">
        <v>97</v>
      </c>
      <c r="P136" s="1">
        <f t="shared" si="6"/>
        <v>0</v>
      </c>
      <c r="Q136" s="1">
        <f t="shared" si="7"/>
        <v>0</v>
      </c>
      <c r="R136" s="1" t="e">
        <f t="shared" si="8"/>
        <v>#DIV/0!</v>
      </c>
    </row>
    <row r="137" spans="1:18" hidden="1">
      <c r="A137" s="1">
        <v>2</v>
      </c>
      <c r="B137" s="1" t="str">
        <f>"قطعات و لوازم يدكي"</f>
        <v>قطعات و لوازم يدكي</v>
      </c>
      <c r="C137" s="1">
        <v>101</v>
      </c>
      <c r="D137" s="1" t="str">
        <f>"انبار قطعات و لوازم يدكي اصفهان"</f>
        <v>انبار قطعات و لوازم يدكي اصفهان</v>
      </c>
      <c r="E137" s="1" t="str">
        <f>"2202894722"</f>
        <v>2202894722</v>
      </c>
      <c r="F137" s="1" t="str">
        <f>"AIR press. switch"</f>
        <v>AIR press. switch</v>
      </c>
      <c r="G137" s="1" t="str">
        <f>"عدد"</f>
        <v>عدد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O137" s="1">
        <v>97</v>
      </c>
      <c r="P137" s="1">
        <f t="shared" si="6"/>
        <v>0</v>
      </c>
      <c r="Q137" s="1">
        <f t="shared" si="7"/>
        <v>0</v>
      </c>
      <c r="R137" s="1" t="e">
        <f t="shared" si="8"/>
        <v>#DIV/0!</v>
      </c>
    </row>
    <row r="138" spans="1:18">
      <c r="A138" s="1">
        <v>2</v>
      </c>
      <c r="B138" s="1" t="str">
        <f>"قطعات و لوازم يدكي"</f>
        <v>قطعات و لوازم يدكي</v>
      </c>
      <c r="C138" s="1">
        <v>101</v>
      </c>
      <c r="D138" s="1" t="str">
        <f>"انبار قطعات و لوازم يدكي اصفهان"</f>
        <v>انبار قطعات و لوازم يدكي اصفهان</v>
      </c>
      <c r="E138" s="1" t="str">
        <f>"2301021033"</f>
        <v>2301021033</v>
      </c>
      <c r="F138" s="1" t="str">
        <f>"BITUMEN FILER-O-RING 269,3*5,7"</f>
        <v>BITUMEN FILER-O-RING 269,3*5,7</v>
      </c>
      <c r="G138" s="1" t="str">
        <f>"عدد"</f>
        <v>عدد</v>
      </c>
      <c r="H138" s="1">
        <v>4</v>
      </c>
      <c r="I138" s="1">
        <v>7052037</v>
      </c>
      <c r="J138" s="1">
        <v>0</v>
      </c>
      <c r="K138" s="1">
        <v>0</v>
      </c>
      <c r="L138" s="1">
        <v>0</v>
      </c>
      <c r="M138" s="1">
        <v>0</v>
      </c>
      <c r="O138" s="1">
        <v>97</v>
      </c>
      <c r="P138" s="4">
        <f t="shared" si="6"/>
        <v>7052037</v>
      </c>
      <c r="Q138" s="4">
        <f t="shared" si="7"/>
        <v>4</v>
      </c>
      <c r="R138" s="4">
        <f t="shared" si="8"/>
        <v>1763009.25</v>
      </c>
    </row>
    <row r="139" spans="1:18">
      <c r="A139" s="1">
        <v>2</v>
      </c>
      <c r="B139" s="1" t="str">
        <f>"قطعات و لوازم يدكي"</f>
        <v>قطعات و لوازم يدكي</v>
      </c>
      <c r="C139" s="1">
        <v>101</v>
      </c>
      <c r="D139" s="1" t="str">
        <f>"انبار قطعات و لوازم يدكي اصفهان"</f>
        <v>انبار قطعات و لوازم يدكي اصفهان</v>
      </c>
      <c r="E139" s="1" t="str">
        <f>"2302030043"</f>
        <v>2302030043</v>
      </c>
      <c r="F139" s="1" t="str">
        <f>"OUTPUT MODULE QY80"</f>
        <v>OUTPUT MODULE QY80</v>
      </c>
      <c r="G139" s="1" t="str">
        <f>"عدد"</f>
        <v>عدد</v>
      </c>
      <c r="H139" s="1">
        <v>1</v>
      </c>
      <c r="I139" s="1">
        <v>11580977</v>
      </c>
      <c r="J139" s="1">
        <v>0</v>
      </c>
      <c r="K139" s="1">
        <v>0</v>
      </c>
      <c r="L139" s="1">
        <v>0</v>
      </c>
      <c r="M139" s="1">
        <v>0</v>
      </c>
      <c r="O139" s="1">
        <v>97</v>
      </c>
      <c r="P139" s="4">
        <f t="shared" si="6"/>
        <v>11580977</v>
      </c>
      <c r="Q139" s="4">
        <f t="shared" si="7"/>
        <v>1</v>
      </c>
      <c r="R139" s="4">
        <f t="shared" si="8"/>
        <v>11580977</v>
      </c>
    </row>
    <row r="140" spans="1:18">
      <c r="A140" s="1">
        <v>2</v>
      </c>
      <c r="B140" s="1" t="str">
        <f>"قطعات و لوازم يدكي"</f>
        <v>قطعات و لوازم يدكي</v>
      </c>
      <c r="C140" s="1">
        <v>101</v>
      </c>
      <c r="D140" s="1" t="str">
        <f>"انبار قطعات و لوازم يدكي اصفهان"</f>
        <v>انبار قطعات و لوازم يدكي اصفهان</v>
      </c>
      <c r="E140" s="1" t="str">
        <f>"2302030103"</f>
        <v>2302030103</v>
      </c>
      <c r="F140" s="1" t="str">
        <f>"PH PROBE (COMPLETE PH METER KIT"</f>
        <v>PH PROBE (COMPLETE PH METER KIT</v>
      </c>
      <c r="G140" s="1" t="str">
        <f>"عدد"</f>
        <v>عدد</v>
      </c>
      <c r="H140" s="1">
        <v>1</v>
      </c>
      <c r="I140" s="1">
        <v>112061973</v>
      </c>
      <c r="J140" s="1">
        <v>0</v>
      </c>
      <c r="K140" s="1">
        <v>0</v>
      </c>
      <c r="L140" s="1">
        <v>0</v>
      </c>
      <c r="M140" s="1">
        <v>0</v>
      </c>
      <c r="O140" s="1">
        <v>97</v>
      </c>
      <c r="P140" s="4">
        <f t="shared" si="6"/>
        <v>112061973</v>
      </c>
      <c r="Q140" s="4">
        <f t="shared" si="7"/>
        <v>1</v>
      </c>
      <c r="R140" s="4">
        <f t="shared" si="8"/>
        <v>112061973</v>
      </c>
    </row>
    <row r="141" spans="1:18">
      <c r="A141" s="1">
        <v>2</v>
      </c>
      <c r="B141" s="1" t="str">
        <f>"قطعات و لوازم يدكي"</f>
        <v>قطعات و لوازم يدكي</v>
      </c>
      <c r="C141" s="1">
        <v>101</v>
      </c>
      <c r="D141" s="1" t="str">
        <f>"انبار قطعات و لوازم يدكي اصفهان"</f>
        <v>انبار قطعات و لوازم يدكي اصفهان</v>
      </c>
      <c r="E141" s="1" t="str">
        <f>"2441490593"</f>
        <v>2441490593</v>
      </c>
      <c r="F141" s="1" t="str">
        <f>"اسپرينگ ديسك"</f>
        <v>اسپرينگ ديسك</v>
      </c>
      <c r="G141" s="1" t="str">
        <f>"عدد"</f>
        <v>عدد</v>
      </c>
      <c r="H141" s="1">
        <v>34</v>
      </c>
      <c r="I141" s="1">
        <v>44760</v>
      </c>
      <c r="J141" s="1">
        <v>0</v>
      </c>
      <c r="K141" s="1">
        <v>0</v>
      </c>
      <c r="L141" s="1">
        <v>0</v>
      </c>
      <c r="M141" s="1">
        <v>0</v>
      </c>
      <c r="O141" s="1">
        <v>97</v>
      </c>
      <c r="P141" s="4">
        <f t="shared" si="6"/>
        <v>44760</v>
      </c>
      <c r="Q141" s="4">
        <f t="shared" si="7"/>
        <v>34</v>
      </c>
      <c r="R141" s="4">
        <f t="shared" si="8"/>
        <v>1316.4705882352941</v>
      </c>
    </row>
    <row r="142" spans="1:18">
      <c r="A142" s="1">
        <v>2</v>
      </c>
      <c r="B142" s="1" t="str">
        <f>"قطعات و لوازم يدكي"</f>
        <v>قطعات و لوازم يدكي</v>
      </c>
      <c r="C142" s="1">
        <v>101</v>
      </c>
      <c r="D142" s="1" t="str">
        <f>"انبار قطعات و لوازم يدكي اصفهان"</f>
        <v>انبار قطعات و لوازم يدكي اصفهان</v>
      </c>
      <c r="E142" s="1" t="str">
        <f>"2441490773"</f>
        <v>2441490773</v>
      </c>
      <c r="F142" s="1" t="str">
        <f>"نوز 2-1990بي6"</f>
        <v>نوز 2-1990بي6</v>
      </c>
      <c r="G142" s="1" t="str">
        <f>"عدد"</f>
        <v>عدد</v>
      </c>
      <c r="H142" s="1">
        <v>1</v>
      </c>
      <c r="I142" s="1">
        <v>3666</v>
      </c>
      <c r="J142" s="1">
        <v>0</v>
      </c>
      <c r="K142" s="1">
        <v>0</v>
      </c>
      <c r="L142" s="1">
        <v>0</v>
      </c>
      <c r="M142" s="1">
        <v>0</v>
      </c>
      <c r="O142" s="1">
        <v>97</v>
      </c>
      <c r="P142" s="4">
        <f t="shared" si="6"/>
        <v>3666</v>
      </c>
      <c r="Q142" s="4">
        <f t="shared" si="7"/>
        <v>1</v>
      </c>
      <c r="R142" s="4">
        <f t="shared" si="8"/>
        <v>3666</v>
      </c>
    </row>
    <row r="143" spans="1:18">
      <c r="A143" s="1">
        <v>2</v>
      </c>
      <c r="B143" s="1" t="str">
        <f>"قطعات و لوازم يدكي"</f>
        <v>قطعات و لوازم يدكي</v>
      </c>
      <c r="C143" s="1">
        <v>101</v>
      </c>
      <c r="D143" s="1" t="str">
        <f>"انبار قطعات و لوازم يدكي اصفهان"</f>
        <v>انبار قطعات و لوازم يدكي اصفهان</v>
      </c>
      <c r="E143" s="1" t="str">
        <f>"2441492313"</f>
        <v>2441492313</v>
      </c>
      <c r="F143" s="1" t="str">
        <f>"كاست كيت كامپليت"</f>
        <v>كاست كيت كامپليت</v>
      </c>
      <c r="G143" s="1" t="str">
        <f>"عدد"</f>
        <v>عدد</v>
      </c>
      <c r="H143" s="1">
        <v>2</v>
      </c>
      <c r="I143" s="1">
        <v>189403</v>
      </c>
      <c r="J143" s="1">
        <v>0</v>
      </c>
      <c r="K143" s="1">
        <v>0</v>
      </c>
      <c r="L143" s="1">
        <v>0</v>
      </c>
      <c r="M143" s="1">
        <v>0</v>
      </c>
      <c r="O143" s="1">
        <v>97</v>
      </c>
      <c r="P143" s="4">
        <f t="shared" si="6"/>
        <v>189403</v>
      </c>
      <c r="Q143" s="4">
        <f t="shared" si="7"/>
        <v>2</v>
      </c>
      <c r="R143" s="4">
        <f t="shared" si="8"/>
        <v>94701.5</v>
      </c>
    </row>
    <row r="144" spans="1:18" hidden="1">
      <c r="A144" s="1">
        <v>2</v>
      </c>
      <c r="B144" s="1" t="str">
        <f>"قطعات و لوازم يدكي"</f>
        <v>قطعات و لوازم يدكي</v>
      </c>
      <c r="C144" s="1">
        <v>101</v>
      </c>
      <c r="D144" s="1" t="str">
        <f>"انبار قطعات و لوازم يدكي اصفهان"</f>
        <v>انبار قطعات و لوازم يدكي اصفهان</v>
      </c>
      <c r="E144" s="1" t="str">
        <f>"2441492383"</f>
        <v>2441492383</v>
      </c>
      <c r="F144" s="1" t="str">
        <f>"اورينگ ديفوزر كاور"</f>
        <v>اورينگ ديفوزر كاور</v>
      </c>
      <c r="G144" s="1" t="str">
        <f>"عدد"</f>
        <v>عدد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O144" s="1">
        <v>97</v>
      </c>
      <c r="P144" s="1">
        <f t="shared" si="6"/>
        <v>0</v>
      </c>
      <c r="Q144" s="1">
        <f t="shared" si="7"/>
        <v>0</v>
      </c>
      <c r="R144" s="1" t="e">
        <f t="shared" si="8"/>
        <v>#DIV/0!</v>
      </c>
    </row>
    <row r="145" spans="1:18" hidden="1">
      <c r="A145" s="1">
        <v>2</v>
      </c>
      <c r="B145" s="1" t="str">
        <f>"قطعات و لوازم يدكي"</f>
        <v>قطعات و لوازم يدكي</v>
      </c>
      <c r="C145" s="1">
        <v>101</v>
      </c>
      <c r="D145" s="1" t="str">
        <f>"انبار قطعات و لوازم يدكي اصفهان"</f>
        <v>انبار قطعات و لوازم يدكي اصفهان</v>
      </c>
      <c r="E145" s="1" t="str">
        <f>"2441492403"</f>
        <v>2441492403</v>
      </c>
      <c r="F145" s="1" t="str">
        <f>"اورينگ ديفوزر كاور 20 اي 11بي ام اس 1007"</f>
        <v>اورينگ ديفوزر كاور 20 اي 11بي ام اس 1007</v>
      </c>
      <c r="G145" s="1" t="str">
        <f>"عدد"</f>
        <v>عدد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O145" s="1">
        <v>97</v>
      </c>
      <c r="P145" s="1">
        <f t="shared" si="6"/>
        <v>0</v>
      </c>
      <c r="Q145" s="1">
        <f t="shared" si="7"/>
        <v>0</v>
      </c>
      <c r="R145" s="1" t="e">
        <f t="shared" si="8"/>
        <v>#DIV/0!</v>
      </c>
    </row>
    <row r="146" spans="1:18">
      <c r="A146" s="1">
        <v>2</v>
      </c>
      <c r="B146" s="1" t="str">
        <f>"قطعات و لوازم يدكي"</f>
        <v>قطعات و لوازم يدكي</v>
      </c>
      <c r="C146" s="1">
        <v>101</v>
      </c>
      <c r="D146" s="1" t="str">
        <f>"انبار قطعات و لوازم يدكي اصفهان"</f>
        <v>انبار قطعات و لوازم يدكي اصفهان</v>
      </c>
      <c r="E146" s="1" t="str">
        <f>"2441492413"</f>
        <v>2441492413</v>
      </c>
      <c r="F146" s="1" t="str">
        <f>"كاستكت تي اولت هد"</f>
        <v>كاستكت تي اولت هد</v>
      </c>
      <c r="G146" s="1" t="str">
        <f>"عدد"</f>
        <v>عدد</v>
      </c>
      <c r="H146" s="1">
        <v>8</v>
      </c>
      <c r="I146" s="1">
        <v>8520</v>
      </c>
      <c r="J146" s="1">
        <v>0</v>
      </c>
      <c r="K146" s="1">
        <v>0</v>
      </c>
      <c r="L146" s="1">
        <v>0</v>
      </c>
      <c r="M146" s="1">
        <v>0</v>
      </c>
      <c r="O146" s="1">
        <v>97</v>
      </c>
      <c r="P146" s="4">
        <f t="shared" si="6"/>
        <v>8520</v>
      </c>
      <c r="Q146" s="4">
        <f t="shared" si="7"/>
        <v>8</v>
      </c>
      <c r="R146" s="4">
        <f t="shared" si="8"/>
        <v>1065</v>
      </c>
    </row>
    <row r="147" spans="1:18">
      <c r="A147" s="1">
        <v>2</v>
      </c>
      <c r="B147" s="1" t="str">
        <f>"قطعات و لوازم يدكي"</f>
        <v>قطعات و لوازم يدكي</v>
      </c>
      <c r="C147" s="1">
        <v>101</v>
      </c>
      <c r="D147" s="1" t="str">
        <f>"انبار قطعات و لوازم يدكي اصفهان"</f>
        <v>انبار قطعات و لوازم يدكي اصفهان</v>
      </c>
      <c r="E147" s="1" t="str">
        <f>"3101020023"</f>
        <v>3101020023</v>
      </c>
      <c r="F147" s="1" t="str">
        <f>"ROOL BEARING   NJ 307ECJ"</f>
        <v>ROOL BEARING   NJ 307ECJ</v>
      </c>
      <c r="G147" s="1" t="str">
        <f>"عدد"</f>
        <v>عدد</v>
      </c>
      <c r="H147" s="1">
        <v>7</v>
      </c>
      <c r="I147" s="1">
        <v>8348280</v>
      </c>
      <c r="J147" s="1">
        <v>5</v>
      </c>
      <c r="K147" s="1">
        <v>25069656</v>
      </c>
      <c r="L147" s="1">
        <v>2</v>
      </c>
      <c r="M147" s="1">
        <v>5569656</v>
      </c>
      <c r="O147" s="1">
        <v>97</v>
      </c>
      <c r="P147" s="4">
        <f t="shared" si="6"/>
        <v>27848280</v>
      </c>
      <c r="Q147" s="4">
        <f t="shared" si="7"/>
        <v>10</v>
      </c>
      <c r="R147" s="4">
        <f t="shared" si="8"/>
        <v>2784828</v>
      </c>
    </row>
    <row r="148" spans="1:18">
      <c r="A148" s="1">
        <v>2</v>
      </c>
      <c r="B148" s="1" t="str">
        <f>"قطعات و لوازم يدكي"</f>
        <v>قطعات و لوازم يدكي</v>
      </c>
      <c r="C148" s="1">
        <v>101</v>
      </c>
      <c r="D148" s="1" t="str">
        <f>"انبار قطعات و لوازم يدكي اصفهان"</f>
        <v>انبار قطعات و لوازم يدكي اصفهان</v>
      </c>
      <c r="E148" s="1" t="str">
        <f>"3101030013"</f>
        <v>3101030013</v>
      </c>
      <c r="F148" s="1" t="str">
        <f>"NUT (لاک نت)"</f>
        <v>NUT (لاک نت)</v>
      </c>
      <c r="G148" s="1" t="str">
        <f>"عدد"</f>
        <v>عدد</v>
      </c>
      <c r="H148" s="1">
        <v>13</v>
      </c>
      <c r="I148" s="1">
        <v>3288920</v>
      </c>
      <c r="J148" s="1">
        <v>0</v>
      </c>
      <c r="K148" s="1">
        <v>0</v>
      </c>
      <c r="L148" s="1">
        <v>2</v>
      </c>
      <c r="M148" s="1">
        <v>505988</v>
      </c>
      <c r="O148" s="1">
        <v>97</v>
      </c>
      <c r="P148" s="4">
        <f t="shared" si="6"/>
        <v>2782932</v>
      </c>
      <c r="Q148" s="4">
        <f t="shared" si="7"/>
        <v>11</v>
      </c>
      <c r="R148" s="4">
        <f t="shared" si="8"/>
        <v>252993.81818181818</v>
      </c>
    </row>
    <row r="149" spans="1:18">
      <c r="A149" s="1">
        <v>2</v>
      </c>
      <c r="B149" s="1" t="str">
        <f>"قطعات و لوازم يدكي"</f>
        <v>قطعات و لوازم يدكي</v>
      </c>
      <c r="C149" s="1">
        <v>101</v>
      </c>
      <c r="D149" s="1" t="str">
        <f>"انبار قطعات و لوازم يدكي اصفهان"</f>
        <v>انبار قطعات و لوازم يدكي اصفهان</v>
      </c>
      <c r="E149" s="1" t="str">
        <f>"3101040033"</f>
        <v>3101040033</v>
      </c>
      <c r="F149" s="1" t="str">
        <f>"SHAFT BUSH P-1601D(سيليو)"</f>
        <v>SHAFT BUSH P-1601D(سيليو)</v>
      </c>
      <c r="G149" s="1" t="str">
        <f>"عدد"</f>
        <v>عدد</v>
      </c>
      <c r="H149" s="1">
        <v>3</v>
      </c>
      <c r="I149" s="1">
        <v>6000000</v>
      </c>
      <c r="J149" s="1">
        <v>0</v>
      </c>
      <c r="K149" s="1">
        <v>0</v>
      </c>
      <c r="L149" s="1">
        <v>0</v>
      </c>
      <c r="M149" s="1">
        <v>0</v>
      </c>
      <c r="O149" s="1">
        <v>97</v>
      </c>
      <c r="P149" s="4">
        <f t="shared" si="6"/>
        <v>6000000</v>
      </c>
      <c r="Q149" s="4">
        <f t="shared" si="7"/>
        <v>3</v>
      </c>
      <c r="R149" s="4">
        <f t="shared" si="8"/>
        <v>2000000</v>
      </c>
    </row>
    <row r="150" spans="1:18">
      <c r="A150" s="1">
        <v>2</v>
      </c>
      <c r="B150" s="1" t="str">
        <f>"قطعات و لوازم يدكي"</f>
        <v>قطعات و لوازم يدكي</v>
      </c>
      <c r="C150" s="1">
        <v>101</v>
      </c>
      <c r="D150" s="1" t="str">
        <f>"انبار قطعات و لوازم يدكي اصفهان"</f>
        <v>انبار قطعات و لوازم يدكي اصفهان</v>
      </c>
      <c r="E150" s="1" t="str">
        <f>"3114812583"</f>
        <v>3114812583</v>
      </c>
      <c r="F150" s="1" t="str">
        <f>"اويل ليول سيگت گيلاس"</f>
        <v>اويل ليول سيگت گيلاس</v>
      </c>
      <c r="G150" s="1" t="str">
        <f>"عدد"</f>
        <v>عدد</v>
      </c>
      <c r="H150" s="1">
        <v>4</v>
      </c>
      <c r="I150" s="1">
        <v>1977600</v>
      </c>
      <c r="J150" s="1">
        <v>0</v>
      </c>
      <c r="K150" s="1">
        <v>0</v>
      </c>
      <c r="L150" s="1">
        <v>1</v>
      </c>
      <c r="M150" s="1">
        <v>494400</v>
      </c>
      <c r="O150" s="1">
        <v>97</v>
      </c>
      <c r="P150" s="4">
        <f t="shared" si="6"/>
        <v>1483200</v>
      </c>
      <c r="Q150" s="4">
        <f t="shared" si="7"/>
        <v>3</v>
      </c>
      <c r="R150" s="4">
        <f t="shared" si="8"/>
        <v>494400</v>
      </c>
    </row>
    <row r="151" spans="1:18">
      <c r="A151" s="1">
        <v>2</v>
      </c>
      <c r="B151" s="1" t="str">
        <f>"قطعات و لوازم يدكي"</f>
        <v>قطعات و لوازم يدكي</v>
      </c>
      <c r="C151" s="1">
        <v>101</v>
      </c>
      <c r="D151" s="1" t="str">
        <f>"انبار قطعات و لوازم يدكي اصفهان"</f>
        <v>انبار قطعات و لوازم يدكي اصفهان</v>
      </c>
      <c r="E151" s="1" t="str">
        <f>"3114816203"</f>
        <v>3114816203</v>
      </c>
      <c r="F151" s="1" t="str">
        <f>"اد جويستينگ رينگ (adjusting ring)"</f>
        <v>اد جويستينگ رينگ (adjusting ring)</v>
      </c>
      <c r="G151" s="1" t="str">
        <f>"عدد"</f>
        <v>عدد</v>
      </c>
      <c r="H151" s="1">
        <v>1</v>
      </c>
      <c r="I151" s="1">
        <v>271516</v>
      </c>
      <c r="J151" s="1">
        <v>0</v>
      </c>
      <c r="K151" s="1">
        <v>0</v>
      </c>
      <c r="L151" s="1">
        <v>0</v>
      </c>
      <c r="M151" s="1">
        <v>0</v>
      </c>
      <c r="O151" s="1">
        <v>97</v>
      </c>
      <c r="P151" s="4">
        <f t="shared" si="6"/>
        <v>271516</v>
      </c>
      <c r="Q151" s="4">
        <f t="shared" si="7"/>
        <v>1</v>
      </c>
      <c r="R151" s="4">
        <f t="shared" si="8"/>
        <v>271516</v>
      </c>
    </row>
    <row r="152" spans="1:18">
      <c r="A152" s="1">
        <v>2</v>
      </c>
      <c r="B152" s="1" t="str">
        <f>"قطعات و لوازم يدكي"</f>
        <v>قطعات و لوازم يدكي</v>
      </c>
      <c r="C152" s="1">
        <v>101</v>
      </c>
      <c r="D152" s="1" t="str">
        <f>"انبار قطعات و لوازم يدكي اصفهان"</f>
        <v>انبار قطعات و لوازم يدكي اصفهان</v>
      </c>
      <c r="E152" s="1" t="str">
        <f>"3114816219"</f>
        <v>3114816219</v>
      </c>
      <c r="F152" s="1" t="str">
        <f>"راديال بال بيرينگ 3206 C3"</f>
        <v>راديال بال بيرينگ 3206 C3</v>
      </c>
      <c r="G152" s="1" t="str">
        <f>"عدد"</f>
        <v>عدد</v>
      </c>
      <c r="H152" s="1">
        <v>9</v>
      </c>
      <c r="I152" s="1">
        <v>8206775</v>
      </c>
      <c r="J152" s="1">
        <v>0</v>
      </c>
      <c r="K152" s="1">
        <v>0</v>
      </c>
      <c r="L152" s="1">
        <v>2</v>
      </c>
      <c r="M152" s="1">
        <v>1823728</v>
      </c>
      <c r="O152" s="1">
        <v>97</v>
      </c>
      <c r="P152" s="4">
        <f t="shared" si="6"/>
        <v>6383047</v>
      </c>
      <c r="Q152" s="4">
        <f t="shared" si="7"/>
        <v>7</v>
      </c>
      <c r="R152" s="4">
        <f t="shared" si="8"/>
        <v>911863.85714285716</v>
      </c>
    </row>
    <row r="153" spans="1:18">
      <c r="A153" s="1">
        <v>2</v>
      </c>
      <c r="B153" s="1" t="str">
        <f>"قطعات و لوازم يدكي"</f>
        <v>قطعات و لوازم يدكي</v>
      </c>
      <c r="C153" s="1">
        <v>101</v>
      </c>
      <c r="D153" s="1" t="str">
        <f>"انبار قطعات و لوازم يدكي اصفهان"</f>
        <v>انبار قطعات و لوازم يدكي اصفهان</v>
      </c>
      <c r="E153" s="1" t="str">
        <f>"3114816229"</f>
        <v>3114816229</v>
      </c>
      <c r="F153" s="1" t="str">
        <f>"بال بيرينگ"</f>
        <v>بال بيرينگ</v>
      </c>
      <c r="G153" s="1" t="str">
        <f>"عدد"</f>
        <v>عدد</v>
      </c>
      <c r="H153" s="1">
        <v>2</v>
      </c>
      <c r="I153" s="1">
        <v>2715163</v>
      </c>
      <c r="J153" s="1">
        <v>0</v>
      </c>
      <c r="K153" s="1">
        <v>0</v>
      </c>
      <c r="L153" s="1">
        <v>0</v>
      </c>
      <c r="M153" s="1">
        <v>0</v>
      </c>
      <c r="O153" s="1">
        <v>97</v>
      </c>
      <c r="P153" s="4">
        <f t="shared" si="6"/>
        <v>2715163</v>
      </c>
      <c r="Q153" s="4">
        <f t="shared" si="7"/>
        <v>2</v>
      </c>
      <c r="R153" s="4">
        <f t="shared" si="8"/>
        <v>1357581.5</v>
      </c>
    </row>
    <row r="154" spans="1:18">
      <c r="A154" s="1">
        <v>2</v>
      </c>
      <c r="B154" s="1" t="str">
        <f>"قطعات و لوازم يدكي"</f>
        <v>قطعات و لوازم يدكي</v>
      </c>
      <c r="C154" s="1">
        <v>101</v>
      </c>
      <c r="D154" s="1" t="str">
        <f>"انبار قطعات و لوازم يدكي اصفهان"</f>
        <v>انبار قطعات و لوازم يدكي اصفهان</v>
      </c>
      <c r="E154" s="1" t="str">
        <f>"3114816273"</f>
        <v>3114816273</v>
      </c>
      <c r="F154" s="1" t="str">
        <f>"spring washer"</f>
        <v>spring washer</v>
      </c>
      <c r="G154" s="1" t="str">
        <f>"عدد"</f>
        <v>عدد</v>
      </c>
      <c r="H154" s="1">
        <v>4</v>
      </c>
      <c r="I154" s="1">
        <v>200504</v>
      </c>
      <c r="J154" s="1">
        <v>0</v>
      </c>
      <c r="K154" s="1">
        <v>0</v>
      </c>
      <c r="L154" s="1">
        <v>0</v>
      </c>
      <c r="M154" s="1">
        <v>0</v>
      </c>
      <c r="O154" s="1">
        <v>97</v>
      </c>
      <c r="P154" s="4">
        <f t="shared" si="6"/>
        <v>200504</v>
      </c>
      <c r="Q154" s="4">
        <f t="shared" si="7"/>
        <v>4</v>
      </c>
      <c r="R154" s="4">
        <f t="shared" si="8"/>
        <v>50126</v>
      </c>
    </row>
    <row r="155" spans="1:18">
      <c r="A155" s="1">
        <v>2</v>
      </c>
      <c r="B155" s="1" t="str">
        <f>"قطعات و لوازم يدكي"</f>
        <v>قطعات و لوازم يدكي</v>
      </c>
      <c r="C155" s="1">
        <v>101</v>
      </c>
      <c r="D155" s="1" t="str">
        <f>"انبار قطعات و لوازم يدكي اصفهان"</f>
        <v>انبار قطعات و لوازم يدكي اصفهان</v>
      </c>
      <c r="E155" s="1" t="str">
        <f>"3114816413"</f>
        <v>3114816413</v>
      </c>
      <c r="F155" s="1" t="str">
        <f>"بوش 45 P-1001C-P-1002C.P-1602A/B/C"</f>
        <v>بوش 45 P-1001C-P-1002C.P-1602A/B/C</v>
      </c>
      <c r="G155" s="1" t="str">
        <f>"عدد"</f>
        <v>عدد</v>
      </c>
      <c r="H155" s="1">
        <v>7</v>
      </c>
      <c r="I155" s="1">
        <v>6300000</v>
      </c>
      <c r="J155" s="1">
        <v>0</v>
      </c>
      <c r="K155" s="1">
        <v>0</v>
      </c>
      <c r="L155" s="1">
        <v>0</v>
      </c>
      <c r="M155" s="1">
        <v>0</v>
      </c>
      <c r="O155" s="1">
        <v>97</v>
      </c>
      <c r="P155" s="4">
        <f t="shared" si="6"/>
        <v>6300000</v>
      </c>
      <c r="Q155" s="4">
        <f t="shared" si="7"/>
        <v>7</v>
      </c>
      <c r="R155" s="4">
        <f t="shared" si="8"/>
        <v>900000</v>
      </c>
    </row>
    <row r="156" spans="1:18">
      <c r="A156" s="1">
        <v>2</v>
      </c>
      <c r="B156" s="1" t="str">
        <f>"قطعات و لوازم يدكي"</f>
        <v>قطعات و لوازم يدكي</v>
      </c>
      <c r="C156" s="1">
        <v>101</v>
      </c>
      <c r="D156" s="1" t="str">
        <f>"انبار قطعات و لوازم يدكي اصفهان"</f>
        <v>انبار قطعات و لوازم يدكي اصفهان</v>
      </c>
      <c r="E156" s="1" t="str">
        <f>"3371155063"</f>
        <v>3371155063</v>
      </c>
      <c r="F156" s="1" t="str">
        <f>"اسنپ رينگ"</f>
        <v>اسنپ رينگ</v>
      </c>
      <c r="G156" s="1" t="str">
        <f>"عدد"</f>
        <v>عدد</v>
      </c>
      <c r="H156" s="1">
        <v>11</v>
      </c>
      <c r="I156" s="1">
        <v>8476</v>
      </c>
      <c r="J156" s="1">
        <v>0</v>
      </c>
      <c r="K156" s="1">
        <v>0</v>
      </c>
      <c r="L156" s="1">
        <v>0</v>
      </c>
      <c r="M156" s="1">
        <v>0</v>
      </c>
      <c r="O156" s="1">
        <v>97</v>
      </c>
      <c r="P156" s="4">
        <f t="shared" si="6"/>
        <v>8476</v>
      </c>
      <c r="Q156" s="4">
        <f t="shared" si="7"/>
        <v>11</v>
      </c>
      <c r="R156" s="4">
        <f t="shared" si="8"/>
        <v>770.5454545454545</v>
      </c>
    </row>
    <row r="157" spans="1:18">
      <c r="A157" s="1">
        <v>2</v>
      </c>
      <c r="B157" s="1" t="str">
        <f>"قطعات و لوازم يدكي"</f>
        <v>قطعات و لوازم يدكي</v>
      </c>
      <c r="C157" s="1">
        <v>101</v>
      </c>
      <c r="D157" s="1" t="str">
        <f>"انبار قطعات و لوازم يدكي اصفهان"</f>
        <v>انبار قطعات و لوازم يدكي اصفهان</v>
      </c>
      <c r="E157" s="1" t="str">
        <f>"3371205553"</f>
        <v>3371205553</v>
      </c>
      <c r="F157" s="1" t="str">
        <f>"پاكينگ 24ست تفلون"</f>
        <v>پاكينگ 24ست تفلون</v>
      </c>
      <c r="G157" s="1" t="str">
        <f>"عدد"</f>
        <v>عدد</v>
      </c>
      <c r="H157" s="1">
        <v>7</v>
      </c>
      <c r="I157" s="1">
        <v>144254</v>
      </c>
      <c r="J157" s="1">
        <v>0</v>
      </c>
      <c r="K157" s="1">
        <v>0</v>
      </c>
      <c r="L157" s="1">
        <v>2</v>
      </c>
      <c r="M157" s="1">
        <v>41216</v>
      </c>
      <c r="O157" s="1">
        <v>97</v>
      </c>
      <c r="P157" s="4">
        <f t="shared" si="6"/>
        <v>103038</v>
      </c>
      <c r="Q157" s="4">
        <f t="shared" si="7"/>
        <v>5</v>
      </c>
      <c r="R157" s="4">
        <f t="shared" si="8"/>
        <v>20607.599999999999</v>
      </c>
    </row>
    <row r="158" spans="1:18">
      <c r="A158" s="1">
        <v>2</v>
      </c>
      <c r="B158" s="1" t="str">
        <f>"قطعات و لوازم يدكي"</f>
        <v>قطعات و لوازم يدكي</v>
      </c>
      <c r="C158" s="1">
        <v>101</v>
      </c>
      <c r="D158" s="1" t="str">
        <f>"انبار قطعات و لوازم يدكي اصفهان"</f>
        <v>انبار قطعات و لوازم يدكي اصفهان</v>
      </c>
      <c r="E158" s="1" t="str">
        <f>"3371205643"</f>
        <v>3371205643</v>
      </c>
      <c r="F158" s="1" t="str">
        <f>"اسنپ رينگ فورنت براكت"</f>
        <v>اسنپ رينگ فورنت براكت</v>
      </c>
      <c r="G158" s="1" t="str">
        <f>"عدد"</f>
        <v>عدد</v>
      </c>
      <c r="H158" s="1">
        <v>21</v>
      </c>
      <c r="I158" s="1">
        <v>21941</v>
      </c>
      <c r="J158" s="1">
        <v>0</v>
      </c>
      <c r="K158" s="1">
        <v>0</v>
      </c>
      <c r="L158" s="1">
        <v>0</v>
      </c>
      <c r="M158" s="1">
        <v>0</v>
      </c>
      <c r="O158" s="1">
        <v>97</v>
      </c>
      <c r="P158" s="4">
        <f t="shared" si="6"/>
        <v>21941</v>
      </c>
      <c r="Q158" s="4">
        <f t="shared" si="7"/>
        <v>21</v>
      </c>
      <c r="R158" s="4">
        <f t="shared" si="8"/>
        <v>1044.8095238095239</v>
      </c>
    </row>
    <row r="159" spans="1:18">
      <c r="A159" s="1">
        <v>2</v>
      </c>
      <c r="B159" s="1" t="str">
        <f>"قطعات و لوازم يدكي"</f>
        <v>قطعات و لوازم يدكي</v>
      </c>
      <c r="C159" s="1">
        <v>101</v>
      </c>
      <c r="D159" s="1" t="str">
        <f>"انبار قطعات و لوازم يدكي اصفهان"</f>
        <v>انبار قطعات و لوازم يدكي اصفهان</v>
      </c>
      <c r="E159" s="1" t="str">
        <f>"3371205803"</f>
        <v>3371205803</v>
      </c>
      <c r="F159" s="1" t="str">
        <f>"برانيگ انر راس گر هوزينگ"</f>
        <v>برانيگ انر راس گر هوزينگ</v>
      </c>
      <c r="G159" s="1" t="str">
        <f>"عدد"</f>
        <v>عدد</v>
      </c>
      <c r="H159" s="1">
        <v>4</v>
      </c>
      <c r="I159" s="1">
        <v>8000</v>
      </c>
      <c r="J159" s="1">
        <v>0</v>
      </c>
      <c r="K159" s="1">
        <v>0</v>
      </c>
      <c r="L159" s="1">
        <v>0</v>
      </c>
      <c r="M159" s="1">
        <v>0</v>
      </c>
      <c r="O159" s="1">
        <v>97</v>
      </c>
      <c r="P159" s="4">
        <f t="shared" si="6"/>
        <v>8000</v>
      </c>
      <c r="Q159" s="4">
        <f t="shared" si="7"/>
        <v>4</v>
      </c>
      <c r="R159" s="4">
        <f t="shared" si="8"/>
        <v>2000</v>
      </c>
    </row>
    <row r="160" spans="1:18">
      <c r="A160" s="1">
        <v>2</v>
      </c>
      <c r="B160" s="1" t="str">
        <f>"قطعات و لوازم يدكي"</f>
        <v>قطعات و لوازم يدكي</v>
      </c>
      <c r="C160" s="1">
        <v>101</v>
      </c>
      <c r="D160" s="1" t="str">
        <f>"انبار قطعات و لوازم يدكي اصفهان"</f>
        <v>انبار قطعات و لوازم يدكي اصفهان</v>
      </c>
      <c r="E160" s="1" t="str">
        <f>"4301010103"</f>
        <v>4301010103</v>
      </c>
      <c r="F160" s="1" t="str">
        <f>"Sinter Assembly SS standard for P2000"</f>
        <v>Sinter Assembly SS standard for P2000</v>
      </c>
      <c r="G160" s="1" t="str">
        <f>"عدد"</f>
        <v>عدد</v>
      </c>
      <c r="H160" s="1">
        <v>1</v>
      </c>
      <c r="I160" s="1">
        <v>13036100</v>
      </c>
      <c r="J160" s="1">
        <v>0</v>
      </c>
      <c r="K160" s="1">
        <v>0</v>
      </c>
      <c r="L160" s="1">
        <v>0</v>
      </c>
      <c r="M160" s="1">
        <v>0</v>
      </c>
      <c r="O160" s="1">
        <v>97</v>
      </c>
      <c r="P160" s="4">
        <f t="shared" si="6"/>
        <v>13036100</v>
      </c>
      <c r="Q160" s="4">
        <f t="shared" si="7"/>
        <v>1</v>
      </c>
      <c r="R160" s="4">
        <f t="shared" si="8"/>
        <v>13036100</v>
      </c>
    </row>
    <row r="161" spans="1:18" hidden="1">
      <c r="A161" s="1">
        <v>2</v>
      </c>
      <c r="B161" s="1" t="str">
        <f>"قطعات و لوازم يدكي"</f>
        <v>قطعات و لوازم يدكي</v>
      </c>
      <c r="C161" s="1">
        <v>101</v>
      </c>
      <c r="D161" s="1" t="str">
        <f>"انبار قطعات و لوازم يدكي اصفهان"</f>
        <v>انبار قطعات و لوازم يدكي اصفهان</v>
      </c>
      <c r="E161" s="1" t="str">
        <f>"4301010163"</f>
        <v>4301010163</v>
      </c>
      <c r="F161" s="1" t="str">
        <f>"OIL SEAL 416889"</f>
        <v>OIL SEAL 416889</v>
      </c>
      <c r="G161" s="1" t="str">
        <f>"عدد"</f>
        <v>عدد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O161" s="1">
        <v>97</v>
      </c>
      <c r="P161" s="1">
        <f t="shared" si="6"/>
        <v>0</v>
      </c>
      <c r="Q161" s="1">
        <f t="shared" si="7"/>
        <v>0</v>
      </c>
      <c r="R161" s="1" t="e">
        <f t="shared" si="8"/>
        <v>#DIV/0!</v>
      </c>
    </row>
    <row r="162" spans="1:18">
      <c r="A162" s="1">
        <v>2</v>
      </c>
      <c r="B162" s="1" t="str">
        <f>"قطعات و لوازم يدكي"</f>
        <v>قطعات و لوازم يدكي</v>
      </c>
      <c r="C162" s="1">
        <v>101</v>
      </c>
      <c r="D162" s="1" t="str">
        <f>"انبار قطعات و لوازم يدكي اصفهان"</f>
        <v>انبار قطعات و لوازم يدكي اصفهان</v>
      </c>
      <c r="E162" s="1" t="str">
        <f>"4301020012"</f>
        <v>4301020012</v>
      </c>
      <c r="F162" s="1" t="str">
        <f>"BALL BEARING E32313J"</f>
        <v>BALL BEARING E32313J</v>
      </c>
      <c r="G162" s="1" t="str">
        <f>"عدد"</f>
        <v>عدد</v>
      </c>
      <c r="H162" s="1">
        <v>1</v>
      </c>
      <c r="I162" s="1">
        <v>2290800</v>
      </c>
      <c r="J162" s="1">
        <v>0</v>
      </c>
      <c r="K162" s="1">
        <v>0</v>
      </c>
      <c r="L162" s="1">
        <v>0</v>
      </c>
      <c r="M162" s="1">
        <v>0</v>
      </c>
      <c r="O162" s="1">
        <v>97</v>
      </c>
      <c r="P162" s="4">
        <f t="shared" si="6"/>
        <v>2290800</v>
      </c>
      <c r="Q162" s="4">
        <f t="shared" si="7"/>
        <v>1</v>
      </c>
      <c r="R162" s="4">
        <f t="shared" si="8"/>
        <v>2290800</v>
      </c>
    </row>
    <row r="163" spans="1:18">
      <c r="A163" s="1">
        <v>2</v>
      </c>
      <c r="B163" s="1" t="str">
        <f>"قطعات و لوازم يدكي"</f>
        <v>قطعات و لوازم يدكي</v>
      </c>
      <c r="C163" s="1">
        <v>101</v>
      </c>
      <c r="D163" s="1" t="str">
        <f>"انبار قطعات و لوازم يدكي اصفهان"</f>
        <v>انبار قطعات و لوازم يدكي اصفهان</v>
      </c>
      <c r="E163" s="1" t="str">
        <f>"4304021143"</f>
        <v>4304021143</v>
      </c>
      <c r="F163" s="1" t="str">
        <f>"سلينگ رينگ"</f>
        <v>سلينگ رينگ</v>
      </c>
      <c r="G163" s="1" t="str">
        <f>"عدد"</f>
        <v>عدد</v>
      </c>
      <c r="H163" s="1">
        <v>3</v>
      </c>
      <c r="I163" s="1">
        <v>8514</v>
      </c>
      <c r="J163" s="1">
        <v>0</v>
      </c>
      <c r="K163" s="1">
        <v>0</v>
      </c>
      <c r="L163" s="1">
        <v>0</v>
      </c>
      <c r="M163" s="1">
        <v>0</v>
      </c>
      <c r="O163" s="1">
        <v>97</v>
      </c>
      <c r="P163" s="4">
        <f t="shared" si="6"/>
        <v>8514</v>
      </c>
      <c r="Q163" s="4">
        <f t="shared" si="7"/>
        <v>3</v>
      </c>
      <c r="R163" s="4">
        <f t="shared" si="8"/>
        <v>2838</v>
      </c>
    </row>
    <row r="164" spans="1:18">
      <c r="A164" s="1">
        <v>2</v>
      </c>
      <c r="B164" s="1" t="str">
        <f>"قطعات و لوازم يدكي"</f>
        <v>قطعات و لوازم يدكي</v>
      </c>
      <c r="C164" s="1">
        <v>101</v>
      </c>
      <c r="D164" s="1" t="str">
        <f>"انبار قطعات و لوازم يدكي اصفهان"</f>
        <v>انبار قطعات و لوازم يدكي اصفهان</v>
      </c>
      <c r="E164" s="1" t="str">
        <f>"4304021153"</f>
        <v>4304021153</v>
      </c>
      <c r="F164" s="1" t="str">
        <f>"سلينگ رينگ ."</f>
        <v>سلينگ رينگ .</v>
      </c>
      <c r="G164" s="1" t="str">
        <f>"عدد"</f>
        <v>عدد</v>
      </c>
      <c r="H164" s="1">
        <v>12</v>
      </c>
      <c r="I164" s="1">
        <v>34057</v>
      </c>
      <c r="J164" s="1">
        <v>0</v>
      </c>
      <c r="K164" s="1">
        <v>0</v>
      </c>
      <c r="L164" s="1">
        <v>0</v>
      </c>
      <c r="M164" s="1">
        <v>0</v>
      </c>
      <c r="O164" s="1">
        <v>97</v>
      </c>
      <c r="P164" s="4">
        <f t="shared" si="6"/>
        <v>34057</v>
      </c>
      <c r="Q164" s="4">
        <f t="shared" si="7"/>
        <v>12</v>
      </c>
      <c r="R164" s="4">
        <f t="shared" si="8"/>
        <v>2838.0833333333335</v>
      </c>
    </row>
    <row r="165" spans="1:18">
      <c r="A165" s="1">
        <v>2</v>
      </c>
      <c r="B165" s="1" t="str">
        <f>"قطعات و لوازم يدكي"</f>
        <v>قطعات و لوازم يدكي</v>
      </c>
      <c r="C165" s="1">
        <v>101</v>
      </c>
      <c r="D165" s="1" t="str">
        <f>"انبار قطعات و لوازم يدكي اصفهان"</f>
        <v>انبار قطعات و لوازم يدكي اصفهان</v>
      </c>
      <c r="E165" s="1" t="str">
        <f>"4304021309"</f>
        <v>4304021309</v>
      </c>
      <c r="F165" s="1" t="str">
        <f>"برينگ شفت"</f>
        <v>برينگ شفت</v>
      </c>
      <c r="G165" s="1" t="str">
        <f>"عدد"</f>
        <v>عدد</v>
      </c>
      <c r="H165" s="1">
        <v>1</v>
      </c>
      <c r="I165" s="1">
        <v>21870348</v>
      </c>
      <c r="J165" s="1">
        <v>0</v>
      </c>
      <c r="K165" s="1">
        <v>0</v>
      </c>
      <c r="L165" s="1">
        <v>0</v>
      </c>
      <c r="M165" s="1">
        <v>0</v>
      </c>
      <c r="O165" s="1">
        <v>97</v>
      </c>
      <c r="P165" s="4">
        <f t="shared" si="6"/>
        <v>21870348</v>
      </c>
      <c r="Q165" s="4">
        <f t="shared" si="7"/>
        <v>1</v>
      </c>
      <c r="R165" s="4">
        <f t="shared" si="8"/>
        <v>21870348</v>
      </c>
    </row>
    <row r="166" spans="1:18">
      <c r="A166" s="1">
        <v>2</v>
      </c>
      <c r="B166" s="1" t="str">
        <f>"قطعات و لوازم يدكي"</f>
        <v>قطعات و لوازم يدكي</v>
      </c>
      <c r="C166" s="1">
        <v>101</v>
      </c>
      <c r="D166" s="1" t="str">
        <f>"انبار قطعات و لوازم يدكي اصفهان"</f>
        <v>انبار قطعات و لوازم يدكي اصفهان</v>
      </c>
      <c r="E166" s="1" t="str">
        <f>"4304021393"</f>
        <v>4304021393</v>
      </c>
      <c r="F166" s="1" t="str">
        <f>"كلمپ رينگمنت"</f>
        <v>كلمپ رينگمنت</v>
      </c>
      <c r="G166" s="1" t="str">
        <f>"عدد"</f>
        <v>عدد</v>
      </c>
      <c r="H166" s="1">
        <v>2</v>
      </c>
      <c r="I166" s="1">
        <v>3357464</v>
      </c>
      <c r="J166" s="1">
        <v>0</v>
      </c>
      <c r="K166" s="1">
        <v>0</v>
      </c>
      <c r="L166" s="1">
        <v>0</v>
      </c>
      <c r="M166" s="1">
        <v>0</v>
      </c>
      <c r="O166" s="1">
        <v>97</v>
      </c>
      <c r="P166" s="4">
        <f t="shared" si="6"/>
        <v>3357464</v>
      </c>
      <c r="Q166" s="4">
        <f t="shared" si="7"/>
        <v>2</v>
      </c>
      <c r="R166" s="4">
        <f t="shared" si="8"/>
        <v>1678732</v>
      </c>
    </row>
    <row r="167" spans="1:18">
      <c r="A167" s="1">
        <v>2</v>
      </c>
      <c r="B167" s="1" t="str">
        <f>"قطعات و لوازم يدكي"</f>
        <v>قطعات و لوازم يدكي</v>
      </c>
      <c r="C167" s="1">
        <v>101</v>
      </c>
      <c r="D167" s="1" t="str">
        <f>"انبار قطعات و لوازم يدكي اصفهان"</f>
        <v>انبار قطعات و لوازم يدكي اصفهان</v>
      </c>
      <c r="E167" s="1" t="str">
        <f>"4304021433"</f>
        <v>4304021433</v>
      </c>
      <c r="F167" s="1" t="str">
        <f>"مکانيکالسيل اجي جي تور"</f>
        <v>مکانيکالسيل اجي جي تور</v>
      </c>
      <c r="G167" s="1" t="str">
        <f>"عدد"</f>
        <v>عدد</v>
      </c>
      <c r="H167" s="1">
        <v>4</v>
      </c>
      <c r="I167" s="1">
        <v>272000000</v>
      </c>
      <c r="J167" s="1">
        <v>0</v>
      </c>
      <c r="K167" s="1">
        <v>0</v>
      </c>
      <c r="L167" s="1">
        <v>0</v>
      </c>
      <c r="M167" s="1">
        <v>0</v>
      </c>
      <c r="O167" s="1">
        <v>97</v>
      </c>
      <c r="P167" s="4">
        <f t="shared" si="6"/>
        <v>272000000</v>
      </c>
      <c r="Q167" s="4">
        <f t="shared" si="7"/>
        <v>4</v>
      </c>
      <c r="R167" s="4">
        <f t="shared" si="8"/>
        <v>68000000</v>
      </c>
    </row>
    <row r="168" spans="1:18" hidden="1">
      <c r="A168" s="1">
        <v>2</v>
      </c>
      <c r="B168" s="1" t="str">
        <f>"قطعات و لوازم يدكي"</f>
        <v>قطعات و لوازم يدكي</v>
      </c>
      <c r="C168" s="1">
        <v>101</v>
      </c>
      <c r="D168" s="1" t="str">
        <f>"انبار قطعات و لوازم يدكي اصفهان"</f>
        <v>انبار قطعات و لوازم يدكي اصفهان</v>
      </c>
      <c r="E168" s="1" t="str">
        <f>"4304021493"</f>
        <v>4304021493</v>
      </c>
      <c r="F168" s="1" t="str">
        <f>"اورين وايتون 3/5*125"</f>
        <v>اورين وايتون 3/5*125</v>
      </c>
      <c r="G168" s="1" t="str">
        <f>"عدد"</f>
        <v>عدد</v>
      </c>
      <c r="H168" s="1">
        <v>0</v>
      </c>
      <c r="I168" s="1">
        <v>0</v>
      </c>
      <c r="J168" s="1">
        <v>6</v>
      </c>
      <c r="K168" s="1">
        <v>1200000</v>
      </c>
      <c r="L168" s="1">
        <v>6</v>
      </c>
      <c r="M168" s="1">
        <v>1200000</v>
      </c>
      <c r="O168" s="1">
        <v>97</v>
      </c>
      <c r="P168" s="1">
        <f t="shared" si="6"/>
        <v>0</v>
      </c>
      <c r="Q168" s="1">
        <f t="shared" si="7"/>
        <v>0</v>
      </c>
      <c r="R168" s="1" t="e">
        <f t="shared" si="8"/>
        <v>#DIV/0!</v>
      </c>
    </row>
    <row r="169" spans="1:18" hidden="1">
      <c r="A169" s="1">
        <v>2</v>
      </c>
      <c r="B169" s="1" t="str">
        <f>"قطعات و لوازم يدكي"</f>
        <v>قطعات و لوازم يدكي</v>
      </c>
      <c r="C169" s="1">
        <v>101</v>
      </c>
      <c r="D169" s="1" t="str">
        <f>"انبار قطعات و لوازم يدكي اصفهان"</f>
        <v>انبار قطعات و لوازم يدكي اصفهان</v>
      </c>
      <c r="E169" s="1" t="str">
        <f>"4304021503"</f>
        <v>4304021503</v>
      </c>
      <c r="F169" s="1" t="str">
        <f>"اورينگ وايتون 3/5*150"</f>
        <v>اورينگ وايتون 3/5*150</v>
      </c>
      <c r="G169" s="1" t="str">
        <f>"عدد"</f>
        <v>عدد</v>
      </c>
      <c r="H169" s="1">
        <v>0</v>
      </c>
      <c r="I169" s="1">
        <v>0</v>
      </c>
      <c r="J169" s="1">
        <v>6</v>
      </c>
      <c r="K169" s="1">
        <v>1500000</v>
      </c>
      <c r="L169" s="1">
        <v>6</v>
      </c>
      <c r="M169" s="1">
        <v>1500000</v>
      </c>
      <c r="O169" s="1">
        <v>97</v>
      </c>
      <c r="P169" s="1">
        <f t="shared" si="6"/>
        <v>0</v>
      </c>
      <c r="Q169" s="1">
        <f t="shared" si="7"/>
        <v>0</v>
      </c>
      <c r="R169" s="1" t="e">
        <f t="shared" si="8"/>
        <v>#DIV/0!</v>
      </c>
    </row>
    <row r="170" spans="1:18">
      <c r="A170" s="1">
        <v>2</v>
      </c>
      <c r="B170" s="1" t="str">
        <f>"قطعات و لوازم يدكي"</f>
        <v>قطعات و لوازم يدكي</v>
      </c>
      <c r="C170" s="1">
        <v>101</v>
      </c>
      <c r="D170" s="1" t="str">
        <f>"انبار قطعات و لوازم يدكي اصفهان"</f>
        <v>انبار قطعات و لوازم يدكي اصفهان</v>
      </c>
      <c r="E170" s="1" t="str">
        <f>"4314705343"</f>
        <v>4314705343</v>
      </c>
      <c r="F170" s="1" t="str">
        <f>"ignition"</f>
        <v>ignition</v>
      </c>
      <c r="G170" s="1" t="str">
        <f>"عدد"</f>
        <v>عدد</v>
      </c>
      <c r="H170" s="1">
        <v>7</v>
      </c>
      <c r="I170" s="1">
        <v>12712240</v>
      </c>
      <c r="J170" s="1">
        <v>0</v>
      </c>
      <c r="K170" s="1">
        <v>0</v>
      </c>
      <c r="L170" s="1">
        <v>1</v>
      </c>
      <c r="M170" s="1">
        <v>1816034</v>
      </c>
      <c r="O170" s="1">
        <v>97</v>
      </c>
      <c r="P170" s="4">
        <f t="shared" si="6"/>
        <v>10896206</v>
      </c>
      <c r="Q170" s="4">
        <f t="shared" si="7"/>
        <v>6</v>
      </c>
      <c r="R170" s="4">
        <f t="shared" si="8"/>
        <v>1816034.3333333333</v>
      </c>
    </row>
    <row r="171" spans="1:18">
      <c r="A171" s="1">
        <v>2</v>
      </c>
      <c r="B171" s="1" t="str">
        <f>"قطعات و لوازم يدكي"</f>
        <v>قطعات و لوازم يدكي</v>
      </c>
      <c r="C171" s="1">
        <v>101</v>
      </c>
      <c r="D171" s="1" t="str">
        <f>"انبار قطعات و لوازم يدكي اصفهان"</f>
        <v>انبار قطعات و لوازم يدكي اصفهان</v>
      </c>
      <c r="E171" s="1" t="str">
        <f>"4353020712"</f>
        <v>4353020712</v>
      </c>
      <c r="F171" s="1" t="str">
        <f>"گسكت فلزي E-1001A/B (چنل و چنل کاور)"</f>
        <v>گسكت فلزي E-1001A/B (چنل و چنل کاور)</v>
      </c>
      <c r="G171" s="1" t="str">
        <f>"عدد"</f>
        <v>عدد</v>
      </c>
      <c r="H171" s="1">
        <v>5</v>
      </c>
      <c r="I171" s="1">
        <v>9960278</v>
      </c>
      <c r="J171" s="1">
        <v>10</v>
      </c>
      <c r="K171" s="1">
        <v>162931000</v>
      </c>
      <c r="L171" s="1">
        <v>5</v>
      </c>
      <c r="M171" s="1">
        <v>9960278</v>
      </c>
      <c r="O171" s="1">
        <v>97</v>
      </c>
      <c r="P171" s="4">
        <f t="shared" si="6"/>
        <v>162931000</v>
      </c>
      <c r="Q171" s="4">
        <f t="shared" si="7"/>
        <v>10</v>
      </c>
      <c r="R171" s="4">
        <f t="shared" si="8"/>
        <v>16293100</v>
      </c>
    </row>
    <row r="172" spans="1:18">
      <c r="A172" s="1">
        <v>2</v>
      </c>
      <c r="B172" s="1" t="str">
        <f>"قطعات و لوازم يدكي"</f>
        <v>قطعات و لوازم يدكي</v>
      </c>
      <c r="C172" s="1">
        <v>101</v>
      </c>
      <c r="D172" s="1" t="str">
        <f>"انبار قطعات و لوازم يدكي اصفهان"</f>
        <v>انبار قطعات و لوازم يدكي اصفهان</v>
      </c>
      <c r="E172" s="1" t="str">
        <f>"4353021722"</f>
        <v>4353021722</v>
      </c>
      <c r="F172" s="1" t="str">
        <f>"گسكت فلزي E-1001A/B (فلوتينگ)"</f>
        <v>گسكت فلزي E-1001A/B (فلوتينگ)</v>
      </c>
      <c r="G172" s="1" t="str">
        <f>"عدد"</f>
        <v>عدد</v>
      </c>
      <c r="H172" s="1">
        <v>10</v>
      </c>
      <c r="I172" s="1">
        <v>20069706</v>
      </c>
      <c r="J172" s="1">
        <v>4</v>
      </c>
      <c r="K172" s="1">
        <v>63582800</v>
      </c>
      <c r="L172" s="1">
        <v>2</v>
      </c>
      <c r="M172" s="1">
        <v>4013941</v>
      </c>
      <c r="O172" s="1">
        <v>97</v>
      </c>
      <c r="P172" s="4">
        <f t="shared" si="6"/>
        <v>79638565</v>
      </c>
      <c r="Q172" s="4">
        <f t="shared" si="7"/>
        <v>12</v>
      </c>
      <c r="R172" s="4">
        <f t="shared" si="8"/>
        <v>6636547.083333333</v>
      </c>
    </row>
    <row r="173" spans="1:18">
      <c r="A173" s="1">
        <v>2</v>
      </c>
      <c r="B173" s="1" t="str">
        <f>"قطعات و لوازم يدكي"</f>
        <v>قطعات و لوازم يدكي</v>
      </c>
      <c r="C173" s="1">
        <v>101</v>
      </c>
      <c r="D173" s="1" t="str">
        <f>"انبار قطعات و لوازم يدكي اصفهان"</f>
        <v>انبار قطعات و لوازم يدكي اصفهان</v>
      </c>
      <c r="E173" s="1" t="str">
        <f>"4353021732"</f>
        <v>4353021732</v>
      </c>
      <c r="F173" s="1" t="str">
        <f>"گسكت فلزي E-1001C (چنل وچنل کاور)"</f>
        <v>گسكت فلزي E-1001C (چنل وچنل کاور)</v>
      </c>
      <c r="G173" s="1" t="str">
        <f>"عدد"</f>
        <v>عدد</v>
      </c>
      <c r="H173" s="1">
        <v>11</v>
      </c>
      <c r="I173" s="1">
        <v>41658718</v>
      </c>
      <c r="J173" s="1">
        <v>1</v>
      </c>
      <c r="K173" s="1">
        <v>3787156</v>
      </c>
      <c r="L173" s="1">
        <v>2</v>
      </c>
      <c r="M173" s="1">
        <v>7574312</v>
      </c>
      <c r="O173" s="1">
        <v>97</v>
      </c>
      <c r="P173" s="4">
        <f t="shared" si="6"/>
        <v>37871562</v>
      </c>
      <c r="Q173" s="4">
        <f t="shared" si="7"/>
        <v>10</v>
      </c>
      <c r="R173" s="4">
        <f t="shared" si="8"/>
        <v>3787156.2</v>
      </c>
    </row>
    <row r="174" spans="1:18">
      <c r="A174" s="1">
        <v>2</v>
      </c>
      <c r="B174" s="1" t="str">
        <f>"قطعات و لوازم يدكي"</f>
        <v>قطعات و لوازم يدكي</v>
      </c>
      <c r="C174" s="1">
        <v>101</v>
      </c>
      <c r="D174" s="1" t="str">
        <f>"انبار قطعات و لوازم يدكي اصفهان"</f>
        <v>انبار قطعات و لوازم يدكي اصفهان</v>
      </c>
      <c r="E174" s="1" t="str">
        <f>"4355418572"</f>
        <v>4355418572</v>
      </c>
      <c r="F174" s="1" t="str">
        <f>"بيرينگ بلور فن"</f>
        <v>بيرينگ بلور فن</v>
      </c>
      <c r="G174" s="1" t="str">
        <f>"ST"</f>
        <v>ST</v>
      </c>
      <c r="H174" s="1">
        <v>6</v>
      </c>
      <c r="I174" s="1">
        <v>1428000</v>
      </c>
      <c r="J174" s="1">
        <v>0</v>
      </c>
      <c r="K174" s="1">
        <v>0</v>
      </c>
      <c r="L174" s="1">
        <v>0</v>
      </c>
      <c r="M174" s="1">
        <v>0</v>
      </c>
      <c r="O174" s="1">
        <v>97</v>
      </c>
      <c r="P174" s="4">
        <f t="shared" si="6"/>
        <v>1428000</v>
      </c>
      <c r="Q174" s="4">
        <f t="shared" si="7"/>
        <v>6</v>
      </c>
      <c r="R174" s="4">
        <f t="shared" si="8"/>
        <v>238000</v>
      </c>
    </row>
    <row r="175" spans="1:18">
      <c r="A175" s="1">
        <v>2</v>
      </c>
      <c r="B175" s="1" t="str">
        <f>"قطعات و لوازم يدكي"</f>
        <v>قطعات و لوازم يدكي</v>
      </c>
      <c r="C175" s="1">
        <v>101</v>
      </c>
      <c r="D175" s="1" t="str">
        <f>"انبار قطعات و لوازم يدكي اصفهان"</f>
        <v>انبار قطعات و لوازم يدكي اصفهان</v>
      </c>
      <c r="E175" s="1" t="str">
        <f>"4355418582"</f>
        <v>4355418582</v>
      </c>
      <c r="F175" s="1" t="str">
        <f>"مو تور فن پنجره اي 19"</f>
        <v>مو تور فن پنجره اي 19</v>
      </c>
      <c r="G175" s="1" t="str">
        <f>"عدد"</f>
        <v>عدد</v>
      </c>
      <c r="H175" s="1">
        <v>1</v>
      </c>
      <c r="I175" s="1">
        <v>638000</v>
      </c>
      <c r="J175" s="1">
        <v>0</v>
      </c>
      <c r="K175" s="1">
        <v>0</v>
      </c>
      <c r="L175" s="1">
        <v>0</v>
      </c>
      <c r="M175" s="1">
        <v>0</v>
      </c>
      <c r="O175" s="1">
        <v>97</v>
      </c>
      <c r="P175" s="4">
        <f t="shared" si="6"/>
        <v>638000</v>
      </c>
      <c r="Q175" s="4">
        <f t="shared" si="7"/>
        <v>1</v>
      </c>
      <c r="R175" s="4">
        <f t="shared" si="8"/>
        <v>638000</v>
      </c>
    </row>
    <row r="176" spans="1:18">
      <c r="A176" s="1">
        <v>2</v>
      </c>
      <c r="B176" s="1" t="str">
        <f>"قطعات و لوازم يدكي"</f>
        <v>قطعات و لوازم يدكي</v>
      </c>
      <c r="C176" s="1">
        <v>101</v>
      </c>
      <c r="D176" s="1" t="str">
        <f>"انبار قطعات و لوازم يدكي اصفهان"</f>
        <v>انبار قطعات و لوازم يدكي اصفهان</v>
      </c>
      <c r="E176" s="1" t="str">
        <f>"4355418612"</f>
        <v>4355418612</v>
      </c>
      <c r="F176" s="1" t="str">
        <f>"نشانگر روغن"</f>
        <v>نشانگر روغن</v>
      </c>
      <c r="G176" s="1" t="str">
        <f>"عدد"</f>
        <v>عدد</v>
      </c>
      <c r="H176" s="1">
        <v>46</v>
      </c>
      <c r="I176" s="1">
        <v>32815494</v>
      </c>
      <c r="J176" s="1">
        <v>0</v>
      </c>
      <c r="K176" s="1">
        <v>0</v>
      </c>
      <c r="L176" s="1">
        <v>5</v>
      </c>
      <c r="M176" s="1">
        <v>3566901</v>
      </c>
      <c r="O176" s="1">
        <v>97</v>
      </c>
      <c r="P176" s="4">
        <f t="shared" si="6"/>
        <v>29248593</v>
      </c>
      <c r="Q176" s="4">
        <f t="shared" si="7"/>
        <v>41</v>
      </c>
      <c r="R176" s="4">
        <f t="shared" si="8"/>
        <v>713380.31707317068</v>
      </c>
    </row>
    <row r="177" spans="1:18">
      <c r="A177" s="1">
        <v>2</v>
      </c>
      <c r="B177" s="1" t="str">
        <f>"قطعات و لوازم يدكي"</f>
        <v>قطعات و لوازم يدكي</v>
      </c>
      <c r="C177" s="1">
        <v>101</v>
      </c>
      <c r="D177" s="1" t="str">
        <f>"انبار قطعات و لوازم يدكي اصفهان"</f>
        <v>انبار قطعات و لوازم يدكي اصفهان</v>
      </c>
      <c r="E177" s="1" t="str">
        <f>"5800083132"</f>
        <v>5800083132</v>
      </c>
      <c r="F177" s="1" t="str">
        <f>"بال بيرينگ 6213 2Z C3"</f>
        <v>بال بيرينگ 6213 2Z C3</v>
      </c>
      <c r="G177" s="1" t="str">
        <f>"عدد"</f>
        <v>عدد</v>
      </c>
      <c r="H177" s="1">
        <v>2</v>
      </c>
      <c r="I177" s="1">
        <v>2406667</v>
      </c>
      <c r="J177" s="1">
        <v>3</v>
      </c>
      <c r="K177" s="1">
        <v>18000000</v>
      </c>
      <c r="L177" s="1">
        <v>3</v>
      </c>
      <c r="M177" s="1">
        <v>8406667</v>
      </c>
      <c r="O177" s="1">
        <v>97</v>
      </c>
      <c r="P177" s="4">
        <f t="shared" si="6"/>
        <v>12000000</v>
      </c>
      <c r="Q177" s="4">
        <f t="shared" si="7"/>
        <v>2</v>
      </c>
      <c r="R177" s="4">
        <f t="shared" si="8"/>
        <v>6000000</v>
      </c>
    </row>
    <row r="178" spans="1:18">
      <c r="A178" s="1">
        <v>2</v>
      </c>
      <c r="B178" s="1" t="str">
        <f>"قطعات و لوازم يدكي"</f>
        <v>قطعات و لوازم يدكي</v>
      </c>
      <c r="C178" s="1">
        <v>101</v>
      </c>
      <c r="D178" s="1" t="str">
        <f>"انبار قطعات و لوازم يدكي اصفهان"</f>
        <v>انبار قطعات و لوازم يدكي اصفهان</v>
      </c>
      <c r="E178" s="1" t="str">
        <f>"5800168162"</f>
        <v>5800168162</v>
      </c>
      <c r="F178" s="1" t="str">
        <f>"بال بيرينگ 6316 C3"</f>
        <v>بال بيرينگ 6316 C3</v>
      </c>
      <c r="G178" s="1" t="str">
        <f>"عدد"</f>
        <v>عدد</v>
      </c>
      <c r="H178" s="1">
        <v>3</v>
      </c>
      <c r="I178" s="1">
        <v>7410000</v>
      </c>
      <c r="J178" s="1">
        <v>0</v>
      </c>
      <c r="K178" s="1">
        <v>0</v>
      </c>
      <c r="L178" s="1">
        <v>0</v>
      </c>
      <c r="M178" s="1">
        <v>0</v>
      </c>
      <c r="O178" s="1">
        <v>97</v>
      </c>
      <c r="P178" s="4">
        <f t="shared" si="6"/>
        <v>7410000</v>
      </c>
      <c r="Q178" s="4">
        <f t="shared" si="7"/>
        <v>3</v>
      </c>
      <c r="R178" s="4">
        <f t="shared" si="8"/>
        <v>2470000</v>
      </c>
    </row>
    <row r="179" spans="1:18" hidden="1">
      <c r="A179" s="1">
        <v>2</v>
      </c>
      <c r="B179" s="1" t="str">
        <f>"قطعات و لوازم يدكي"</f>
        <v>قطعات و لوازم يدكي</v>
      </c>
      <c r="C179" s="1">
        <v>101</v>
      </c>
      <c r="D179" s="1" t="str">
        <f>"انبار قطعات و لوازم يدكي اصفهان"</f>
        <v>انبار قطعات و لوازم يدكي اصفهان</v>
      </c>
      <c r="E179" s="1" t="str">
        <f>"5808223122"</f>
        <v>5808223122</v>
      </c>
      <c r="F179" s="1" t="str">
        <f>"Tapered Roller Bearing 3872"</f>
        <v>Tapered Roller Bearing 3872</v>
      </c>
      <c r="G179" s="1" t="str">
        <f>"عدد"</f>
        <v>عدد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O179" s="1">
        <v>97</v>
      </c>
      <c r="P179" s="1">
        <f t="shared" si="6"/>
        <v>0</v>
      </c>
      <c r="Q179" s="1">
        <f t="shared" si="7"/>
        <v>0</v>
      </c>
      <c r="R179" s="1" t="e">
        <f t="shared" si="8"/>
        <v>#DIV/0!</v>
      </c>
    </row>
    <row r="180" spans="1:18">
      <c r="A180" s="1">
        <v>2</v>
      </c>
      <c r="B180" s="1" t="str">
        <f>"قطعات و لوازم يدكي"</f>
        <v>قطعات و لوازم يدكي</v>
      </c>
      <c r="C180" s="1">
        <v>101</v>
      </c>
      <c r="D180" s="1" t="str">
        <f>"انبار قطعات و لوازم يدكي اصفهان"</f>
        <v>انبار قطعات و لوازم يدكي اصفهان</v>
      </c>
      <c r="E180" s="1" t="str">
        <f>"5812961122"</f>
        <v>5812961122</v>
      </c>
      <c r="F180" s="1" t="str">
        <f>"واشر خورشيدي مخصوص p-1001"</f>
        <v>واشر خورشيدي مخصوص p-1001</v>
      </c>
      <c r="G180" s="1" t="str">
        <f>"عدد"</f>
        <v>عدد</v>
      </c>
      <c r="H180" s="1">
        <v>8</v>
      </c>
      <c r="I180" s="1">
        <v>120000</v>
      </c>
      <c r="J180" s="1">
        <v>0</v>
      </c>
      <c r="K180" s="1">
        <v>0</v>
      </c>
      <c r="L180" s="1">
        <v>0</v>
      </c>
      <c r="M180" s="1">
        <v>0</v>
      </c>
      <c r="O180" s="1">
        <v>97</v>
      </c>
      <c r="P180" s="4">
        <f t="shared" si="6"/>
        <v>120000</v>
      </c>
      <c r="Q180" s="4">
        <f t="shared" si="7"/>
        <v>8</v>
      </c>
      <c r="R180" s="4">
        <f t="shared" si="8"/>
        <v>15000</v>
      </c>
    </row>
    <row r="181" spans="1:18" hidden="1">
      <c r="A181" s="1">
        <v>2</v>
      </c>
      <c r="B181" s="1" t="str">
        <f>"قطعات و لوازم يدكي"</f>
        <v>قطعات و لوازم يدكي</v>
      </c>
      <c r="C181" s="1">
        <v>101</v>
      </c>
      <c r="D181" s="1" t="str">
        <f>"انبار قطعات و لوازم يدكي اصفهان"</f>
        <v>انبار قطعات و لوازم يدكي اصفهان</v>
      </c>
      <c r="E181" s="1" t="str">
        <f>"5820590193"</f>
        <v>5820590193</v>
      </c>
      <c r="F181" s="1" t="str">
        <f>"فور سيل (for seal size 1500"</f>
        <v>فور سيل (for seal size 1500</v>
      </c>
      <c r="G181" s="1" t="str">
        <f>"عدد"</f>
        <v>عدد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O181" s="1">
        <v>97</v>
      </c>
      <c r="P181" s="1">
        <f t="shared" si="6"/>
        <v>0</v>
      </c>
      <c r="Q181" s="1">
        <f t="shared" si="7"/>
        <v>0</v>
      </c>
      <c r="R181" s="1" t="e">
        <f t="shared" si="8"/>
        <v>#DIV/0!</v>
      </c>
    </row>
    <row r="182" spans="1:18" hidden="1">
      <c r="A182" s="1">
        <v>2</v>
      </c>
      <c r="B182" s="1" t="str">
        <f>"قطعات و لوازم يدكي"</f>
        <v>قطعات و لوازم يدكي</v>
      </c>
      <c r="C182" s="1">
        <v>101</v>
      </c>
      <c r="D182" s="1" t="str">
        <f>"انبار قطعات و لوازم يدكي اصفهان"</f>
        <v>انبار قطعات و لوازم يدكي اصفهان</v>
      </c>
      <c r="E182" s="1" t="str">
        <f>"5820786063"</f>
        <v>5820786063</v>
      </c>
      <c r="F182" s="1" t="str">
        <f>"مكاني كال سيل كامپليت(mechanical seal somplete)"</f>
        <v>مكاني كال سيل كامپليت(mechanical seal somplete)</v>
      </c>
      <c r="G182" s="1" t="str">
        <f>"عدد"</f>
        <v>عدد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O182" s="1">
        <v>97</v>
      </c>
      <c r="P182" s="1">
        <f t="shared" si="6"/>
        <v>0</v>
      </c>
      <c r="Q182" s="1">
        <f t="shared" si="7"/>
        <v>0</v>
      </c>
      <c r="R182" s="1" t="e">
        <f t="shared" si="8"/>
        <v>#DIV/0!</v>
      </c>
    </row>
    <row r="183" spans="1:18">
      <c r="A183" s="1">
        <v>2</v>
      </c>
      <c r="B183" s="1" t="str">
        <f>"قطعات و لوازم يدكي"</f>
        <v>قطعات و لوازم يدكي</v>
      </c>
      <c r="C183" s="1">
        <v>101</v>
      </c>
      <c r="D183" s="1" t="str">
        <f>"انبار قطعات و لوازم يدكي اصفهان"</f>
        <v>انبار قطعات و لوازم يدكي اصفهان</v>
      </c>
      <c r="E183" s="1" t="str">
        <f>"5905251003"</f>
        <v>5905251003</v>
      </c>
      <c r="F183" s="1" t="str">
        <f>"AMP 130ARDامپر130"</f>
        <v>AMP 130ARDامپر130</v>
      </c>
      <c r="G183" s="1" t="str">
        <f>"عدد"</f>
        <v>عدد</v>
      </c>
      <c r="H183" s="1">
        <v>3</v>
      </c>
      <c r="I183" s="1">
        <v>651775</v>
      </c>
      <c r="J183" s="1">
        <v>0</v>
      </c>
      <c r="K183" s="1">
        <v>0</v>
      </c>
      <c r="L183" s="1">
        <v>0</v>
      </c>
      <c r="M183" s="1">
        <v>0</v>
      </c>
      <c r="O183" s="1">
        <v>97</v>
      </c>
      <c r="P183" s="4">
        <f t="shared" si="6"/>
        <v>651775</v>
      </c>
      <c r="Q183" s="4">
        <f t="shared" si="7"/>
        <v>3</v>
      </c>
      <c r="R183" s="4">
        <f t="shared" si="8"/>
        <v>217258.33333333334</v>
      </c>
    </row>
    <row r="184" spans="1:18">
      <c r="A184" s="1">
        <v>2</v>
      </c>
      <c r="B184" s="1" t="str">
        <f>"قطعات و لوازم يدكي"</f>
        <v>قطعات و لوازم يدكي</v>
      </c>
      <c r="C184" s="1">
        <v>101</v>
      </c>
      <c r="D184" s="1" t="str">
        <f>"انبار قطعات و لوازم يدكي اصفهان"</f>
        <v>انبار قطعات و لوازم يدكي اصفهان</v>
      </c>
      <c r="E184" s="1" t="str">
        <f>"5905251153"</f>
        <v>5905251153</v>
      </c>
      <c r="F184" s="1" t="str">
        <f>"PROXIMITOR"</f>
        <v>PROXIMITOR</v>
      </c>
      <c r="G184" s="1" t="str">
        <f>"عدد"</f>
        <v>عدد</v>
      </c>
      <c r="H184" s="1">
        <v>4</v>
      </c>
      <c r="I184" s="1">
        <v>459098</v>
      </c>
      <c r="J184" s="1">
        <v>0</v>
      </c>
      <c r="K184" s="1">
        <v>0</v>
      </c>
      <c r="L184" s="1">
        <v>0</v>
      </c>
      <c r="M184" s="1">
        <v>0</v>
      </c>
      <c r="O184" s="1">
        <v>97</v>
      </c>
      <c r="P184" s="4">
        <f t="shared" si="6"/>
        <v>459098</v>
      </c>
      <c r="Q184" s="4">
        <f t="shared" si="7"/>
        <v>4</v>
      </c>
      <c r="R184" s="4">
        <f t="shared" si="8"/>
        <v>114774.5</v>
      </c>
    </row>
    <row r="185" spans="1:18">
      <c r="A185" s="1">
        <v>2</v>
      </c>
      <c r="B185" s="1" t="str">
        <f>"قطعات و لوازم يدكي"</f>
        <v>قطعات و لوازم يدكي</v>
      </c>
      <c r="C185" s="1">
        <v>101</v>
      </c>
      <c r="D185" s="1" t="str">
        <f>"انبار قطعات و لوازم يدكي اصفهان"</f>
        <v>انبار قطعات و لوازم يدكي اصفهان</v>
      </c>
      <c r="E185" s="1" t="str">
        <f>"5905251173"</f>
        <v>5905251173</v>
      </c>
      <c r="F185" s="1" t="str">
        <f>"TREP CIRCUITقطع كننده جريان"</f>
        <v>TREP CIRCUITقطع كننده جريان</v>
      </c>
      <c r="G185" s="1" t="str">
        <f>"عدد"</f>
        <v>عدد</v>
      </c>
      <c r="H185" s="1">
        <v>3</v>
      </c>
      <c r="I185" s="1">
        <v>106102</v>
      </c>
      <c r="J185" s="1">
        <v>0</v>
      </c>
      <c r="K185" s="1">
        <v>0</v>
      </c>
      <c r="L185" s="1">
        <v>0</v>
      </c>
      <c r="M185" s="1">
        <v>0</v>
      </c>
      <c r="O185" s="1">
        <v>97</v>
      </c>
      <c r="P185" s="4">
        <f t="shared" si="6"/>
        <v>106102</v>
      </c>
      <c r="Q185" s="4">
        <f t="shared" si="7"/>
        <v>3</v>
      </c>
      <c r="R185" s="4">
        <f t="shared" si="8"/>
        <v>35367.333333333336</v>
      </c>
    </row>
    <row r="186" spans="1:18">
      <c r="A186" s="1">
        <v>2</v>
      </c>
      <c r="B186" s="1" t="str">
        <f>"قطعات و لوازم يدكي"</f>
        <v>قطعات و لوازم يدكي</v>
      </c>
      <c r="C186" s="1">
        <v>101</v>
      </c>
      <c r="D186" s="1" t="str">
        <f>"انبار قطعات و لوازم يدكي اصفهان"</f>
        <v>انبار قطعات و لوازم يدكي اصفهان</v>
      </c>
      <c r="E186" s="1" t="str">
        <f>"3114816373"</f>
        <v>3114816373</v>
      </c>
      <c r="F186" s="1" t="str">
        <f>"واشر با سايز 54 P-1001,1002C,P-1602A/B/C"</f>
        <v>واشر با سايز 54 P-1001,1002C,P-1602A/B/C</v>
      </c>
      <c r="G186" s="1" t="str">
        <f>"عدد"</f>
        <v>عدد</v>
      </c>
      <c r="H186" s="1">
        <v>9</v>
      </c>
      <c r="I186" s="1">
        <v>900000</v>
      </c>
      <c r="J186" s="1">
        <v>0</v>
      </c>
      <c r="K186" s="1">
        <v>0</v>
      </c>
      <c r="L186" s="1">
        <v>0</v>
      </c>
      <c r="M186" s="1">
        <v>0</v>
      </c>
      <c r="O186" s="1">
        <v>97</v>
      </c>
      <c r="P186" s="4">
        <f t="shared" si="6"/>
        <v>900000</v>
      </c>
      <c r="Q186" s="4">
        <f t="shared" si="7"/>
        <v>9</v>
      </c>
      <c r="R186" s="4">
        <f t="shared" si="8"/>
        <v>100000</v>
      </c>
    </row>
    <row r="187" spans="1:18">
      <c r="A187" s="1">
        <v>2</v>
      </c>
      <c r="B187" s="1" t="str">
        <f>"قطعات و لوازم يدكي"</f>
        <v>قطعات و لوازم يدكي</v>
      </c>
      <c r="C187" s="1">
        <v>101</v>
      </c>
      <c r="D187" s="1" t="str">
        <f>"انبار قطعات و لوازم يدكي اصفهان"</f>
        <v>انبار قطعات و لوازم يدكي اصفهان</v>
      </c>
      <c r="E187" s="1" t="str">
        <f>"3371155033"</f>
        <v>3371155033</v>
      </c>
      <c r="F187" s="1" t="str">
        <f>"تيمينگ گر الوي ست"</f>
        <v>تيمينگ گر الوي ست</v>
      </c>
      <c r="G187" s="1" t="str">
        <f>"عدد"</f>
        <v>عدد</v>
      </c>
      <c r="H187" s="1">
        <v>2</v>
      </c>
      <c r="I187" s="1">
        <v>3807586</v>
      </c>
      <c r="J187" s="1">
        <v>0</v>
      </c>
      <c r="K187" s="1">
        <v>0</v>
      </c>
      <c r="L187" s="1">
        <v>0</v>
      </c>
      <c r="M187" s="1">
        <v>0</v>
      </c>
      <c r="O187" s="1">
        <v>97</v>
      </c>
      <c r="P187" s="4">
        <f t="shared" si="6"/>
        <v>3807586</v>
      </c>
      <c r="Q187" s="4">
        <f t="shared" si="7"/>
        <v>2</v>
      </c>
      <c r="R187" s="4">
        <f t="shared" si="8"/>
        <v>1903793</v>
      </c>
    </row>
    <row r="188" spans="1:18">
      <c r="A188" s="1">
        <v>2</v>
      </c>
      <c r="B188" s="1" t="str">
        <f>"قطعات و لوازم يدكي"</f>
        <v>قطعات و لوازم يدكي</v>
      </c>
      <c r="C188" s="1">
        <v>101</v>
      </c>
      <c r="D188" s="1" t="str">
        <f>"انبار قطعات و لوازم يدكي اصفهان"</f>
        <v>انبار قطعات و لوازم يدكي اصفهان</v>
      </c>
      <c r="E188" s="1" t="str">
        <f>"3371155123"</f>
        <v>3371155123</v>
      </c>
      <c r="F188" s="1" t="str">
        <f>"اسپاكر تامينگ گر"</f>
        <v>اسپاكر تامينگ گر</v>
      </c>
      <c r="G188" s="1" t="str">
        <f>"عدد"</f>
        <v>عدد</v>
      </c>
      <c r="H188" s="1">
        <v>2</v>
      </c>
      <c r="I188" s="1">
        <v>1821</v>
      </c>
      <c r="J188" s="1">
        <v>0</v>
      </c>
      <c r="K188" s="1">
        <v>0</v>
      </c>
      <c r="L188" s="1">
        <v>0</v>
      </c>
      <c r="M188" s="1">
        <v>0</v>
      </c>
      <c r="O188" s="1">
        <v>97</v>
      </c>
      <c r="P188" s="4">
        <f t="shared" si="6"/>
        <v>1821</v>
      </c>
      <c r="Q188" s="4">
        <f t="shared" si="7"/>
        <v>2</v>
      </c>
      <c r="R188" s="4">
        <f t="shared" si="8"/>
        <v>910.5</v>
      </c>
    </row>
    <row r="189" spans="1:18">
      <c r="A189" s="1">
        <v>2</v>
      </c>
      <c r="B189" s="1" t="str">
        <f>"قطعات و لوازم يدكي"</f>
        <v>قطعات و لوازم يدكي</v>
      </c>
      <c r="C189" s="1">
        <v>101</v>
      </c>
      <c r="D189" s="1" t="str">
        <f>"انبار قطعات و لوازم يدكي اصفهان"</f>
        <v>انبار قطعات و لوازم يدكي اصفهان</v>
      </c>
      <c r="E189" s="1" t="str">
        <f>"3371155263"</f>
        <v>3371155263</v>
      </c>
      <c r="F189" s="1" t="str">
        <f>"برينگ اينر راس"</f>
        <v>برينگ اينر راس</v>
      </c>
      <c r="G189" s="1" t="str">
        <f>"عدد"</f>
        <v>عدد</v>
      </c>
      <c r="H189" s="1">
        <v>2</v>
      </c>
      <c r="I189" s="1">
        <v>74921</v>
      </c>
      <c r="J189" s="1">
        <v>0</v>
      </c>
      <c r="K189" s="1">
        <v>0</v>
      </c>
      <c r="L189" s="1">
        <v>0</v>
      </c>
      <c r="M189" s="1">
        <v>0</v>
      </c>
      <c r="O189" s="1">
        <v>97</v>
      </c>
      <c r="P189" s="4">
        <f t="shared" si="6"/>
        <v>74921</v>
      </c>
      <c r="Q189" s="4">
        <f t="shared" si="7"/>
        <v>2</v>
      </c>
      <c r="R189" s="4">
        <f t="shared" si="8"/>
        <v>37460.5</v>
      </c>
    </row>
    <row r="190" spans="1:18">
      <c r="A190" s="1">
        <v>2</v>
      </c>
      <c r="B190" s="1" t="str">
        <f>"قطعات و لوازم يدكي"</f>
        <v>قطعات و لوازم يدكي</v>
      </c>
      <c r="C190" s="1">
        <v>101</v>
      </c>
      <c r="D190" s="1" t="str">
        <f>"انبار قطعات و لوازم يدكي اصفهان"</f>
        <v>انبار قطعات و لوازم يدكي اصفهان</v>
      </c>
      <c r="E190" s="1" t="str">
        <f>"4301010062"</f>
        <v>4301010062</v>
      </c>
      <c r="F190" s="1" t="str">
        <f>"کاسه نمد 10   47    28"</f>
        <v>کاسه نمد 10   47    28</v>
      </c>
      <c r="G190" s="1" t="str">
        <f>"عدد"</f>
        <v>عدد</v>
      </c>
      <c r="H190" s="1">
        <v>10</v>
      </c>
      <c r="I190" s="1">
        <v>900000</v>
      </c>
      <c r="J190" s="1">
        <v>0</v>
      </c>
      <c r="K190" s="1">
        <v>0</v>
      </c>
      <c r="L190" s="1">
        <v>0</v>
      </c>
      <c r="M190" s="1">
        <v>0</v>
      </c>
      <c r="O190" s="1">
        <v>97</v>
      </c>
      <c r="P190" s="4">
        <f t="shared" si="6"/>
        <v>900000</v>
      </c>
      <c r="Q190" s="4">
        <f t="shared" si="7"/>
        <v>10</v>
      </c>
      <c r="R190" s="4">
        <f t="shared" si="8"/>
        <v>90000</v>
      </c>
    </row>
    <row r="191" spans="1:18">
      <c r="A191" s="1">
        <v>2</v>
      </c>
      <c r="B191" s="1" t="str">
        <f>"قطعات و لوازم يدكي"</f>
        <v>قطعات و لوازم يدكي</v>
      </c>
      <c r="C191" s="1">
        <v>101</v>
      </c>
      <c r="D191" s="1" t="str">
        <f>"انبار قطعات و لوازم يدكي اصفهان"</f>
        <v>انبار قطعات و لوازم يدكي اصفهان</v>
      </c>
      <c r="E191" s="1" t="str">
        <f>"4301010083"</f>
        <v>4301010083</v>
      </c>
      <c r="F191" s="1" t="str">
        <f>"Process lens for P2000"</f>
        <v>Process lens for P2000</v>
      </c>
      <c r="G191" s="1" t="str">
        <f>"عدد"</f>
        <v>عدد</v>
      </c>
      <c r="H191" s="1">
        <v>1</v>
      </c>
      <c r="I191" s="1">
        <v>28751000</v>
      </c>
      <c r="J191" s="1">
        <v>0</v>
      </c>
      <c r="K191" s="1">
        <v>0</v>
      </c>
      <c r="L191" s="1">
        <v>0</v>
      </c>
      <c r="M191" s="1">
        <v>0</v>
      </c>
      <c r="O191" s="1">
        <v>97</v>
      </c>
      <c r="P191" s="4">
        <f t="shared" si="6"/>
        <v>28751000</v>
      </c>
      <c r="Q191" s="4">
        <f t="shared" si="7"/>
        <v>1</v>
      </c>
      <c r="R191" s="4">
        <f t="shared" si="8"/>
        <v>28751000</v>
      </c>
    </row>
    <row r="192" spans="1:18">
      <c r="A192" s="1">
        <v>2</v>
      </c>
      <c r="B192" s="1" t="str">
        <f>"قطعات و لوازم يدكي"</f>
        <v>قطعات و لوازم يدكي</v>
      </c>
      <c r="C192" s="1">
        <v>101</v>
      </c>
      <c r="D192" s="1" t="str">
        <f>"انبار قطعات و لوازم يدكي اصفهان"</f>
        <v>انبار قطعات و لوازم يدكي اصفهان</v>
      </c>
      <c r="E192" s="1" t="str">
        <f>"4301010093"</f>
        <v>4301010093</v>
      </c>
      <c r="F192" s="1" t="str">
        <f>"Seals Spares Kit for P2000"</f>
        <v>Seals Spares Kit for P2000</v>
      </c>
      <c r="G192" s="1" t="str">
        <f>"ST"</f>
        <v>ST</v>
      </c>
      <c r="H192" s="1">
        <v>1</v>
      </c>
      <c r="I192" s="1">
        <v>34627500</v>
      </c>
      <c r="J192" s="1">
        <v>0</v>
      </c>
      <c r="K192" s="1">
        <v>0</v>
      </c>
      <c r="L192" s="1">
        <v>0</v>
      </c>
      <c r="M192" s="1">
        <v>0</v>
      </c>
      <c r="O192" s="1">
        <v>97</v>
      </c>
      <c r="P192" s="4">
        <f t="shared" si="6"/>
        <v>34627500</v>
      </c>
      <c r="Q192" s="4">
        <f t="shared" si="7"/>
        <v>1</v>
      </c>
      <c r="R192" s="4">
        <f t="shared" si="8"/>
        <v>34627500</v>
      </c>
    </row>
    <row r="193" spans="1:18" hidden="1">
      <c r="A193" s="1">
        <v>2</v>
      </c>
      <c r="B193" s="1" t="str">
        <f>"قطعات و لوازم يدكي"</f>
        <v>قطعات و لوازم يدكي</v>
      </c>
      <c r="C193" s="1">
        <v>101</v>
      </c>
      <c r="D193" s="1" t="str">
        <f>"انبار قطعات و لوازم يدكي اصفهان"</f>
        <v>انبار قطعات و لوازم يدكي اصفهان</v>
      </c>
      <c r="E193" s="1" t="str">
        <f>"4301020063"</f>
        <v>4301020063</v>
      </c>
      <c r="F193" s="1" t="str">
        <f>"بوش مخروطي BC3535F60"</f>
        <v>بوش مخروطي BC3535F60</v>
      </c>
      <c r="G193" s="1" t="str">
        <f>"عدد"</f>
        <v>عدد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O193" s="1">
        <v>97</v>
      </c>
      <c r="P193" s="1">
        <f t="shared" si="6"/>
        <v>0</v>
      </c>
      <c r="Q193" s="1">
        <f t="shared" si="7"/>
        <v>0</v>
      </c>
      <c r="R193" s="1" t="e">
        <f t="shared" si="8"/>
        <v>#DIV/0!</v>
      </c>
    </row>
    <row r="194" spans="1:18">
      <c r="A194" s="1">
        <v>2</v>
      </c>
      <c r="B194" s="1" t="str">
        <f>"قطعات و لوازم يدكي"</f>
        <v>قطعات و لوازم يدكي</v>
      </c>
      <c r="C194" s="1">
        <v>101</v>
      </c>
      <c r="D194" s="1" t="str">
        <f>"انبار قطعات و لوازم يدكي اصفهان"</f>
        <v>انبار قطعات و لوازم يدكي اصفهان</v>
      </c>
      <c r="E194" s="1" t="str">
        <f>"4304021073"</f>
        <v>4304021073</v>
      </c>
      <c r="F194" s="1" t="str">
        <f>"انيتي تور"</f>
        <v>انيتي تور</v>
      </c>
      <c r="G194" s="1" t="str">
        <f>"عدد"</f>
        <v>عدد</v>
      </c>
      <c r="H194" s="1">
        <v>1</v>
      </c>
      <c r="I194" s="1">
        <v>955019</v>
      </c>
      <c r="J194" s="1">
        <v>0</v>
      </c>
      <c r="K194" s="1">
        <v>0</v>
      </c>
      <c r="L194" s="1">
        <v>0</v>
      </c>
      <c r="M194" s="1">
        <v>0</v>
      </c>
      <c r="O194" s="1">
        <v>97</v>
      </c>
      <c r="P194" s="4">
        <f t="shared" si="6"/>
        <v>955019</v>
      </c>
      <c r="Q194" s="4">
        <f t="shared" si="7"/>
        <v>1</v>
      </c>
      <c r="R194" s="4">
        <f t="shared" si="8"/>
        <v>955019</v>
      </c>
    </row>
    <row r="195" spans="1:18">
      <c r="A195" s="1">
        <v>2</v>
      </c>
      <c r="B195" s="1" t="str">
        <f>"قطعات و لوازم يدكي"</f>
        <v>قطعات و لوازم يدكي</v>
      </c>
      <c r="C195" s="1">
        <v>101</v>
      </c>
      <c r="D195" s="1" t="str">
        <f>"انبار قطعات و لوازم يدكي اصفهان"</f>
        <v>انبار قطعات و لوازم يدكي اصفهان</v>
      </c>
      <c r="E195" s="1" t="str">
        <f>"4304021183"</f>
        <v>4304021183</v>
      </c>
      <c r="F195" s="1" t="str">
        <f>"سلينگ رينگ 055-580"</f>
        <v>سلينگ رينگ 055-580</v>
      </c>
      <c r="G195" s="1" t="str">
        <f>"عدد"</f>
        <v>عدد</v>
      </c>
      <c r="H195" s="1">
        <v>6</v>
      </c>
      <c r="I195" s="1">
        <v>17029</v>
      </c>
      <c r="J195" s="1">
        <v>0</v>
      </c>
      <c r="K195" s="1">
        <v>0</v>
      </c>
      <c r="L195" s="1">
        <v>0</v>
      </c>
      <c r="M195" s="1">
        <v>0</v>
      </c>
      <c r="O195" s="1">
        <v>97</v>
      </c>
      <c r="P195" s="4">
        <f t="shared" ref="P195:P258" si="9">I195+K195-M195</f>
        <v>17029</v>
      </c>
      <c r="Q195" s="4">
        <f t="shared" ref="Q195:Q258" si="10">H195+J195-L195</f>
        <v>6</v>
      </c>
      <c r="R195" s="4">
        <f t="shared" ref="R195:R258" si="11">P195/Q195</f>
        <v>2838.1666666666665</v>
      </c>
    </row>
    <row r="196" spans="1:18" hidden="1">
      <c r="A196" s="1">
        <v>2</v>
      </c>
      <c r="B196" s="1" t="str">
        <f>"قطعات و لوازم يدكي"</f>
        <v>قطعات و لوازم يدكي</v>
      </c>
      <c r="C196" s="1">
        <v>101</v>
      </c>
      <c r="D196" s="1" t="str">
        <f>"انبار قطعات و لوازم يدكي اصفهان"</f>
        <v>انبار قطعات و لوازم يدكي اصفهان</v>
      </c>
      <c r="E196" s="1" t="str">
        <f>"4304021203"</f>
        <v>4304021203</v>
      </c>
      <c r="F196" s="1" t="str">
        <f>"هوزينگ سل رينگ ا"</f>
        <v>هوزينگ سل رينگ ا</v>
      </c>
      <c r="G196" s="1" t="str">
        <f>"عدد"</f>
        <v>عدد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O196" s="1">
        <v>97</v>
      </c>
      <c r="P196" s="1">
        <f t="shared" si="9"/>
        <v>0</v>
      </c>
      <c r="Q196" s="1">
        <f t="shared" si="10"/>
        <v>0</v>
      </c>
      <c r="R196" s="1" t="e">
        <f t="shared" si="11"/>
        <v>#DIV/0!</v>
      </c>
    </row>
    <row r="197" spans="1:18">
      <c r="A197" s="1">
        <v>2</v>
      </c>
      <c r="B197" s="1" t="str">
        <f>"قطعات و لوازم يدكي"</f>
        <v>قطعات و لوازم يدكي</v>
      </c>
      <c r="C197" s="1">
        <v>101</v>
      </c>
      <c r="D197" s="1" t="str">
        <f>"انبار قطعات و لوازم يدكي اصفهان"</f>
        <v>انبار قطعات و لوازم يدكي اصفهان</v>
      </c>
      <c r="E197" s="1" t="str">
        <f>"4304021213"</f>
        <v>4304021213</v>
      </c>
      <c r="F197" s="1" t="str">
        <f>"شفت سل رينگ بي ا"</f>
        <v>شفت سل رينگ بي ا</v>
      </c>
      <c r="G197" s="1" t="str">
        <f>"عدد"</f>
        <v>عدد</v>
      </c>
      <c r="H197" s="1">
        <v>2</v>
      </c>
      <c r="I197" s="1">
        <v>21705739</v>
      </c>
      <c r="J197" s="1">
        <v>0</v>
      </c>
      <c r="K197" s="1">
        <v>0</v>
      </c>
      <c r="L197" s="1">
        <v>0</v>
      </c>
      <c r="M197" s="1">
        <v>0</v>
      </c>
      <c r="O197" s="1">
        <v>97</v>
      </c>
      <c r="P197" s="4">
        <f t="shared" si="9"/>
        <v>21705739</v>
      </c>
      <c r="Q197" s="4">
        <f t="shared" si="10"/>
        <v>2</v>
      </c>
      <c r="R197" s="4">
        <f t="shared" si="11"/>
        <v>10852869.5</v>
      </c>
    </row>
    <row r="198" spans="1:18">
      <c r="A198" s="1">
        <v>2</v>
      </c>
      <c r="B198" s="1" t="str">
        <f>"قطعات و لوازم يدكي"</f>
        <v>قطعات و لوازم يدكي</v>
      </c>
      <c r="C198" s="1">
        <v>101</v>
      </c>
      <c r="D198" s="1" t="str">
        <f>"انبار قطعات و لوازم يدكي اصفهان"</f>
        <v>انبار قطعات و لوازم يدكي اصفهان</v>
      </c>
      <c r="E198" s="1" t="str">
        <f>"4304021283"</f>
        <v>4304021283</v>
      </c>
      <c r="F198" s="1" t="str">
        <f>"o ring  547"</f>
        <v>o ring  547</v>
      </c>
      <c r="G198" s="1" t="str">
        <f>"عدد"</f>
        <v>عدد</v>
      </c>
      <c r="H198" s="1">
        <v>2</v>
      </c>
      <c r="I198" s="1">
        <v>260000</v>
      </c>
      <c r="J198" s="1">
        <v>0</v>
      </c>
      <c r="K198" s="1">
        <v>0</v>
      </c>
      <c r="L198" s="1">
        <v>0</v>
      </c>
      <c r="M198" s="1">
        <v>0</v>
      </c>
      <c r="O198" s="1">
        <v>97</v>
      </c>
      <c r="P198" s="4">
        <f t="shared" si="9"/>
        <v>260000</v>
      </c>
      <c r="Q198" s="4">
        <f t="shared" si="10"/>
        <v>2</v>
      </c>
      <c r="R198" s="4">
        <f t="shared" si="11"/>
        <v>130000</v>
      </c>
    </row>
    <row r="199" spans="1:18">
      <c r="A199" s="1">
        <v>2</v>
      </c>
      <c r="B199" s="1" t="str">
        <f>"قطعات و لوازم يدكي"</f>
        <v>قطعات و لوازم يدكي</v>
      </c>
      <c r="C199" s="1">
        <v>101</v>
      </c>
      <c r="D199" s="1" t="str">
        <f>"انبار قطعات و لوازم يدكي اصفهان"</f>
        <v>انبار قطعات و لوازم يدكي اصفهان</v>
      </c>
      <c r="E199" s="1" t="str">
        <f>"4304021299"</f>
        <v>4304021299</v>
      </c>
      <c r="F199" s="1" t="str">
        <f>"بلبرينگ"</f>
        <v>بلبرينگ</v>
      </c>
      <c r="G199" s="1" t="str">
        <f>"عدد"</f>
        <v>عدد</v>
      </c>
      <c r="H199" s="1">
        <v>3</v>
      </c>
      <c r="I199" s="1">
        <v>3307798</v>
      </c>
      <c r="J199" s="1">
        <v>0</v>
      </c>
      <c r="K199" s="1">
        <v>0</v>
      </c>
      <c r="L199" s="1">
        <v>0</v>
      </c>
      <c r="M199" s="1">
        <v>0</v>
      </c>
      <c r="O199" s="1">
        <v>97</v>
      </c>
      <c r="P199" s="4">
        <f t="shared" si="9"/>
        <v>3307798</v>
      </c>
      <c r="Q199" s="4">
        <f t="shared" si="10"/>
        <v>3</v>
      </c>
      <c r="R199" s="4">
        <f t="shared" si="11"/>
        <v>1102599.3333333333</v>
      </c>
    </row>
    <row r="200" spans="1:18">
      <c r="A200" s="1">
        <v>2</v>
      </c>
      <c r="B200" s="1" t="str">
        <f>"قطعات و لوازم يدكي"</f>
        <v>قطعات و لوازم يدكي</v>
      </c>
      <c r="C200" s="1">
        <v>101</v>
      </c>
      <c r="D200" s="1" t="str">
        <f>"انبار قطعات و لوازم يدكي اصفهان"</f>
        <v>انبار قطعات و لوازم يدكي اصفهان</v>
      </c>
      <c r="E200" s="1" t="str">
        <f>"4304021353"</f>
        <v>4304021353</v>
      </c>
      <c r="F200" s="1" t="str">
        <f>"اورينگ 018-548"</f>
        <v>اورينگ 018-548</v>
      </c>
      <c r="G200" s="1" t="str">
        <f>"عدد"</f>
        <v>عدد</v>
      </c>
      <c r="H200" s="1">
        <v>1</v>
      </c>
      <c r="I200" s="1">
        <v>61508</v>
      </c>
      <c r="J200" s="1">
        <v>0</v>
      </c>
      <c r="K200" s="1">
        <v>0</v>
      </c>
      <c r="L200" s="1">
        <v>0</v>
      </c>
      <c r="M200" s="1">
        <v>0</v>
      </c>
      <c r="O200" s="1">
        <v>97</v>
      </c>
      <c r="P200" s="4">
        <f t="shared" si="9"/>
        <v>61508</v>
      </c>
      <c r="Q200" s="4">
        <f t="shared" si="10"/>
        <v>1</v>
      </c>
      <c r="R200" s="4">
        <f t="shared" si="11"/>
        <v>61508</v>
      </c>
    </row>
    <row r="201" spans="1:18" hidden="1">
      <c r="A201" s="1">
        <v>2</v>
      </c>
      <c r="B201" s="1" t="str">
        <f>"قطعات و لوازم يدكي"</f>
        <v>قطعات و لوازم يدكي</v>
      </c>
      <c r="C201" s="1">
        <v>101</v>
      </c>
      <c r="D201" s="1" t="str">
        <f>"انبار قطعات و لوازم يدكي اصفهان"</f>
        <v>انبار قطعات و لوازم يدكي اصفهان</v>
      </c>
      <c r="E201" s="1" t="str">
        <f>"4304021443"</f>
        <v>4304021443</v>
      </c>
      <c r="F201" s="1" t="str">
        <f>"اورينگ وايتون 5/5*540"</f>
        <v>اورينگ وايتون 5/5*540</v>
      </c>
      <c r="G201" s="1" t="str">
        <f>"عدد"</f>
        <v>عدد</v>
      </c>
      <c r="H201" s="1">
        <v>0</v>
      </c>
      <c r="I201" s="1">
        <v>0</v>
      </c>
      <c r="J201" s="1">
        <v>6</v>
      </c>
      <c r="K201" s="1">
        <v>5160000</v>
      </c>
      <c r="L201" s="1">
        <v>6</v>
      </c>
      <c r="M201" s="1">
        <v>5160000</v>
      </c>
      <c r="O201" s="1">
        <v>97</v>
      </c>
      <c r="P201" s="1">
        <f t="shared" si="9"/>
        <v>0</v>
      </c>
      <c r="Q201" s="1">
        <f t="shared" si="10"/>
        <v>0</v>
      </c>
      <c r="R201" s="1" t="e">
        <f t="shared" si="11"/>
        <v>#DIV/0!</v>
      </c>
    </row>
    <row r="202" spans="1:18" hidden="1">
      <c r="A202" s="1">
        <v>2</v>
      </c>
      <c r="B202" s="1" t="str">
        <f>"قطعات و لوازم يدكي"</f>
        <v>قطعات و لوازم يدكي</v>
      </c>
      <c r="C202" s="1">
        <v>101</v>
      </c>
      <c r="D202" s="1" t="str">
        <f>"انبار قطعات و لوازم يدكي اصفهان"</f>
        <v>انبار قطعات و لوازم يدكي اصفهان</v>
      </c>
      <c r="E202" s="1" t="str">
        <f>"4304021483"</f>
        <v>4304021483</v>
      </c>
      <c r="F202" s="1" t="str">
        <f>"اورينگ وايتون 5/5*185"</f>
        <v>اورينگ وايتون 5/5*185</v>
      </c>
      <c r="G202" s="1" t="str">
        <f>"عدد"</f>
        <v>عدد</v>
      </c>
      <c r="H202" s="1">
        <v>0</v>
      </c>
      <c r="I202" s="1">
        <v>0</v>
      </c>
      <c r="J202" s="1">
        <v>6</v>
      </c>
      <c r="K202" s="1">
        <v>1800000</v>
      </c>
      <c r="L202" s="1">
        <v>6</v>
      </c>
      <c r="M202" s="1">
        <v>1800000</v>
      </c>
      <c r="O202" s="1">
        <v>97</v>
      </c>
      <c r="P202" s="1">
        <f t="shared" si="9"/>
        <v>0</v>
      </c>
      <c r="Q202" s="1">
        <f t="shared" si="10"/>
        <v>0</v>
      </c>
      <c r="R202" s="1" t="e">
        <f t="shared" si="11"/>
        <v>#DIV/0!</v>
      </c>
    </row>
    <row r="203" spans="1:18">
      <c r="A203" s="1">
        <v>2</v>
      </c>
      <c r="B203" s="1" t="str">
        <f>"قطعات و لوازم يدكي"</f>
        <v>قطعات و لوازم يدكي</v>
      </c>
      <c r="C203" s="1">
        <v>101</v>
      </c>
      <c r="D203" s="1" t="str">
        <f>"انبار قطعات و لوازم يدكي اصفهان"</f>
        <v>انبار قطعات و لوازم يدكي اصفهان</v>
      </c>
      <c r="E203" s="1" t="str">
        <f>"4327020052"</f>
        <v>4327020052</v>
      </c>
      <c r="F203" s="1" t="str">
        <f>"گسكت فلزي E-1601A/B فلوتينگ 3*1112*1138"</f>
        <v>گسكت فلزي E-1601A/B فلوتينگ 3*1112*1138</v>
      </c>
      <c r="G203" s="1" t="str">
        <f>"عدد"</f>
        <v>عدد</v>
      </c>
      <c r="H203" s="1">
        <v>11</v>
      </c>
      <c r="I203" s="1">
        <v>33270693</v>
      </c>
      <c r="J203" s="1">
        <v>2</v>
      </c>
      <c r="K203" s="1">
        <v>6049217</v>
      </c>
      <c r="L203" s="1">
        <v>4</v>
      </c>
      <c r="M203" s="1">
        <v>12098434</v>
      </c>
      <c r="O203" s="1">
        <v>97</v>
      </c>
      <c r="P203" s="4">
        <f t="shared" si="9"/>
        <v>27221476</v>
      </c>
      <c r="Q203" s="4">
        <f t="shared" si="10"/>
        <v>9</v>
      </c>
      <c r="R203" s="4">
        <f t="shared" si="11"/>
        <v>3024608.4444444445</v>
      </c>
    </row>
    <row r="204" spans="1:18">
      <c r="A204" s="1">
        <v>2</v>
      </c>
      <c r="B204" s="1" t="str">
        <f>"قطعات و لوازم يدكي"</f>
        <v>قطعات و لوازم يدكي</v>
      </c>
      <c r="C204" s="1">
        <v>101</v>
      </c>
      <c r="D204" s="1" t="str">
        <f>"انبار قطعات و لوازم يدكي اصفهان"</f>
        <v>انبار قطعات و لوازم يدكي اصفهان</v>
      </c>
      <c r="E204" s="1" t="str">
        <f>"4327020173"</f>
        <v>4327020173</v>
      </c>
      <c r="F204" s="1" t="str">
        <f>"دميستر (demister e1601 )"</f>
        <v>دميستر (demister e1601 )</v>
      </c>
      <c r="G204" s="1" t="str">
        <f>"عدد"</f>
        <v>عدد</v>
      </c>
      <c r="H204" s="1">
        <v>3</v>
      </c>
      <c r="I204" s="1">
        <v>17420005</v>
      </c>
      <c r="J204" s="1">
        <v>0</v>
      </c>
      <c r="K204" s="1">
        <v>0</v>
      </c>
      <c r="L204" s="1">
        <v>0</v>
      </c>
      <c r="M204" s="1">
        <v>0</v>
      </c>
      <c r="O204" s="1">
        <v>97</v>
      </c>
      <c r="P204" s="4">
        <f t="shared" si="9"/>
        <v>17420005</v>
      </c>
      <c r="Q204" s="4">
        <f t="shared" si="10"/>
        <v>3</v>
      </c>
      <c r="R204" s="4">
        <f t="shared" si="11"/>
        <v>5806668.333333333</v>
      </c>
    </row>
    <row r="205" spans="1:18">
      <c r="A205" s="1">
        <v>2</v>
      </c>
      <c r="B205" s="1" t="str">
        <f>"قطعات و لوازم يدكي"</f>
        <v>قطعات و لوازم يدكي</v>
      </c>
      <c r="C205" s="1">
        <v>101</v>
      </c>
      <c r="D205" s="1" t="str">
        <f>"انبار قطعات و لوازم يدكي اصفهان"</f>
        <v>انبار قطعات و لوازم يدكي اصفهان</v>
      </c>
      <c r="E205" s="1" t="str">
        <f>"5800083172"</f>
        <v>5800083172</v>
      </c>
      <c r="F205" s="1" t="str">
        <f>"بال بيرينگ  6217"</f>
        <v>بال بيرينگ  6217</v>
      </c>
      <c r="G205" s="1" t="str">
        <f>"عدد"</f>
        <v>عدد</v>
      </c>
      <c r="H205" s="1">
        <v>19</v>
      </c>
      <c r="I205" s="1">
        <v>6916000</v>
      </c>
      <c r="J205" s="1">
        <v>0</v>
      </c>
      <c r="K205" s="1">
        <v>0</v>
      </c>
      <c r="L205" s="1">
        <v>0</v>
      </c>
      <c r="M205" s="1">
        <v>0</v>
      </c>
      <c r="O205" s="1">
        <v>97</v>
      </c>
      <c r="P205" s="4">
        <f t="shared" si="9"/>
        <v>6916000</v>
      </c>
      <c r="Q205" s="4">
        <f t="shared" si="10"/>
        <v>19</v>
      </c>
      <c r="R205" s="4">
        <f t="shared" si="11"/>
        <v>364000</v>
      </c>
    </row>
    <row r="206" spans="1:18">
      <c r="A206" s="1">
        <v>2</v>
      </c>
      <c r="B206" s="1" t="str">
        <f>"قطعات و لوازم يدكي"</f>
        <v>قطعات و لوازم يدكي</v>
      </c>
      <c r="C206" s="1">
        <v>101</v>
      </c>
      <c r="D206" s="1" t="str">
        <f>"انبار قطعات و لوازم يدكي اصفهان"</f>
        <v>انبار قطعات و لوازم يدكي اصفهان</v>
      </c>
      <c r="E206" s="1" t="str">
        <f>"5800083242"</f>
        <v>5800083242</v>
      </c>
      <c r="F206" s="1" t="str">
        <f>"بال بيرينگ  6224"</f>
        <v>بال بيرينگ  6224</v>
      </c>
      <c r="G206" s="1" t="str">
        <f>"عدد"</f>
        <v>عدد</v>
      </c>
      <c r="H206" s="1">
        <v>19</v>
      </c>
      <c r="I206" s="1">
        <v>19038000</v>
      </c>
      <c r="J206" s="1">
        <v>0</v>
      </c>
      <c r="K206" s="1">
        <v>0</v>
      </c>
      <c r="L206" s="1">
        <v>0</v>
      </c>
      <c r="M206" s="1">
        <v>0</v>
      </c>
      <c r="O206" s="1">
        <v>97</v>
      </c>
      <c r="P206" s="4">
        <f t="shared" si="9"/>
        <v>19038000</v>
      </c>
      <c r="Q206" s="4">
        <f t="shared" si="10"/>
        <v>19</v>
      </c>
      <c r="R206" s="4">
        <f t="shared" si="11"/>
        <v>1002000</v>
      </c>
    </row>
    <row r="207" spans="1:18">
      <c r="A207" s="1">
        <v>2</v>
      </c>
      <c r="B207" s="1" t="str">
        <f>"قطعات و لوازم يدكي"</f>
        <v>قطعات و لوازم يدكي</v>
      </c>
      <c r="C207" s="1">
        <v>101</v>
      </c>
      <c r="D207" s="1" t="str">
        <f>"انبار قطعات و لوازم يدكي اصفهان"</f>
        <v>انبار قطعات و لوازم يدكي اصفهان</v>
      </c>
      <c r="E207" s="1" t="str">
        <f>"5800564372"</f>
        <v>5800564372</v>
      </c>
      <c r="F207" s="1" t="str">
        <f>"Rool Beyring  NTB (کف گرد)"</f>
        <v>Rool Beyring  NTB (کف گرد)</v>
      </c>
      <c r="G207" s="1" t="str">
        <f>"عدد"</f>
        <v>عدد</v>
      </c>
      <c r="H207" s="1">
        <v>6</v>
      </c>
      <c r="I207" s="1">
        <v>4590000</v>
      </c>
      <c r="J207" s="1">
        <v>0</v>
      </c>
      <c r="K207" s="1">
        <v>0</v>
      </c>
      <c r="L207" s="1">
        <v>0</v>
      </c>
      <c r="M207" s="1">
        <v>0</v>
      </c>
      <c r="O207" s="1">
        <v>97</v>
      </c>
      <c r="P207" s="4">
        <f t="shared" si="9"/>
        <v>4590000</v>
      </c>
      <c r="Q207" s="4">
        <f t="shared" si="10"/>
        <v>6</v>
      </c>
      <c r="R207" s="4">
        <f t="shared" si="11"/>
        <v>765000</v>
      </c>
    </row>
    <row r="208" spans="1:18">
      <c r="A208" s="1">
        <v>2</v>
      </c>
      <c r="B208" s="1" t="str">
        <f>"قطعات و لوازم يدكي"</f>
        <v>قطعات و لوازم يدكي</v>
      </c>
      <c r="C208" s="1">
        <v>101</v>
      </c>
      <c r="D208" s="1" t="str">
        <f>"انبار قطعات و لوازم يدكي اصفهان"</f>
        <v>انبار قطعات و لوازم يدكي اصفهان</v>
      </c>
      <c r="E208" s="1" t="str">
        <f>"5800644072"</f>
        <v>5800644072</v>
      </c>
      <c r="F208" s="1" t="str">
        <f>"رول بيرينگ NU 307"</f>
        <v>رول بيرينگ NU 307</v>
      </c>
      <c r="G208" s="1" t="str">
        <f>"عدد"</f>
        <v>عدد</v>
      </c>
      <c r="H208" s="1">
        <v>25</v>
      </c>
      <c r="I208" s="1">
        <v>24609678</v>
      </c>
      <c r="J208" s="1">
        <v>0</v>
      </c>
      <c r="K208" s="1">
        <v>0</v>
      </c>
      <c r="L208" s="1">
        <v>6</v>
      </c>
      <c r="M208" s="1">
        <v>5906322</v>
      </c>
      <c r="O208" s="1">
        <v>97</v>
      </c>
      <c r="P208" s="4">
        <f t="shared" si="9"/>
        <v>18703356</v>
      </c>
      <c r="Q208" s="4">
        <f t="shared" si="10"/>
        <v>19</v>
      </c>
      <c r="R208" s="4">
        <f t="shared" si="11"/>
        <v>984387.15789473685</v>
      </c>
    </row>
    <row r="209" spans="1:18">
      <c r="A209" s="1">
        <v>2</v>
      </c>
      <c r="B209" s="1" t="str">
        <f>"قطعات و لوازم يدكي"</f>
        <v>قطعات و لوازم يدكي</v>
      </c>
      <c r="C209" s="1">
        <v>101</v>
      </c>
      <c r="D209" s="1" t="str">
        <f>"انبار قطعات و لوازم يدكي اصفهان"</f>
        <v>انبار قطعات و لوازم يدكي اصفهان</v>
      </c>
      <c r="E209" s="1" t="str">
        <f>"5800644162"</f>
        <v>5800644162</v>
      </c>
      <c r="F209" s="1" t="str">
        <f>"ROLL BEARING NU316"</f>
        <v>ROLL BEARING NU316</v>
      </c>
      <c r="G209" s="1" t="str">
        <f>"عدد"</f>
        <v>عدد</v>
      </c>
      <c r="H209" s="1">
        <v>1</v>
      </c>
      <c r="I209" s="1">
        <v>4500000</v>
      </c>
      <c r="J209" s="1">
        <v>0</v>
      </c>
      <c r="K209" s="1">
        <v>0</v>
      </c>
      <c r="L209" s="1">
        <v>0</v>
      </c>
      <c r="M209" s="1">
        <v>0</v>
      </c>
      <c r="O209" s="1">
        <v>97</v>
      </c>
      <c r="P209" s="4">
        <f t="shared" si="9"/>
        <v>4500000</v>
      </c>
      <c r="Q209" s="4">
        <f t="shared" si="10"/>
        <v>1</v>
      </c>
      <c r="R209" s="4">
        <f t="shared" si="11"/>
        <v>4500000</v>
      </c>
    </row>
    <row r="210" spans="1:18">
      <c r="A210" s="1">
        <v>2</v>
      </c>
      <c r="B210" s="1" t="str">
        <f>"قطعات و لوازم يدكي"</f>
        <v>قطعات و لوازم يدكي</v>
      </c>
      <c r="C210" s="1">
        <v>101</v>
      </c>
      <c r="D210" s="1" t="str">
        <f>"انبار قطعات و لوازم يدكي اصفهان"</f>
        <v>انبار قطعات و لوازم يدكي اصفهان</v>
      </c>
      <c r="E210" s="1" t="str">
        <f>"5812945102"</f>
        <v>5812945102</v>
      </c>
      <c r="F210" s="1" t="str">
        <f>"مهره قفل كن lock nut"</f>
        <v>مهره قفل كن lock nut</v>
      </c>
      <c r="G210" s="1" t="str">
        <f>"عدد"</f>
        <v>عدد</v>
      </c>
      <c r="H210" s="1">
        <v>1</v>
      </c>
      <c r="I210" s="1">
        <v>20000</v>
      </c>
      <c r="J210" s="1">
        <v>0</v>
      </c>
      <c r="K210" s="1">
        <v>0</v>
      </c>
      <c r="L210" s="1">
        <v>0</v>
      </c>
      <c r="M210" s="1">
        <v>0</v>
      </c>
      <c r="O210" s="1">
        <v>97</v>
      </c>
      <c r="P210" s="4">
        <f t="shared" si="9"/>
        <v>20000</v>
      </c>
      <c r="Q210" s="4">
        <f t="shared" si="10"/>
        <v>1</v>
      </c>
      <c r="R210" s="4">
        <f t="shared" si="11"/>
        <v>20000</v>
      </c>
    </row>
    <row r="211" spans="1:18">
      <c r="A211" s="1">
        <v>2</v>
      </c>
      <c r="B211" s="1" t="str">
        <f>"قطعات و لوازم يدكي"</f>
        <v>قطعات و لوازم يدكي</v>
      </c>
      <c r="C211" s="1">
        <v>101</v>
      </c>
      <c r="D211" s="1" t="str">
        <f>"انبار قطعات و لوازم يدكي اصفهان"</f>
        <v>انبار قطعات و لوازم يدكي اصفهان</v>
      </c>
      <c r="E211" s="1" t="str">
        <f>"5870277112"</f>
        <v>5870277112</v>
      </c>
      <c r="F211" s="1" t="str">
        <f>"كاپلينگ پمپ (اسپيسر)"</f>
        <v>كاپلينگ پمپ (اسپيسر)</v>
      </c>
      <c r="G211" s="1" t="str">
        <f>"عدد"</f>
        <v>عدد</v>
      </c>
      <c r="H211" s="1">
        <v>2</v>
      </c>
      <c r="I211" s="1">
        <v>14800000</v>
      </c>
      <c r="J211" s="1">
        <v>0</v>
      </c>
      <c r="K211" s="1">
        <v>0</v>
      </c>
      <c r="L211" s="1">
        <v>1</v>
      </c>
      <c r="M211" s="1">
        <v>7400000</v>
      </c>
      <c r="O211" s="1">
        <v>97</v>
      </c>
      <c r="P211" s="4">
        <f t="shared" si="9"/>
        <v>7400000</v>
      </c>
      <c r="Q211" s="4">
        <f t="shared" si="10"/>
        <v>1</v>
      </c>
      <c r="R211" s="4">
        <f t="shared" si="11"/>
        <v>7400000</v>
      </c>
    </row>
    <row r="212" spans="1:18">
      <c r="A212" s="1">
        <v>2</v>
      </c>
      <c r="B212" s="1" t="str">
        <f>"قطعات و لوازم يدكي"</f>
        <v>قطعات و لوازم يدكي</v>
      </c>
      <c r="C212" s="1">
        <v>101</v>
      </c>
      <c r="D212" s="1" t="str">
        <f>"انبار قطعات و لوازم يدكي اصفهان"</f>
        <v>انبار قطعات و لوازم يدكي اصفهان</v>
      </c>
      <c r="E212" s="1" t="str">
        <f>"5923739796"</f>
        <v>5923739796</v>
      </c>
      <c r="F212" s="1" t="str">
        <f>"شيم سل"</f>
        <v>شيم سل</v>
      </c>
      <c r="G212" s="1" t="str">
        <f>"عدد"</f>
        <v>عدد</v>
      </c>
      <c r="H212" s="1">
        <v>13</v>
      </c>
      <c r="I212" s="1">
        <v>461525</v>
      </c>
      <c r="J212" s="1">
        <v>0</v>
      </c>
      <c r="K212" s="1">
        <v>0</v>
      </c>
      <c r="L212" s="1">
        <v>0</v>
      </c>
      <c r="M212" s="1">
        <v>0</v>
      </c>
      <c r="O212" s="1">
        <v>97</v>
      </c>
      <c r="P212" s="4">
        <f t="shared" si="9"/>
        <v>461525</v>
      </c>
      <c r="Q212" s="4">
        <f t="shared" si="10"/>
        <v>13</v>
      </c>
      <c r="R212" s="4">
        <f t="shared" si="11"/>
        <v>35501.923076923078</v>
      </c>
    </row>
    <row r="213" spans="1:18">
      <c r="A213" s="1">
        <v>2</v>
      </c>
      <c r="B213" s="1" t="str">
        <f>"قطعات و لوازم يدكي"</f>
        <v>قطعات و لوازم يدكي</v>
      </c>
      <c r="C213" s="1">
        <v>101</v>
      </c>
      <c r="D213" s="1" t="str">
        <f>"انبار قطعات و لوازم يدكي اصفهان"</f>
        <v>انبار قطعات و لوازم يدكي اصفهان</v>
      </c>
      <c r="E213" s="1" t="str">
        <f>"5923763693"</f>
        <v>5923763693</v>
      </c>
      <c r="F213" s="1" t="str">
        <f>"بانت كاسكت 1R3484X0042"</f>
        <v>بانت كاسكت 1R3484X0042</v>
      </c>
      <c r="G213" s="1" t="str">
        <f>"عدد"</f>
        <v>عدد</v>
      </c>
      <c r="H213" s="1">
        <v>10</v>
      </c>
      <c r="I213" s="1">
        <v>1794475</v>
      </c>
      <c r="J213" s="1">
        <v>0</v>
      </c>
      <c r="K213" s="1">
        <v>0</v>
      </c>
      <c r="L213" s="1">
        <v>0</v>
      </c>
      <c r="M213" s="1">
        <v>0</v>
      </c>
      <c r="O213" s="1">
        <v>97</v>
      </c>
      <c r="P213" s="4">
        <f t="shared" si="9"/>
        <v>1794475</v>
      </c>
      <c r="Q213" s="4">
        <f t="shared" si="10"/>
        <v>10</v>
      </c>
      <c r="R213" s="4">
        <f t="shared" si="11"/>
        <v>179447.5</v>
      </c>
    </row>
    <row r="214" spans="1:18">
      <c r="A214" s="1">
        <v>2</v>
      </c>
      <c r="B214" s="1" t="str">
        <f>"قطعات و لوازم يدكي"</f>
        <v>قطعات و لوازم يدكي</v>
      </c>
      <c r="C214" s="1">
        <v>101</v>
      </c>
      <c r="D214" s="1" t="str">
        <f>"انبار قطعات و لوازم يدكي اصفهان"</f>
        <v>انبار قطعات و لوازم يدكي اصفهان</v>
      </c>
      <c r="E214" s="1" t="str">
        <f>"5923772003"</f>
        <v>5923772003</v>
      </c>
      <c r="F214" s="1" t="str">
        <f>"كاسكت رينگ سي"</f>
        <v>كاسكت رينگ سي</v>
      </c>
      <c r="G214" s="1" t="str">
        <f>"عدد"</f>
        <v>عدد</v>
      </c>
      <c r="H214" s="1">
        <v>9</v>
      </c>
      <c r="I214" s="1">
        <v>656900</v>
      </c>
      <c r="J214" s="1">
        <v>0</v>
      </c>
      <c r="K214" s="1">
        <v>0</v>
      </c>
      <c r="L214" s="1">
        <v>0</v>
      </c>
      <c r="M214" s="1">
        <v>0</v>
      </c>
      <c r="O214" s="1">
        <v>97</v>
      </c>
      <c r="P214" s="4">
        <f t="shared" si="9"/>
        <v>656900</v>
      </c>
      <c r="Q214" s="4">
        <f t="shared" si="10"/>
        <v>9</v>
      </c>
      <c r="R214" s="4">
        <f t="shared" si="11"/>
        <v>72988.888888888891</v>
      </c>
    </row>
    <row r="215" spans="1:18">
      <c r="A215" s="1">
        <v>2</v>
      </c>
      <c r="B215" s="1" t="str">
        <f>"قطعات و لوازم يدكي"</f>
        <v>قطعات و لوازم يدكي</v>
      </c>
      <c r="C215" s="1">
        <v>101</v>
      </c>
      <c r="D215" s="1" t="str">
        <f>"انبار قطعات و لوازم يدكي اصفهان"</f>
        <v>انبار قطعات و لوازم يدكي اصفهان</v>
      </c>
      <c r="E215" s="1" t="str">
        <f>"5923783083"</f>
        <v>5923783083</v>
      </c>
      <c r="F215" s="1" t="str">
        <f>"كاسكت اسپرال وند"</f>
        <v>كاسكت اسپرال وند</v>
      </c>
      <c r="G215" s="1" t="str">
        <f>"عدد"</f>
        <v>عدد</v>
      </c>
      <c r="H215" s="1">
        <v>10</v>
      </c>
      <c r="I215" s="1">
        <v>6066321</v>
      </c>
      <c r="J215" s="1">
        <v>0</v>
      </c>
      <c r="K215" s="1">
        <v>0</v>
      </c>
      <c r="L215" s="1">
        <v>0</v>
      </c>
      <c r="M215" s="1">
        <v>0</v>
      </c>
      <c r="O215" s="1">
        <v>97</v>
      </c>
      <c r="P215" s="4">
        <f t="shared" si="9"/>
        <v>6066321</v>
      </c>
      <c r="Q215" s="4">
        <f t="shared" si="10"/>
        <v>10</v>
      </c>
      <c r="R215" s="4">
        <f t="shared" si="11"/>
        <v>606632.1</v>
      </c>
    </row>
    <row r="216" spans="1:18">
      <c r="A216" s="1">
        <v>2</v>
      </c>
      <c r="B216" s="1" t="str">
        <f>"قطعات و لوازم يدكي"</f>
        <v>قطعات و لوازم يدكي</v>
      </c>
      <c r="C216" s="1">
        <v>101</v>
      </c>
      <c r="D216" s="1" t="str">
        <f>"انبار قطعات و لوازم يدكي اصفهان"</f>
        <v>انبار قطعات و لوازم يدكي اصفهان</v>
      </c>
      <c r="E216" s="1" t="str">
        <f>"5923904833"</f>
        <v>5923904833</v>
      </c>
      <c r="F216" s="1" t="str">
        <f>"كاسكت اسپرال وند 4X01"</f>
        <v>كاسكت اسپرال وند 4X01</v>
      </c>
      <c r="G216" s="1" t="str">
        <f>"عدد"</f>
        <v>عدد</v>
      </c>
      <c r="H216" s="1">
        <v>10</v>
      </c>
      <c r="I216" s="1">
        <v>27630565</v>
      </c>
      <c r="J216" s="1">
        <v>0</v>
      </c>
      <c r="K216" s="1">
        <v>0</v>
      </c>
      <c r="L216" s="1">
        <v>0</v>
      </c>
      <c r="M216" s="1">
        <v>0</v>
      </c>
      <c r="O216" s="1">
        <v>97</v>
      </c>
      <c r="P216" s="4">
        <f t="shared" si="9"/>
        <v>27630565</v>
      </c>
      <c r="Q216" s="4">
        <f t="shared" si="10"/>
        <v>10</v>
      </c>
      <c r="R216" s="4">
        <f t="shared" si="11"/>
        <v>2763056.5</v>
      </c>
    </row>
    <row r="217" spans="1:18">
      <c r="A217" s="1">
        <v>2</v>
      </c>
      <c r="B217" s="1" t="str">
        <f>"قطعات و لوازم يدكي"</f>
        <v>قطعات و لوازم يدكي</v>
      </c>
      <c r="C217" s="1">
        <v>101</v>
      </c>
      <c r="D217" s="1" t="str">
        <f>"انبار قطعات و لوازم يدكي اصفهان"</f>
        <v>انبار قطعات و لوازم يدكي اصفهان</v>
      </c>
      <c r="E217" s="1" t="str">
        <f>"5996270023"</f>
        <v>5996270023</v>
      </c>
      <c r="F217" s="1" t="str">
        <f>"سنسور اسي F9285MD"</f>
        <v>سنسور اسي F9285MD</v>
      </c>
      <c r="G217" s="1" t="str">
        <f>"عدد"</f>
        <v>عدد</v>
      </c>
      <c r="H217" s="1">
        <v>3</v>
      </c>
      <c r="I217" s="1">
        <v>2605020</v>
      </c>
      <c r="J217" s="1">
        <v>0</v>
      </c>
      <c r="K217" s="1">
        <v>0</v>
      </c>
      <c r="L217" s="1">
        <v>0</v>
      </c>
      <c r="M217" s="1">
        <v>0</v>
      </c>
      <c r="O217" s="1">
        <v>97</v>
      </c>
      <c r="P217" s="4">
        <f t="shared" si="9"/>
        <v>2605020</v>
      </c>
      <c r="Q217" s="4">
        <f t="shared" si="10"/>
        <v>3</v>
      </c>
      <c r="R217" s="4">
        <f t="shared" si="11"/>
        <v>868340</v>
      </c>
    </row>
    <row r="218" spans="1:18" hidden="1">
      <c r="A218" s="1">
        <v>2</v>
      </c>
      <c r="B218" s="1" t="str">
        <f>"قطعات و لوازم يدكي"</f>
        <v>قطعات و لوازم يدكي</v>
      </c>
      <c r="C218" s="1">
        <v>101</v>
      </c>
      <c r="D218" s="1" t="str">
        <f>"انبار قطعات و لوازم يدكي اصفهان"</f>
        <v>انبار قطعات و لوازم يدكي اصفهان</v>
      </c>
      <c r="E218" s="1" t="str">
        <f>"6000000043"</f>
        <v>6000000043</v>
      </c>
      <c r="F218" s="1" t="str">
        <f>"Termocoupl TRANSMITER Pepperl+fuchs"</f>
        <v>Termocoupl TRANSMITER Pepperl+fuchs</v>
      </c>
      <c r="G218" s="1" t="str">
        <f>"دستگاه"</f>
        <v>دستگاه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O218" s="1">
        <v>97</v>
      </c>
      <c r="P218" s="1">
        <f t="shared" si="9"/>
        <v>0</v>
      </c>
      <c r="Q218" s="1">
        <f t="shared" si="10"/>
        <v>0</v>
      </c>
      <c r="R218" s="1" t="e">
        <f t="shared" si="11"/>
        <v>#DIV/0!</v>
      </c>
    </row>
    <row r="219" spans="1:18">
      <c r="A219" s="1">
        <v>2</v>
      </c>
      <c r="B219" s="1" t="str">
        <f>"قطعات و لوازم يدكي"</f>
        <v>قطعات و لوازم يدكي</v>
      </c>
      <c r="C219" s="1">
        <v>101</v>
      </c>
      <c r="D219" s="1" t="str">
        <f>"انبار قطعات و لوازم يدكي اصفهان"</f>
        <v>انبار قطعات و لوازم يدكي اصفهان</v>
      </c>
      <c r="E219" s="1" t="str">
        <f>"6000000093"</f>
        <v>6000000093</v>
      </c>
      <c r="F219" s="1" t="str">
        <f>"TRIO-PS/1AC/24DS/20 (منبع تغذيه)"</f>
        <v>TRIO-PS/1AC/24DS/20 (منبع تغذيه)</v>
      </c>
      <c r="G219" s="1" t="str">
        <f>"دستگاه"</f>
        <v>دستگاه</v>
      </c>
      <c r="H219" s="1">
        <v>1</v>
      </c>
      <c r="I219" s="1">
        <v>3550000</v>
      </c>
      <c r="J219" s="1">
        <v>0</v>
      </c>
      <c r="K219" s="1">
        <v>0</v>
      </c>
      <c r="L219" s="1">
        <v>0</v>
      </c>
      <c r="M219" s="1">
        <v>0</v>
      </c>
      <c r="O219" s="1">
        <v>97</v>
      </c>
      <c r="P219" s="4">
        <f t="shared" si="9"/>
        <v>3550000</v>
      </c>
      <c r="Q219" s="4">
        <f t="shared" si="10"/>
        <v>1</v>
      </c>
      <c r="R219" s="4">
        <f t="shared" si="11"/>
        <v>3550000</v>
      </c>
    </row>
    <row r="220" spans="1:18">
      <c r="A220" s="1">
        <v>2</v>
      </c>
      <c r="B220" s="1" t="str">
        <f>"قطعات و لوازم يدكي"</f>
        <v>قطعات و لوازم يدكي</v>
      </c>
      <c r="C220" s="1">
        <v>101</v>
      </c>
      <c r="D220" s="1" t="str">
        <f>"انبار قطعات و لوازم يدكي اصفهان"</f>
        <v>انبار قطعات و لوازم يدكي اصفهان</v>
      </c>
      <c r="E220" s="1" t="str">
        <f>"6016410463"</f>
        <v>6016410463</v>
      </c>
      <c r="F220" s="1" t="str">
        <f>"جوهرركوردينگ سبز60ميلي ليتريink green"</f>
        <v>جوهرركوردينگ سبز60ميلي ليتريink green</v>
      </c>
      <c r="G220" s="1" t="str">
        <f>"بطر"</f>
        <v>بطر</v>
      </c>
      <c r="H220" s="1">
        <v>6</v>
      </c>
      <c r="I220" s="1">
        <v>444000</v>
      </c>
      <c r="J220" s="1">
        <v>0</v>
      </c>
      <c r="K220" s="1">
        <v>0</v>
      </c>
      <c r="L220" s="1">
        <v>0</v>
      </c>
      <c r="M220" s="1">
        <v>0</v>
      </c>
      <c r="O220" s="1">
        <v>97</v>
      </c>
      <c r="P220" s="4">
        <f t="shared" si="9"/>
        <v>444000</v>
      </c>
      <c r="Q220" s="4">
        <f t="shared" si="10"/>
        <v>6</v>
      </c>
      <c r="R220" s="4">
        <f t="shared" si="11"/>
        <v>74000</v>
      </c>
    </row>
    <row r="221" spans="1:18">
      <c r="A221" s="1">
        <v>2</v>
      </c>
      <c r="B221" s="1" t="str">
        <f>"قطعات و لوازم يدكي"</f>
        <v>قطعات و لوازم يدكي</v>
      </c>
      <c r="C221" s="1">
        <v>101</v>
      </c>
      <c r="D221" s="1" t="str">
        <f>"انبار قطعات و لوازم يدكي اصفهان"</f>
        <v>انبار قطعات و لوازم يدكي اصفهان</v>
      </c>
      <c r="E221" s="1" t="str">
        <f>"6018995013"</f>
        <v>6018995013</v>
      </c>
      <c r="F221" s="1" t="str">
        <f>"سنسور اسي سيليك فيل"</f>
        <v>سنسور اسي سيليك فيل</v>
      </c>
      <c r="G221" s="1" t="str">
        <f>"عدد"</f>
        <v>عدد</v>
      </c>
      <c r="H221" s="1">
        <v>1</v>
      </c>
      <c r="I221" s="1">
        <v>30054077</v>
      </c>
      <c r="J221" s="1">
        <v>0</v>
      </c>
      <c r="K221" s="1">
        <v>0</v>
      </c>
      <c r="L221" s="1">
        <v>0</v>
      </c>
      <c r="M221" s="1">
        <v>0</v>
      </c>
      <c r="O221" s="1">
        <v>97</v>
      </c>
      <c r="P221" s="4">
        <f t="shared" si="9"/>
        <v>30054077</v>
      </c>
      <c r="Q221" s="4">
        <f t="shared" si="10"/>
        <v>1</v>
      </c>
      <c r="R221" s="4">
        <f t="shared" si="11"/>
        <v>30054077</v>
      </c>
    </row>
    <row r="222" spans="1:18">
      <c r="A222" s="1">
        <v>2</v>
      </c>
      <c r="B222" s="1" t="str">
        <f>"قطعات و لوازم يدكي"</f>
        <v>قطعات و لوازم يدكي</v>
      </c>
      <c r="C222" s="1">
        <v>101</v>
      </c>
      <c r="D222" s="1" t="str">
        <f>"انبار قطعات و لوازم يدكي اصفهان"</f>
        <v>انبار قطعات و لوازم يدكي اصفهان</v>
      </c>
      <c r="E222" s="1" t="str">
        <f>"6018995043"</f>
        <v>6018995043</v>
      </c>
      <c r="F222" s="1" t="str">
        <f>"مدل اسي MA-420"</f>
        <v>مدل اسي MA-420</v>
      </c>
      <c r="G222" s="1" t="str">
        <f>"عدد"</f>
        <v>عدد</v>
      </c>
      <c r="H222" s="1">
        <v>1</v>
      </c>
      <c r="I222" s="1">
        <v>133582</v>
      </c>
      <c r="J222" s="1">
        <v>0</v>
      </c>
      <c r="K222" s="1">
        <v>0</v>
      </c>
      <c r="L222" s="1">
        <v>0</v>
      </c>
      <c r="M222" s="1">
        <v>0</v>
      </c>
      <c r="O222" s="1">
        <v>97</v>
      </c>
      <c r="P222" s="4">
        <f t="shared" si="9"/>
        <v>133582</v>
      </c>
      <c r="Q222" s="4">
        <f t="shared" si="10"/>
        <v>1</v>
      </c>
      <c r="R222" s="4">
        <f t="shared" si="11"/>
        <v>133582</v>
      </c>
    </row>
    <row r="223" spans="1:18" hidden="1">
      <c r="A223" s="1">
        <v>1</v>
      </c>
      <c r="B223" s="1" t="str">
        <f>"انواع محصول قير"</f>
        <v>انواع محصول قير</v>
      </c>
      <c r="C223" s="1">
        <v>100</v>
      </c>
      <c r="D223" s="1" t="str">
        <f>"مخازن قير اصفهان"</f>
        <v>مخازن قير اصفهان</v>
      </c>
      <c r="E223" s="1" t="str">
        <f>"0000000104"</f>
        <v>0000000104</v>
      </c>
      <c r="F223" s="1" t="str">
        <f>"قير VG40 - فله"</f>
        <v>قير VG40 - فله</v>
      </c>
      <c r="G223" s="1" t="str">
        <f>"كيلوگرم"</f>
        <v>كيلوگرم</v>
      </c>
      <c r="H223" s="1">
        <v>846576</v>
      </c>
      <c r="I223" s="1">
        <v>4991321546</v>
      </c>
      <c r="J223" s="1">
        <v>0</v>
      </c>
      <c r="K223" s="1">
        <v>0</v>
      </c>
      <c r="L223" s="1">
        <v>846576</v>
      </c>
      <c r="M223" s="1">
        <v>4991321546</v>
      </c>
      <c r="O223" s="1">
        <v>97</v>
      </c>
      <c r="P223" s="1">
        <f t="shared" si="9"/>
        <v>0</v>
      </c>
      <c r="Q223" s="1">
        <f t="shared" si="10"/>
        <v>0</v>
      </c>
      <c r="R223" s="1" t="e">
        <f t="shared" si="11"/>
        <v>#DIV/0!</v>
      </c>
    </row>
    <row r="224" spans="1:18" hidden="1">
      <c r="A224" s="1">
        <v>1</v>
      </c>
      <c r="B224" s="1" t="str">
        <f>"انواع محصول قير"</f>
        <v>انواع محصول قير</v>
      </c>
      <c r="C224" s="1">
        <v>100</v>
      </c>
      <c r="D224" s="1" t="str">
        <f>"مخازن قير اصفهان"</f>
        <v>مخازن قير اصفهان</v>
      </c>
      <c r="E224" s="1" t="str">
        <f>"0000000111"</f>
        <v>0000000111</v>
      </c>
      <c r="F224" s="1" t="str">
        <f>"قير  PG70-16"</f>
        <v>قير  PG70-16</v>
      </c>
      <c r="G224" s="1" t="str">
        <f>"كيلوگرم"</f>
        <v>كيلوگرم</v>
      </c>
      <c r="H224" s="1">
        <v>0</v>
      </c>
      <c r="I224" s="1">
        <v>0</v>
      </c>
      <c r="J224" s="1">
        <v>597020</v>
      </c>
      <c r="K224" s="1">
        <v>10841021406</v>
      </c>
      <c r="L224" s="1">
        <v>597020</v>
      </c>
      <c r="M224" s="1">
        <v>10841021406</v>
      </c>
      <c r="O224" s="1">
        <v>97</v>
      </c>
      <c r="P224" s="1">
        <f t="shared" si="9"/>
        <v>0</v>
      </c>
      <c r="Q224" s="1">
        <f t="shared" si="10"/>
        <v>0</v>
      </c>
      <c r="R224" s="1" t="e">
        <f t="shared" si="11"/>
        <v>#DIV/0!</v>
      </c>
    </row>
    <row r="225" spans="1:18">
      <c r="A225" s="1">
        <v>2</v>
      </c>
      <c r="B225" s="1" t="str">
        <f>"قطعات و لوازم يدكي"</f>
        <v>قطعات و لوازم يدكي</v>
      </c>
      <c r="C225" s="1">
        <v>101</v>
      </c>
      <c r="D225" s="1" t="str">
        <f>"انبار قطعات و لوازم يدكي اصفهان"</f>
        <v>انبار قطعات و لوازم يدكي اصفهان</v>
      </c>
      <c r="E225" s="1" t="str">
        <f>"2201010023"</f>
        <v>2201010023</v>
      </c>
      <c r="F225" s="1" t="str">
        <f>"VIBR PROBE WL SENSOR"</f>
        <v>VIBR PROBE WL SENSOR</v>
      </c>
      <c r="G225" s="1" t="str">
        <f>"عدد"</f>
        <v>عدد</v>
      </c>
      <c r="H225" s="1">
        <v>10</v>
      </c>
      <c r="I225" s="1">
        <v>142176600</v>
      </c>
      <c r="J225" s="1">
        <v>0</v>
      </c>
      <c r="K225" s="1">
        <v>0</v>
      </c>
      <c r="L225" s="1">
        <v>0</v>
      </c>
      <c r="M225" s="1">
        <v>0</v>
      </c>
      <c r="O225" s="1">
        <v>97</v>
      </c>
      <c r="P225" s="4">
        <f t="shared" si="9"/>
        <v>142176600</v>
      </c>
      <c r="Q225" s="4">
        <f t="shared" si="10"/>
        <v>10</v>
      </c>
      <c r="R225" s="4">
        <f t="shared" si="11"/>
        <v>14217660</v>
      </c>
    </row>
    <row r="226" spans="1:18">
      <c r="A226" s="1">
        <v>2</v>
      </c>
      <c r="B226" s="1" t="str">
        <f>"قطعات و لوازم يدكي"</f>
        <v>قطعات و لوازم يدكي</v>
      </c>
      <c r="C226" s="1">
        <v>101</v>
      </c>
      <c r="D226" s="1" t="str">
        <f>"انبار قطعات و لوازم يدكي اصفهان"</f>
        <v>انبار قطعات و لوازم يدكي اصفهان</v>
      </c>
      <c r="E226" s="1" t="str">
        <f>"2201110023"</f>
        <v>2201110023</v>
      </c>
      <c r="F226" s="1" t="str">
        <f>"فيلتر روغن کمپرسور"</f>
        <v>فيلتر روغن کمپرسور</v>
      </c>
      <c r="G226" s="1" t="str">
        <f>"عدد"</f>
        <v>عدد</v>
      </c>
      <c r="H226" s="1">
        <v>4</v>
      </c>
      <c r="I226" s="1">
        <v>2200000</v>
      </c>
      <c r="J226" s="1">
        <v>0</v>
      </c>
      <c r="K226" s="1">
        <v>0</v>
      </c>
      <c r="L226" s="1">
        <v>0</v>
      </c>
      <c r="M226" s="1">
        <v>0</v>
      </c>
      <c r="O226" s="1">
        <v>97</v>
      </c>
      <c r="P226" s="4">
        <f t="shared" si="9"/>
        <v>2200000</v>
      </c>
      <c r="Q226" s="4">
        <f t="shared" si="10"/>
        <v>4</v>
      </c>
      <c r="R226" s="4">
        <f t="shared" si="11"/>
        <v>550000</v>
      </c>
    </row>
    <row r="227" spans="1:18">
      <c r="A227" s="1">
        <v>2</v>
      </c>
      <c r="B227" s="1" t="str">
        <f>"قطعات و لوازم يدكي"</f>
        <v>قطعات و لوازم يدكي</v>
      </c>
      <c r="C227" s="1">
        <v>101</v>
      </c>
      <c r="D227" s="1" t="str">
        <f>"انبار قطعات و لوازم يدكي اصفهان"</f>
        <v>انبار قطعات و لوازم يدكي اصفهان</v>
      </c>
      <c r="E227" s="1" t="str">
        <f>"2202030043"</f>
        <v>2202030043</v>
      </c>
      <c r="F227" s="1" t="str">
        <f>"لرزه گير 2 اينچ کلاس 150 c-1002"</f>
        <v>لرزه گير 2 اينچ کلاس 150 c-1002</v>
      </c>
      <c r="G227" s="1" t="str">
        <f>"عدد"</f>
        <v>عدد</v>
      </c>
      <c r="H227" s="1">
        <v>4</v>
      </c>
      <c r="I227" s="1">
        <v>12000000</v>
      </c>
      <c r="J227" s="1">
        <v>0</v>
      </c>
      <c r="K227" s="1">
        <v>0</v>
      </c>
      <c r="L227" s="1">
        <v>0</v>
      </c>
      <c r="M227" s="1">
        <v>0</v>
      </c>
      <c r="O227" s="1">
        <v>97</v>
      </c>
      <c r="P227" s="4">
        <f t="shared" si="9"/>
        <v>12000000</v>
      </c>
      <c r="Q227" s="4">
        <f t="shared" si="10"/>
        <v>4</v>
      </c>
      <c r="R227" s="4">
        <f t="shared" si="11"/>
        <v>3000000</v>
      </c>
    </row>
    <row r="228" spans="1:18">
      <c r="A228" s="1">
        <v>2</v>
      </c>
      <c r="B228" s="1" t="str">
        <f>"قطعات و لوازم يدكي"</f>
        <v>قطعات و لوازم يدكي</v>
      </c>
      <c r="C228" s="1">
        <v>101</v>
      </c>
      <c r="D228" s="1" t="str">
        <f>"انبار قطعات و لوازم يدكي اصفهان"</f>
        <v>انبار قطعات و لوازم يدكي اصفهان</v>
      </c>
      <c r="E228" s="1" t="str">
        <f>"2202040023"</f>
        <v>2202040023</v>
      </c>
      <c r="F228" s="1" t="str">
        <f>"Oil Mist Filter Element CMD 10048 C-1004"</f>
        <v>Oil Mist Filter Element CMD 10048 C-1004</v>
      </c>
      <c r="G228" s="1" t="str">
        <f>"عدد"</f>
        <v>عدد</v>
      </c>
      <c r="H228" s="1">
        <v>2</v>
      </c>
      <c r="I228" s="1">
        <v>36900000</v>
      </c>
      <c r="J228" s="1">
        <v>0</v>
      </c>
      <c r="K228" s="1">
        <v>0</v>
      </c>
      <c r="L228" s="1">
        <v>0</v>
      </c>
      <c r="M228" s="1">
        <v>0</v>
      </c>
      <c r="O228" s="1">
        <v>97</v>
      </c>
      <c r="P228" s="4">
        <f t="shared" si="9"/>
        <v>36900000</v>
      </c>
      <c r="Q228" s="4">
        <f t="shared" si="10"/>
        <v>2</v>
      </c>
      <c r="R228" s="4">
        <f t="shared" si="11"/>
        <v>18450000</v>
      </c>
    </row>
    <row r="229" spans="1:18" hidden="1">
      <c r="A229" s="1">
        <v>2</v>
      </c>
      <c r="B229" s="1" t="str">
        <f>"قطعات و لوازم يدكي"</f>
        <v>قطعات و لوازم يدكي</v>
      </c>
      <c r="C229" s="1">
        <v>101</v>
      </c>
      <c r="D229" s="1" t="str">
        <f>"انبار قطعات و لوازم يدكي اصفهان"</f>
        <v>انبار قطعات و لوازم يدكي اصفهان</v>
      </c>
      <c r="E229" s="1" t="str">
        <f>"2202041002"</f>
        <v>2202041002</v>
      </c>
      <c r="F229" s="1" t="str">
        <f>"لرزه گير لاستيکي 3 کلاس 150"</f>
        <v>لرزه گير لاستيکي 3 کلاس 150</v>
      </c>
      <c r="G229" s="1" t="str">
        <f>"عدد"</f>
        <v>عدد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O229" s="1">
        <v>97</v>
      </c>
      <c r="P229" s="1">
        <f t="shared" si="9"/>
        <v>0</v>
      </c>
      <c r="Q229" s="1">
        <f t="shared" si="10"/>
        <v>0</v>
      </c>
      <c r="R229" s="1" t="e">
        <f t="shared" si="11"/>
        <v>#DIV/0!</v>
      </c>
    </row>
    <row r="230" spans="1:18" hidden="1">
      <c r="A230" s="1">
        <v>2</v>
      </c>
      <c r="B230" s="1" t="str">
        <f>"قطعات و لوازم يدكي"</f>
        <v>قطعات و لوازم يدكي</v>
      </c>
      <c r="C230" s="1">
        <v>101</v>
      </c>
      <c r="D230" s="1" t="str">
        <f>"انبار قطعات و لوازم يدكي اصفهان"</f>
        <v>انبار قطعات و لوازم يدكي اصفهان</v>
      </c>
      <c r="E230" s="1" t="str">
        <f>"2202875203"</f>
        <v>2202875203</v>
      </c>
      <c r="F230" s="1" t="str">
        <f>"گرويل"</f>
        <v>گرويل</v>
      </c>
      <c r="G230" s="1" t="str">
        <f>"عدد"</f>
        <v>عدد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O230" s="1">
        <v>97</v>
      </c>
      <c r="P230" s="1">
        <f t="shared" si="9"/>
        <v>0</v>
      </c>
      <c r="Q230" s="1">
        <f t="shared" si="10"/>
        <v>0</v>
      </c>
      <c r="R230" s="1" t="e">
        <f t="shared" si="11"/>
        <v>#DIV/0!</v>
      </c>
    </row>
    <row r="231" spans="1:18" hidden="1">
      <c r="A231" s="1">
        <v>2</v>
      </c>
      <c r="B231" s="1" t="str">
        <f>"قطعات و لوازم يدكي"</f>
        <v>قطعات و لوازم يدكي</v>
      </c>
      <c r="C231" s="1">
        <v>101</v>
      </c>
      <c r="D231" s="1" t="str">
        <f>"انبار قطعات و لوازم يدكي اصفهان"</f>
        <v>انبار قطعات و لوازم يدكي اصفهان</v>
      </c>
      <c r="E231" s="1" t="str">
        <f>"2202875243"</f>
        <v>2202875243</v>
      </c>
      <c r="F231" s="1" t="str">
        <f>"گرويل 9196-2252"</f>
        <v>گرويل 9196-2252</v>
      </c>
      <c r="G231" s="1" t="str">
        <f>"عدد"</f>
        <v>عدد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O231" s="1">
        <v>97</v>
      </c>
      <c r="P231" s="1">
        <f t="shared" si="9"/>
        <v>0</v>
      </c>
      <c r="Q231" s="1">
        <f t="shared" si="10"/>
        <v>0</v>
      </c>
      <c r="R231" s="1" t="e">
        <f t="shared" si="11"/>
        <v>#DIV/0!</v>
      </c>
    </row>
    <row r="232" spans="1:18" hidden="1">
      <c r="A232" s="1">
        <v>2</v>
      </c>
      <c r="B232" s="1" t="str">
        <f>"قطعات و لوازم يدكي"</f>
        <v>قطعات و لوازم يدكي</v>
      </c>
      <c r="C232" s="1">
        <v>101</v>
      </c>
      <c r="D232" s="1" t="str">
        <f>"انبار قطعات و لوازم يدكي اصفهان"</f>
        <v>انبار قطعات و لوازم يدكي اصفهان</v>
      </c>
      <c r="E232" s="1" t="str">
        <f>"2202876013"</f>
        <v>2202876013</v>
      </c>
      <c r="F232" s="1" t="str">
        <f>"سرويس كيت5022-2910"</f>
        <v>سرويس كيت5022-2910</v>
      </c>
      <c r="G232" s="1" t="str">
        <f>"عدد"</f>
        <v>عدد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O232" s="1">
        <v>97</v>
      </c>
      <c r="P232" s="1">
        <f t="shared" si="9"/>
        <v>0</v>
      </c>
      <c r="Q232" s="1">
        <f t="shared" si="10"/>
        <v>0</v>
      </c>
      <c r="R232" s="1" t="e">
        <f t="shared" si="11"/>
        <v>#DIV/0!</v>
      </c>
    </row>
    <row r="233" spans="1:18" hidden="1">
      <c r="A233" s="1">
        <v>2</v>
      </c>
      <c r="B233" s="1" t="str">
        <f>"قطعات و لوازم يدكي"</f>
        <v>قطعات و لوازم يدكي</v>
      </c>
      <c r="C233" s="1">
        <v>101</v>
      </c>
      <c r="D233" s="1" t="str">
        <f>"انبار قطعات و لوازم يدكي اصفهان"</f>
        <v>انبار قطعات و لوازم يدكي اصفهان</v>
      </c>
      <c r="E233" s="1" t="str">
        <f>"2202876033"</f>
        <v>2202876033</v>
      </c>
      <c r="F233" s="1" t="str">
        <f>"سررويس كيت اينتر كولر وكانكشنز"</f>
        <v>سررويس كيت اينتر كولر وكانكشنز</v>
      </c>
      <c r="G233" s="1" t="str">
        <f>"عدد"</f>
        <v>عدد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O233" s="1">
        <v>97</v>
      </c>
      <c r="P233" s="1">
        <f t="shared" si="9"/>
        <v>0</v>
      </c>
      <c r="Q233" s="1">
        <f t="shared" si="10"/>
        <v>0</v>
      </c>
      <c r="R233" s="1" t="e">
        <f t="shared" si="11"/>
        <v>#DIV/0!</v>
      </c>
    </row>
    <row r="234" spans="1:18" hidden="1">
      <c r="A234" s="1">
        <v>2</v>
      </c>
      <c r="B234" s="1" t="str">
        <f>"قطعات و لوازم يدكي"</f>
        <v>قطعات و لوازم يدكي</v>
      </c>
      <c r="C234" s="1">
        <v>101</v>
      </c>
      <c r="D234" s="1" t="str">
        <f>"انبار قطعات و لوازم يدكي اصفهان"</f>
        <v>انبار قطعات و لوازم يدكي اصفهان</v>
      </c>
      <c r="E234" s="1" t="str">
        <f>"2202877013"</f>
        <v>2202877013</v>
      </c>
      <c r="F234" s="1" t="str">
        <f>"ديافراگم  1846-1619"</f>
        <v>ديافراگم  1846-1619</v>
      </c>
      <c r="G234" s="1" t="str">
        <f>"عدد"</f>
        <v>عدد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O234" s="1">
        <v>97</v>
      </c>
      <c r="P234" s="1">
        <f t="shared" si="9"/>
        <v>0</v>
      </c>
      <c r="Q234" s="1">
        <f t="shared" si="10"/>
        <v>0</v>
      </c>
      <c r="R234" s="1" t="e">
        <f t="shared" si="11"/>
        <v>#DIV/0!</v>
      </c>
    </row>
    <row r="235" spans="1:18" hidden="1">
      <c r="A235" s="1">
        <v>2</v>
      </c>
      <c r="B235" s="1" t="str">
        <f>"قطعات و لوازم يدكي"</f>
        <v>قطعات و لوازم يدكي</v>
      </c>
      <c r="C235" s="1">
        <v>101</v>
      </c>
      <c r="D235" s="1" t="str">
        <f>"انبار قطعات و لوازم يدكي اصفهان"</f>
        <v>انبار قطعات و لوازم يدكي اصفهان</v>
      </c>
      <c r="E235" s="1" t="str">
        <f>"2202877353"</f>
        <v>2202877353</v>
      </c>
      <c r="F235" s="1" t="str">
        <f>"اورينگ 6164-0663"</f>
        <v>اورينگ 6164-0663</v>
      </c>
      <c r="G235" s="1" t="str">
        <f>"عدد"</f>
        <v>عدد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O235" s="1">
        <v>97</v>
      </c>
      <c r="P235" s="1">
        <f t="shared" si="9"/>
        <v>0</v>
      </c>
      <c r="Q235" s="1">
        <f t="shared" si="10"/>
        <v>0</v>
      </c>
      <c r="R235" s="1" t="e">
        <f t="shared" si="11"/>
        <v>#DIV/0!</v>
      </c>
    </row>
    <row r="236" spans="1:18" hidden="1">
      <c r="A236" s="1">
        <v>2</v>
      </c>
      <c r="B236" s="1" t="str">
        <f>"قطعات و لوازم يدكي"</f>
        <v>قطعات و لوازم يدكي</v>
      </c>
      <c r="C236" s="1">
        <v>101</v>
      </c>
      <c r="D236" s="1" t="str">
        <f>"انبار قطعات و لوازم يدكي اصفهان"</f>
        <v>انبار قطعات و لوازم يدكي اصفهان</v>
      </c>
      <c r="E236" s="1" t="str">
        <f>"2202879043"</f>
        <v>2202879043</v>
      </c>
      <c r="F236" s="1" t="str">
        <f>"اورينگ 7119-0663"</f>
        <v>اورينگ 7119-0663</v>
      </c>
      <c r="G236" s="1" t="str">
        <f>"عدد"</f>
        <v>عدد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O236" s="1">
        <v>97</v>
      </c>
      <c r="P236" s="1">
        <f t="shared" si="9"/>
        <v>0</v>
      </c>
      <c r="Q236" s="1">
        <f t="shared" si="10"/>
        <v>0</v>
      </c>
      <c r="R236" s="1" t="e">
        <f t="shared" si="11"/>
        <v>#DIV/0!</v>
      </c>
    </row>
    <row r="237" spans="1:18" hidden="1">
      <c r="A237" s="1">
        <v>2</v>
      </c>
      <c r="B237" s="1" t="str">
        <f>"قطعات و لوازم يدكي"</f>
        <v>قطعات و لوازم يدكي</v>
      </c>
      <c r="C237" s="1">
        <v>101</v>
      </c>
      <c r="D237" s="1" t="str">
        <f>"انبار قطعات و لوازم يدكي اصفهان"</f>
        <v>انبار قطعات و لوازم يدكي اصفهان</v>
      </c>
      <c r="E237" s="1" t="str">
        <f>"2202899142"</f>
        <v>2202899142</v>
      </c>
      <c r="F237" s="1" t="str">
        <f>"temp switch  914"</f>
        <v>temp switch  914</v>
      </c>
      <c r="G237" s="1" t="str">
        <f>"عدد"</f>
        <v>عدد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O237" s="1">
        <v>97</v>
      </c>
      <c r="P237" s="1">
        <f t="shared" si="9"/>
        <v>0</v>
      </c>
      <c r="Q237" s="1">
        <f t="shared" si="10"/>
        <v>0</v>
      </c>
      <c r="R237" s="1" t="e">
        <f t="shared" si="11"/>
        <v>#DIV/0!</v>
      </c>
    </row>
    <row r="238" spans="1:18">
      <c r="A238" s="1">
        <v>2</v>
      </c>
      <c r="B238" s="1" t="str">
        <f>"قطعات و لوازم يدكي"</f>
        <v>قطعات و لوازم يدكي</v>
      </c>
      <c r="C238" s="1">
        <v>101</v>
      </c>
      <c r="D238" s="1" t="str">
        <f>"انبار قطعات و لوازم يدكي اصفهان"</f>
        <v>انبار قطعات و لوازم يدكي اصفهان</v>
      </c>
      <c r="E238" s="1" t="str">
        <f>"2301021043"</f>
        <v>2301021043</v>
      </c>
      <c r="F238" s="1" t="str">
        <f>"BITUMEN PUMP-PACK.SET-GP81ERT"</f>
        <v>BITUMEN PUMP-PACK.SET-GP81ERT</v>
      </c>
      <c r="G238" s="1" t="str">
        <f>"ST"</f>
        <v>ST</v>
      </c>
      <c r="H238" s="1">
        <v>1</v>
      </c>
      <c r="I238" s="1">
        <v>13847081</v>
      </c>
      <c r="J238" s="1">
        <v>0</v>
      </c>
      <c r="K238" s="1">
        <v>0</v>
      </c>
      <c r="L238" s="1">
        <v>0</v>
      </c>
      <c r="M238" s="1">
        <v>0</v>
      </c>
      <c r="O238" s="1">
        <v>97</v>
      </c>
      <c r="P238" s="4">
        <f t="shared" si="9"/>
        <v>13847081</v>
      </c>
      <c r="Q238" s="4">
        <f t="shared" si="10"/>
        <v>1</v>
      </c>
      <c r="R238" s="4">
        <f t="shared" si="11"/>
        <v>13847081</v>
      </c>
    </row>
    <row r="239" spans="1:18">
      <c r="A239" s="1">
        <v>2</v>
      </c>
      <c r="B239" s="1" t="str">
        <f>"قطعات و لوازم يدكي"</f>
        <v>قطعات و لوازم يدكي</v>
      </c>
      <c r="C239" s="1">
        <v>101</v>
      </c>
      <c r="D239" s="1" t="str">
        <f>"انبار قطعات و لوازم يدكي اصفهان"</f>
        <v>انبار قطعات و لوازم يدكي اصفهان</v>
      </c>
      <c r="E239" s="1" t="str">
        <f>"2301021063"</f>
        <v>2301021063</v>
      </c>
      <c r="F239" s="1" t="str">
        <f>"SUPPLY PUMP-REP.SET-GRUNDFOSS CR 10-5"</f>
        <v>SUPPLY PUMP-REP.SET-GRUNDFOSS CR 10-5</v>
      </c>
      <c r="G239" s="1" t="str">
        <f>"عدد"</f>
        <v>عدد</v>
      </c>
      <c r="H239" s="1">
        <v>1</v>
      </c>
      <c r="I239" s="1">
        <v>18719041</v>
      </c>
      <c r="J239" s="1">
        <v>0</v>
      </c>
      <c r="K239" s="1">
        <v>0</v>
      </c>
      <c r="L239" s="1">
        <v>0</v>
      </c>
      <c r="M239" s="1">
        <v>0</v>
      </c>
      <c r="O239" s="1">
        <v>97</v>
      </c>
      <c r="P239" s="4">
        <f t="shared" si="9"/>
        <v>18719041</v>
      </c>
      <c r="Q239" s="4">
        <f t="shared" si="10"/>
        <v>1</v>
      </c>
      <c r="R239" s="4">
        <f t="shared" si="11"/>
        <v>18719041</v>
      </c>
    </row>
    <row r="240" spans="1:18">
      <c r="A240" s="1">
        <v>2</v>
      </c>
      <c r="B240" s="1" t="str">
        <f>"قطعات و لوازم يدكي"</f>
        <v>قطعات و لوازم يدكي</v>
      </c>
      <c r="C240" s="1">
        <v>101</v>
      </c>
      <c r="D240" s="1" t="str">
        <f>"انبار قطعات و لوازم يدكي اصفهان"</f>
        <v>انبار قطعات و لوازم يدكي اصفهان</v>
      </c>
      <c r="E240" s="1" t="str">
        <f>"2301021083"</f>
        <v>2301021083</v>
      </c>
      <c r="F240" s="1" t="str">
        <f>"emulsifier pump-rep.set-tgl 004-02v mech.seal"</f>
        <v>emulsifier pump-rep.set-tgl 004-02v mech.seal</v>
      </c>
      <c r="G240" s="1" t="str">
        <f>"عدد"</f>
        <v>عدد</v>
      </c>
      <c r="H240" s="1">
        <v>1</v>
      </c>
      <c r="I240" s="1">
        <v>12404586</v>
      </c>
      <c r="J240" s="1">
        <v>0</v>
      </c>
      <c r="K240" s="1">
        <v>0</v>
      </c>
      <c r="L240" s="1">
        <v>0</v>
      </c>
      <c r="M240" s="1">
        <v>0</v>
      </c>
      <c r="O240" s="1">
        <v>97</v>
      </c>
      <c r="P240" s="4">
        <f t="shared" si="9"/>
        <v>12404586</v>
      </c>
      <c r="Q240" s="4">
        <f t="shared" si="10"/>
        <v>1</v>
      </c>
      <c r="R240" s="4">
        <f t="shared" si="11"/>
        <v>12404586</v>
      </c>
    </row>
    <row r="241" spans="1:18">
      <c r="A241" s="1">
        <v>2</v>
      </c>
      <c r="B241" s="1" t="str">
        <f>"قطعات و لوازم يدكي"</f>
        <v>قطعات و لوازم يدكي</v>
      </c>
      <c r="C241" s="1">
        <v>101</v>
      </c>
      <c r="D241" s="1" t="str">
        <f>"انبار قطعات و لوازم يدكي اصفهان"</f>
        <v>انبار قطعات و لوازم يدكي اصفهان</v>
      </c>
      <c r="E241" s="1" t="str">
        <f>"2301021093"</f>
        <v>2301021093</v>
      </c>
      <c r="F241" s="1" t="str">
        <f>"acid pumps-tacmina-plzxd2"</f>
        <v>acid pumps-tacmina-plzxd2</v>
      </c>
      <c r="G241" s="1" t="str">
        <f>"عدد"</f>
        <v>عدد</v>
      </c>
      <c r="H241" s="1">
        <v>1</v>
      </c>
      <c r="I241" s="1">
        <v>190018049</v>
      </c>
      <c r="J241" s="1">
        <v>0</v>
      </c>
      <c r="K241" s="1">
        <v>0</v>
      </c>
      <c r="L241" s="1">
        <v>0</v>
      </c>
      <c r="M241" s="1">
        <v>0</v>
      </c>
      <c r="O241" s="1">
        <v>97</v>
      </c>
      <c r="P241" s="4">
        <f t="shared" si="9"/>
        <v>190018049</v>
      </c>
      <c r="Q241" s="4">
        <f t="shared" si="10"/>
        <v>1</v>
      </c>
      <c r="R241" s="4">
        <f t="shared" si="11"/>
        <v>190018049</v>
      </c>
    </row>
    <row r="242" spans="1:18">
      <c r="A242" s="1">
        <v>2</v>
      </c>
      <c r="B242" s="1" t="str">
        <f>"قطعات و لوازم يدكي"</f>
        <v>قطعات و لوازم يدكي</v>
      </c>
      <c r="C242" s="1">
        <v>101</v>
      </c>
      <c r="D242" s="1" t="str">
        <f>"انبار قطعات و لوازم يدكي اصفهان"</f>
        <v>انبار قطعات و لوازم يدكي اصفهان</v>
      </c>
      <c r="E242" s="1" t="str">
        <f>"2302030073"</f>
        <v>2302030073</v>
      </c>
      <c r="F242" s="1" t="str">
        <f>"PT 100 INPUT MODULE Q64RD"</f>
        <v>PT 100 INPUT MODULE Q64RD</v>
      </c>
      <c r="G242" s="1" t="str">
        <f>"عدد"</f>
        <v>عدد</v>
      </c>
      <c r="H242" s="1">
        <v>1</v>
      </c>
      <c r="I242" s="1">
        <v>27188527</v>
      </c>
      <c r="J242" s="1">
        <v>0</v>
      </c>
      <c r="K242" s="1">
        <v>0</v>
      </c>
      <c r="L242" s="1">
        <v>0</v>
      </c>
      <c r="M242" s="1">
        <v>0</v>
      </c>
      <c r="O242" s="1">
        <v>97</v>
      </c>
      <c r="P242" s="4">
        <f t="shared" si="9"/>
        <v>27188527</v>
      </c>
      <c r="Q242" s="4">
        <f t="shared" si="10"/>
        <v>1</v>
      </c>
      <c r="R242" s="4">
        <f t="shared" si="11"/>
        <v>27188527</v>
      </c>
    </row>
    <row r="243" spans="1:18">
      <c r="A243" s="1">
        <v>2</v>
      </c>
      <c r="B243" s="1" t="str">
        <f>"قطعات و لوازم يدكي"</f>
        <v>قطعات و لوازم يدكي</v>
      </c>
      <c r="C243" s="1">
        <v>101</v>
      </c>
      <c r="D243" s="1" t="str">
        <f>"انبار قطعات و لوازم يدكي اصفهان"</f>
        <v>انبار قطعات و لوازم يدكي اصفهان</v>
      </c>
      <c r="E243" s="1" t="str">
        <f>"2441490523"</f>
        <v>2441490523</v>
      </c>
      <c r="F243" s="1" t="str">
        <f>"پلان برينگ سي اس /بابيت"</f>
        <v>پلان برينگ سي اس /بابيت</v>
      </c>
      <c r="G243" s="1" t="str">
        <f>"عدد"</f>
        <v>عدد</v>
      </c>
      <c r="H243" s="1">
        <v>6</v>
      </c>
      <c r="I243" s="1">
        <v>14038363</v>
      </c>
      <c r="J243" s="1">
        <v>0</v>
      </c>
      <c r="K243" s="1">
        <v>0</v>
      </c>
      <c r="L243" s="1">
        <v>0</v>
      </c>
      <c r="M243" s="1">
        <v>0</v>
      </c>
      <c r="O243" s="1">
        <v>97</v>
      </c>
      <c r="P243" s="4">
        <f t="shared" si="9"/>
        <v>14038363</v>
      </c>
      <c r="Q243" s="4">
        <f t="shared" si="10"/>
        <v>6</v>
      </c>
      <c r="R243" s="4">
        <f t="shared" si="11"/>
        <v>2339727.1666666665</v>
      </c>
    </row>
    <row r="244" spans="1:18">
      <c r="A244" s="1">
        <v>2</v>
      </c>
      <c r="B244" s="1" t="str">
        <f>"قطعات و لوازم يدكي"</f>
        <v>قطعات و لوازم يدكي</v>
      </c>
      <c r="C244" s="1">
        <v>101</v>
      </c>
      <c r="D244" s="1" t="str">
        <f>"انبار قطعات و لوازم يدكي اصفهان"</f>
        <v>انبار قطعات و لوازم يدكي اصفهان</v>
      </c>
      <c r="E244" s="1" t="str">
        <f>"2441490563"</f>
        <v>2441490563</v>
      </c>
      <c r="F244" s="1" t="str">
        <f>"سل"</f>
        <v>سل</v>
      </c>
      <c r="G244" s="1" t="str">
        <f>"عدد"</f>
        <v>عدد</v>
      </c>
      <c r="H244" s="1">
        <v>20</v>
      </c>
      <c r="I244" s="1">
        <v>10281</v>
      </c>
      <c r="J244" s="1">
        <v>0</v>
      </c>
      <c r="K244" s="1">
        <v>0</v>
      </c>
      <c r="L244" s="1">
        <v>0</v>
      </c>
      <c r="M244" s="1">
        <v>0</v>
      </c>
      <c r="O244" s="1">
        <v>97</v>
      </c>
      <c r="P244" s="4">
        <f t="shared" si="9"/>
        <v>10281</v>
      </c>
      <c r="Q244" s="4">
        <f t="shared" si="10"/>
        <v>20</v>
      </c>
      <c r="R244" s="4">
        <f t="shared" si="11"/>
        <v>514.04999999999995</v>
      </c>
    </row>
    <row r="245" spans="1:18">
      <c r="A245" s="1">
        <v>2</v>
      </c>
      <c r="B245" s="1" t="str">
        <f>"قطعات و لوازم يدكي"</f>
        <v>قطعات و لوازم يدكي</v>
      </c>
      <c r="C245" s="1">
        <v>101</v>
      </c>
      <c r="D245" s="1" t="str">
        <f>"انبار قطعات و لوازم يدكي اصفهان"</f>
        <v>انبار قطعات و لوازم يدكي اصفهان</v>
      </c>
      <c r="E245" s="1" t="str">
        <f>"2441492513"</f>
        <v>2441492513</v>
      </c>
      <c r="F245" s="1" t="str">
        <f>"سل كيت كامپلت"</f>
        <v>سل كيت كامپلت</v>
      </c>
      <c r="G245" s="1" t="str">
        <f>"عدد"</f>
        <v>عدد</v>
      </c>
      <c r="H245" s="1">
        <v>4</v>
      </c>
      <c r="I245" s="1">
        <v>6153880</v>
      </c>
      <c r="J245" s="1">
        <v>0</v>
      </c>
      <c r="K245" s="1">
        <v>0</v>
      </c>
      <c r="L245" s="1">
        <v>0</v>
      </c>
      <c r="M245" s="1">
        <v>0</v>
      </c>
      <c r="O245" s="1">
        <v>97</v>
      </c>
      <c r="P245" s="4">
        <f t="shared" si="9"/>
        <v>6153880</v>
      </c>
      <c r="Q245" s="4">
        <f t="shared" si="10"/>
        <v>4</v>
      </c>
      <c r="R245" s="4">
        <f t="shared" si="11"/>
        <v>1538470</v>
      </c>
    </row>
    <row r="246" spans="1:18" hidden="1">
      <c r="A246" s="1">
        <v>2</v>
      </c>
      <c r="B246" s="1" t="str">
        <f>"قطعات و لوازم يدكي"</f>
        <v>قطعات و لوازم يدكي</v>
      </c>
      <c r="C246" s="1">
        <v>101</v>
      </c>
      <c r="D246" s="1" t="str">
        <f>"انبار قطعات و لوازم يدكي اصفهان"</f>
        <v>انبار قطعات و لوازم يدكي اصفهان</v>
      </c>
      <c r="E246" s="1" t="str">
        <f>"3001010022"</f>
        <v>3001010022</v>
      </c>
      <c r="F246" s="1" t="str">
        <f>"قوطي 4 کيلويي"</f>
        <v>قوطي 4 کيلويي</v>
      </c>
      <c r="G246" s="1" t="str">
        <f>"عدد"</f>
        <v>عدد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O246" s="1">
        <v>97</v>
      </c>
      <c r="P246" s="1">
        <f t="shared" si="9"/>
        <v>0</v>
      </c>
      <c r="Q246" s="1">
        <f t="shared" si="10"/>
        <v>0</v>
      </c>
      <c r="R246" s="1" t="e">
        <f t="shared" si="11"/>
        <v>#DIV/0!</v>
      </c>
    </row>
    <row r="247" spans="1:18" hidden="1">
      <c r="A247" s="1">
        <v>2</v>
      </c>
      <c r="B247" s="1" t="str">
        <f>"قطعات و لوازم يدكي"</f>
        <v>قطعات و لوازم يدكي</v>
      </c>
      <c r="C247" s="1">
        <v>101</v>
      </c>
      <c r="D247" s="1" t="str">
        <f>"انبار قطعات و لوازم يدكي اصفهان"</f>
        <v>انبار قطعات و لوازم يدكي اصفهان</v>
      </c>
      <c r="E247" s="1" t="str">
        <f>"3101010033"</f>
        <v>3101010033</v>
      </c>
      <c r="F247" s="1" t="str">
        <f>"TRUST WASHER p-1601 A/B/C"</f>
        <v>TRUST WASHER p-1601 A/B/C</v>
      </c>
      <c r="G247" s="1" t="str">
        <f>"عدد"</f>
        <v>عدد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O247" s="1">
        <v>97</v>
      </c>
      <c r="P247" s="1">
        <f t="shared" si="9"/>
        <v>0</v>
      </c>
      <c r="Q247" s="1">
        <f t="shared" si="10"/>
        <v>0</v>
      </c>
      <c r="R247" s="1" t="e">
        <f t="shared" si="11"/>
        <v>#DIV/0!</v>
      </c>
    </row>
    <row r="248" spans="1:18">
      <c r="A248" s="1">
        <v>2</v>
      </c>
      <c r="B248" s="1" t="str">
        <f>"قطعات و لوازم يدكي"</f>
        <v>قطعات و لوازم يدكي</v>
      </c>
      <c r="C248" s="1">
        <v>101</v>
      </c>
      <c r="D248" s="1" t="str">
        <f>"انبار قطعات و لوازم يدكي اصفهان"</f>
        <v>انبار قطعات و لوازم يدكي اصفهان</v>
      </c>
      <c r="E248" s="1" t="str">
        <f>"3101040013"</f>
        <v>3101040013</v>
      </c>
      <c r="F248" s="1" t="str">
        <f>"DISTANCE BUSH"</f>
        <v>DISTANCE BUSH</v>
      </c>
      <c r="G248" s="1" t="str">
        <f>"عدد"</f>
        <v>عدد</v>
      </c>
      <c r="H248" s="1">
        <v>2</v>
      </c>
      <c r="I248" s="1">
        <v>1444600</v>
      </c>
      <c r="J248" s="1">
        <v>0</v>
      </c>
      <c r="K248" s="1">
        <v>0</v>
      </c>
      <c r="L248" s="1">
        <v>0</v>
      </c>
      <c r="M248" s="1">
        <v>0</v>
      </c>
      <c r="O248" s="1">
        <v>97</v>
      </c>
      <c r="P248" s="4">
        <f t="shared" si="9"/>
        <v>1444600</v>
      </c>
      <c r="Q248" s="4">
        <f t="shared" si="10"/>
        <v>2</v>
      </c>
      <c r="R248" s="4">
        <f t="shared" si="11"/>
        <v>722300</v>
      </c>
    </row>
    <row r="249" spans="1:18">
      <c r="A249" s="1">
        <v>2</v>
      </c>
      <c r="B249" s="1" t="str">
        <f>"قطعات و لوازم يدكي"</f>
        <v>قطعات و لوازم يدكي</v>
      </c>
      <c r="C249" s="1">
        <v>101</v>
      </c>
      <c r="D249" s="1" t="str">
        <f>"انبار قطعات و لوازم يدكي اصفهان"</f>
        <v>انبار قطعات و لوازم يدكي اصفهان</v>
      </c>
      <c r="E249" s="1" t="str">
        <f>"3101050023"</f>
        <v>3101050023</v>
      </c>
      <c r="F249" s="1" t="str">
        <f>"SOCKET  SCREW"</f>
        <v>SOCKET  SCREW</v>
      </c>
      <c r="G249" s="1" t="str">
        <f>"عدد"</f>
        <v>عدد</v>
      </c>
      <c r="H249" s="1">
        <v>15</v>
      </c>
      <c r="I249" s="1">
        <v>2097000</v>
      </c>
      <c r="J249" s="1">
        <v>0</v>
      </c>
      <c r="K249" s="1">
        <v>0</v>
      </c>
      <c r="L249" s="1">
        <v>0</v>
      </c>
      <c r="M249" s="1">
        <v>0</v>
      </c>
      <c r="O249" s="1">
        <v>97</v>
      </c>
      <c r="P249" s="4">
        <f t="shared" si="9"/>
        <v>2097000</v>
      </c>
      <c r="Q249" s="4">
        <f t="shared" si="10"/>
        <v>15</v>
      </c>
      <c r="R249" s="4">
        <f t="shared" si="11"/>
        <v>139800</v>
      </c>
    </row>
    <row r="250" spans="1:18">
      <c r="A250" s="1">
        <v>2</v>
      </c>
      <c r="B250" s="1" t="str">
        <f>"قطعات و لوازم يدكي"</f>
        <v>قطعات و لوازم يدكي</v>
      </c>
      <c r="C250" s="1">
        <v>101</v>
      </c>
      <c r="D250" s="1" t="str">
        <f>"انبار قطعات و لوازم يدكي اصفهان"</f>
        <v>انبار قطعات و لوازم يدكي اصفهان</v>
      </c>
      <c r="E250" s="1" t="str">
        <f>"3101080033"</f>
        <v>3101080033</v>
      </c>
      <c r="F250" s="1" t="str">
        <f>"PARALLEL PIN (کوچک)"</f>
        <v>PARALLEL PIN (کوچک)</v>
      </c>
      <c r="G250" s="1" t="str">
        <f>"ST"</f>
        <v>ST</v>
      </c>
      <c r="H250" s="1">
        <v>2</v>
      </c>
      <c r="I250" s="1">
        <v>279600</v>
      </c>
      <c r="J250" s="1">
        <v>0</v>
      </c>
      <c r="K250" s="1">
        <v>0</v>
      </c>
      <c r="L250" s="1">
        <v>0</v>
      </c>
      <c r="M250" s="1">
        <v>0</v>
      </c>
      <c r="O250" s="1">
        <v>97</v>
      </c>
      <c r="P250" s="4">
        <f t="shared" si="9"/>
        <v>279600</v>
      </c>
      <c r="Q250" s="4">
        <f t="shared" si="10"/>
        <v>2</v>
      </c>
      <c r="R250" s="4">
        <f t="shared" si="11"/>
        <v>139800</v>
      </c>
    </row>
    <row r="251" spans="1:18">
      <c r="A251" s="1">
        <v>2</v>
      </c>
      <c r="B251" s="1" t="str">
        <f>"قطعات و لوازم يدكي"</f>
        <v>قطعات و لوازم يدكي</v>
      </c>
      <c r="C251" s="1">
        <v>101</v>
      </c>
      <c r="D251" s="1" t="str">
        <f>"انبار قطعات و لوازم يدكي اصفهان"</f>
        <v>انبار قطعات و لوازم يدكي اصفهان</v>
      </c>
      <c r="E251" s="1" t="str">
        <f>"3101080053"</f>
        <v>3101080053</v>
      </c>
      <c r="F251" s="1" t="str">
        <f>"PIN"</f>
        <v>PIN</v>
      </c>
      <c r="G251" s="1" t="str">
        <f>"عدد"</f>
        <v>عدد</v>
      </c>
      <c r="H251" s="1">
        <v>4</v>
      </c>
      <c r="I251" s="1">
        <v>559200</v>
      </c>
      <c r="J251" s="1">
        <v>0</v>
      </c>
      <c r="K251" s="1">
        <v>0</v>
      </c>
      <c r="L251" s="1">
        <v>0</v>
      </c>
      <c r="M251" s="1">
        <v>0</v>
      </c>
      <c r="O251" s="1">
        <v>97</v>
      </c>
      <c r="P251" s="4">
        <f t="shared" si="9"/>
        <v>559200</v>
      </c>
      <c r="Q251" s="4">
        <f t="shared" si="10"/>
        <v>4</v>
      </c>
      <c r="R251" s="4">
        <f t="shared" si="11"/>
        <v>139800</v>
      </c>
    </row>
    <row r="252" spans="1:18">
      <c r="A252" s="1">
        <v>2</v>
      </c>
      <c r="B252" s="1" t="str">
        <f>"قطعات و لوازم يدكي"</f>
        <v>قطعات و لوازم يدكي</v>
      </c>
      <c r="C252" s="1">
        <v>101</v>
      </c>
      <c r="D252" s="1" t="str">
        <f>"انبار قطعات و لوازم يدكي اصفهان"</f>
        <v>انبار قطعات و لوازم يدكي اصفهان</v>
      </c>
      <c r="E252" s="1" t="str">
        <f>"3101130013"</f>
        <v>3101130013</v>
      </c>
      <c r="F252" s="1" t="str">
        <f>"LOKING PLATE"</f>
        <v>LOKING PLATE</v>
      </c>
      <c r="G252" s="1" t="str">
        <f>"عدد"</f>
        <v>عدد</v>
      </c>
      <c r="H252" s="1">
        <v>6</v>
      </c>
      <c r="I252" s="1">
        <v>3495000</v>
      </c>
      <c r="J252" s="1">
        <v>0</v>
      </c>
      <c r="K252" s="1">
        <v>0</v>
      </c>
      <c r="L252" s="1">
        <v>0</v>
      </c>
      <c r="M252" s="1">
        <v>0</v>
      </c>
      <c r="O252" s="1">
        <v>97</v>
      </c>
      <c r="P252" s="4">
        <f t="shared" si="9"/>
        <v>3495000</v>
      </c>
      <c r="Q252" s="4">
        <f t="shared" si="10"/>
        <v>6</v>
      </c>
      <c r="R252" s="4">
        <f t="shared" si="11"/>
        <v>582500</v>
      </c>
    </row>
    <row r="253" spans="1:18">
      <c r="A253" s="1">
        <v>2</v>
      </c>
      <c r="B253" s="1" t="str">
        <f>"قطعات و لوازم يدكي"</f>
        <v>قطعات و لوازم يدكي</v>
      </c>
      <c r="C253" s="1">
        <v>101</v>
      </c>
      <c r="D253" s="1" t="str">
        <f>"انبار قطعات و لوازم يدكي اصفهان"</f>
        <v>انبار قطعات و لوازم يدكي اصفهان</v>
      </c>
      <c r="E253" s="1" t="str">
        <f>"3103023883"</f>
        <v>3103023883</v>
      </c>
      <c r="F253" s="1" t="str">
        <f>"چرخ دنده و پيچ حلزوني ساکشن ولو 1601"</f>
        <v>چرخ دنده و پيچ حلزوني ساکشن ولو 1601</v>
      </c>
      <c r="G253" s="1" t="str">
        <f>"ST"</f>
        <v>ST</v>
      </c>
      <c r="H253" s="1">
        <v>1</v>
      </c>
      <c r="I253" s="1">
        <v>7500000</v>
      </c>
      <c r="J253" s="1">
        <v>0</v>
      </c>
      <c r="K253" s="1">
        <v>0</v>
      </c>
      <c r="L253" s="1">
        <v>0</v>
      </c>
      <c r="M253" s="1">
        <v>0</v>
      </c>
      <c r="O253" s="1">
        <v>97</v>
      </c>
      <c r="P253" s="4">
        <f t="shared" si="9"/>
        <v>7500000</v>
      </c>
      <c r="Q253" s="4">
        <f t="shared" si="10"/>
        <v>1</v>
      </c>
      <c r="R253" s="4">
        <f t="shared" si="11"/>
        <v>7500000</v>
      </c>
    </row>
    <row r="254" spans="1:18">
      <c r="A254" s="1">
        <v>2</v>
      </c>
      <c r="B254" s="1" t="str">
        <f>"قطعات و لوازم يدكي"</f>
        <v>قطعات و لوازم يدكي</v>
      </c>
      <c r="C254" s="1">
        <v>101</v>
      </c>
      <c r="D254" s="1" t="str">
        <f>"انبار قطعات و لوازم يدكي اصفهان"</f>
        <v>انبار قطعات و لوازم يدكي اصفهان</v>
      </c>
      <c r="E254" s="1" t="str">
        <f>"3112711623"</f>
        <v>3112711623</v>
      </c>
      <c r="F254" s="1" t="str">
        <f>"ديفلكيتور(deflector)"</f>
        <v>ديفلكيتور(deflector)</v>
      </c>
      <c r="G254" s="1" t="str">
        <f>"عدد"</f>
        <v>عدد</v>
      </c>
      <c r="H254" s="1">
        <v>2</v>
      </c>
      <c r="I254" s="1">
        <v>41262363</v>
      </c>
      <c r="J254" s="1">
        <v>0</v>
      </c>
      <c r="K254" s="1">
        <v>0</v>
      </c>
      <c r="L254" s="1">
        <v>0</v>
      </c>
      <c r="M254" s="1">
        <v>0</v>
      </c>
      <c r="O254" s="1">
        <v>97</v>
      </c>
      <c r="P254" s="4">
        <f t="shared" si="9"/>
        <v>41262363</v>
      </c>
      <c r="Q254" s="4">
        <f t="shared" si="10"/>
        <v>2</v>
      </c>
      <c r="R254" s="4">
        <f t="shared" si="11"/>
        <v>20631181.5</v>
      </c>
    </row>
    <row r="255" spans="1:18" hidden="1">
      <c r="A255" s="1">
        <v>2</v>
      </c>
      <c r="B255" s="1" t="str">
        <f>"قطعات و لوازم يدكي"</f>
        <v>قطعات و لوازم يدكي</v>
      </c>
      <c r="C255" s="1">
        <v>101</v>
      </c>
      <c r="D255" s="1" t="str">
        <f>"انبار قطعات و لوازم يدكي اصفهان"</f>
        <v>انبار قطعات و لوازم يدكي اصفهان</v>
      </c>
      <c r="E255" s="1" t="str">
        <f>"3113300043"</f>
        <v>3113300043</v>
      </c>
      <c r="F255" s="1" t="str">
        <f>"بوش فسفر پمپ liestritz"</f>
        <v>بوش فسفر پمپ liestritz</v>
      </c>
      <c r="G255" s="1" t="str">
        <f>"عدد"</f>
        <v>عدد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O255" s="1">
        <v>97</v>
      </c>
      <c r="P255" s="1">
        <f t="shared" si="9"/>
        <v>0</v>
      </c>
      <c r="Q255" s="1">
        <f t="shared" si="10"/>
        <v>0</v>
      </c>
      <c r="R255" s="1" t="e">
        <f t="shared" si="11"/>
        <v>#DIV/0!</v>
      </c>
    </row>
    <row r="256" spans="1:18">
      <c r="A256" s="1">
        <v>2</v>
      </c>
      <c r="B256" s="1" t="str">
        <f>"قطعات و لوازم يدكي"</f>
        <v>قطعات و لوازم يدكي</v>
      </c>
      <c r="C256" s="1">
        <v>101</v>
      </c>
      <c r="D256" s="1" t="str">
        <f>"انبار قطعات و لوازم يدكي اصفهان"</f>
        <v>انبار قطعات و لوازم يدكي اصفهان</v>
      </c>
      <c r="E256" s="1" t="str">
        <f>"3114810533"</f>
        <v>3114810533</v>
      </c>
      <c r="F256" s="1" t="str">
        <f>"اورينگ (كوچك)P-1001C."</f>
        <v>اورينگ (كوچك)P-1001C.</v>
      </c>
      <c r="G256" s="1" t="str">
        <f>"عدد"</f>
        <v>عدد</v>
      </c>
      <c r="H256" s="1">
        <v>6</v>
      </c>
      <c r="I256" s="1">
        <v>18000</v>
      </c>
      <c r="J256" s="1">
        <v>0</v>
      </c>
      <c r="K256" s="1">
        <v>0</v>
      </c>
      <c r="L256" s="1">
        <v>0</v>
      </c>
      <c r="M256" s="1">
        <v>0</v>
      </c>
      <c r="O256" s="1">
        <v>97</v>
      </c>
      <c r="P256" s="4">
        <f t="shared" si="9"/>
        <v>18000</v>
      </c>
      <c r="Q256" s="4">
        <f t="shared" si="10"/>
        <v>6</v>
      </c>
      <c r="R256" s="4">
        <f t="shared" si="11"/>
        <v>3000</v>
      </c>
    </row>
    <row r="257" spans="1:18">
      <c r="A257" s="1">
        <v>2</v>
      </c>
      <c r="B257" s="1" t="str">
        <f>"قطعات و لوازم يدكي"</f>
        <v>قطعات و لوازم يدكي</v>
      </c>
      <c r="C257" s="1">
        <v>101</v>
      </c>
      <c r="D257" s="1" t="str">
        <f>"انبار قطعات و لوازم يدكي اصفهان"</f>
        <v>انبار قطعات و لوازم يدكي اصفهان</v>
      </c>
      <c r="E257" s="1" t="str">
        <f>"3114810563"</f>
        <v>3114810563</v>
      </c>
      <c r="F257" s="1" t="str">
        <f>"اد جاستينگ رينگ"</f>
        <v>اد جاستينگ رينگ</v>
      </c>
      <c r="G257" s="1" t="str">
        <f>"عدد"</f>
        <v>عدد</v>
      </c>
      <c r="H257" s="1">
        <v>2</v>
      </c>
      <c r="I257" s="1">
        <v>86000</v>
      </c>
      <c r="J257" s="1">
        <v>0</v>
      </c>
      <c r="K257" s="1">
        <v>0</v>
      </c>
      <c r="L257" s="1">
        <v>0</v>
      </c>
      <c r="M257" s="1">
        <v>0</v>
      </c>
      <c r="O257" s="1">
        <v>97</v>
      </c>
      <c r="P257" s="4">
        <f t="shared" si="9"/>
        <v>86000</v>
      </c>
      <c r="Q257" s="4">
        <f t="shared" si="10"/>
        <v>2</v>
      </c>
      <c r="R257" s="4">
        <f t="shared" si="11"/>
        <v>43000</v>
      </c>
    </row>
    <row r="258" spans="1:18">
      <c r="A258" s="1">
        <v>2</v>
      </c>
      <c r="B258" s="1" t="str">
        <f>"قطعات و لوازم يدكي"</f>
        <v>قطعات و لوازم يدكي</v>
      </c>
      <c r="C258" s="1">
        <v>101</v>
      </c>
      <c r="D258" s="1" t="str">
        <f>"انبار قطعات و لوازم يدكي اصفهان"</f>
        <v>انبار قطعات و لوازم يدكي اصفهان</v>
      </c>
      <c r="E258" s="1" t="str">
        <f>"3114810633"</f>
        <v>3114810633</v>
      </c>
      <c r="F258" s="1" t="str">
        <f>"اسپرينگ واشر ."</f>
        <v>اسپرينگ واشر .</v>
      </c>
      <c r="G258" s="1" t="str">
        <f>"عدد"</f>
        <v>عدد</v>
      </c>
      <c r="H258" s="1">
        <v>10</v>
      </c>
      <c r="I258" s="1">
        <v>4125</v>
      </c>
      <c r="J258" s="1">
        <v>0</v>
      </c>
      <c r="K258" s="1">
        <v>0</v>
      </c>
      <c r="L258" s="1">
        <v>0</v>
      </c>
      <c r="M258" s="1">
        <v>0</v>
      </c>
      <c r="O258" s="1">
        <v>97</v>
      </c>
      <c r="P258" s="4">
        <f t="shared" si="9"/>
        <v>4125</v>
      </c>
      <c r="Q258" s="4">
        <f t="shared" si="10"/>
        <v>10</v>
      </c>
      <c r="R258" s="4">
        <f t="shared" si="11"/>
        <v>412.5</v>
      </c>
    </row>
    <row r="259" spans="1:18">
      <c r="A259" s="1">
        <v>2</v>
      </c>
      <c r="B259" s="1" t="str">
        <f>"قطعات و لوازم يدكي"</f>
        <v>قطعات و لوازم يدكي</v>
      </c>
      <c r="C259" s="1">
        <v>101</v>
      </c>
      <c r="D259" s="1" t="str">
        <f>"انبار قطعات و لوازم يدكي اصفهان"</f>
        <v>انبار قطعات و لوازم يدكي اصفهان</v>
      </c>
      <c r="E259" s="1" t="str">
        <f>"3114810703"</f>
        <v>3114810703</v>
      </c>
      <c r="F259" s="1" t="str">
        <f>"اورينگ 3/5*270 کيسينگ p-1001c"</f>
        <v>اورينگ 3/5*270 کيسينگ p-1001c</v>
      </c>
      <c r="G259" s="1" t="str">
        <f>"عدد"</f>
        <v>عدد</v>
      </c>
      <c r="H259" s="1">
        <v>2</v>
      </c>
      <c r="I259" s="1">
        <v>70000</v>
      </c>
      <c r="J259" s="1">
        <v>0</v>
      </c>
      <c r="K259" s="1">
        <v>0</v>
      </c>
      <c r="L259" s="1">
        <v>0</v>
      </c>
      <c r="M259" s="1">
        <v>0</v>
      </c>
      <c r="O259" s="1">
        <v>97</v>
      </c>
      <c r="P259" s="4">
        <f t="shared" ref="P259:P322" si="12">I259+K259-M259</f>
        <v>70000</v>
      </c>
      <c r="Q259" s="4">
        <f t="shared" ref="Q259:Q322" si="13">H259+J259-L259</f>
        <v>2</v>
      </c>
      <c r="R259" s="4">
        <f t="shared" ref="R259:R322" si="14">P259/Q259</f>
        <v>35000</v>
      </c>
    </row>
    <row r="260" spans="1:18">
      <c r="A260" s="1">
        <v>1</v>
      </c>
      <c r="B260" s="1" t="str">
        <f>"انواع محصول قير"</f>
        <v>انواع محصول قير</v>
      </c>
      <c r="C260" s="1">
        <v>100</v>
      </c>
      <c r="D260" s="1" t="str">
        <f>"مخازن قير اصفهان"</f>
        <v>مخازن قير اصفهان</v>
      </c>
      <c r="E260" s="1" t="str">
        <f>"0000000103"</f>
        <v>0000000103</v>
      </c>
      <c r="F260" s="1" t="str">
        <f>"قير VG30 - بشكه 180 كيلوگرمي"</f>
        <v>قير VG30 - بشكه 180 كيلوگرمي</v>
      </c>
      <c r="G260" s="1" t="str">
        <f>"كيلوگرم"</f>
        <v>كيلوگرم</v>
      </c>
      <c r="H260" s="1">
        <v>44429</v>
      </c>
      <c r="I260" s="1">
        <v>472710669</v>
      </c>
      <c r="J260" s="1">
        <v>0</v>
      </c>
      <c r="K260" s="1">
        <v>0</v>
      </c>
      <c r="L260" s="1">
        <v>0</v>
      </c>
      <c r="M260" s="1">
        <v>0</v>
      </c>
      <c r="O260" s="1">
        <v>97</v>
      </c>
      <c r="P260" s="4">
        <f t="shared" si="12"/>
        <v>472710669</v>
      </c>
      <c r="Q260" s="4">
        <f t="shared" si="13"/>
        <v>44429</v>
      </c>
      <c r="R260" s="4">
        <f t="shared" si="14"/>
        <v>10639.687343851989</v>
      </c>
    </row>
    <row r="261" spans="1:18" hidden="1">
      <c r="A261" s="1">
        <v>1</v>
      </c>
      <c r="B261" s="1" t="str">
        <f>"انواع محصول قير"</f>
        <v>انواع محصول قير</v>
      </c>
      <c r="C261" s="1">
        <v>100</v>
      </c>
      <c r="D261" s="1" t="str">
        <f>"مخازن قير اصفهان"</f>
        <v>مخازن قير اصفهان</v>
      </c>
      <c r="E261" s="1" t="str">
        <f>"0000000105"</f>
        <v>0000000105</v>
      </c>
      <c r="F261" s="1" t="str">
        <f>"قير VG40 - بشكه 180 كيلوگرمي"</f>
        <v>قير VG40 - بشكه 180 كيلوگرمي</v>
      </c>
      <c r="G261" s="1" t="str">
        <f>"كيلوگرم"</f>
        <v>كيلوگرم</v>
      </c>
      <c r="H261" s="1">
        <v>575114</v>
      </c>
      <c r="I261" s="1">
        <v>6118696001</v>
      </c>
      <c r="J261" s="1">
        <v>1922895</v>
      </c>
      <c r="K261" s="1">
        <v>40667182145</v>
      </c>
      <c r="L261" s="1">
        <v>2498009</v>
      </c>
      <c r="M261" s="1">
        <v>46785878146</v>
      </c>
      <c r="O261" s="1">
        <v>97</v>
      </c>
      <c r="P261" s="1">
        <f t="shared" si="12"/>
        <v>0</v>
      </c>
      <c r="Q261" s="1">
        <f t="shared" si="13"/>
        <v>0</v>
      </c>
      <c r="R261" s="1" t="e">
        <f t="shared" si="14"/>
        <v>#DIV/0!</v>
      </c>
    </row>
    <row r="262" spans="1:18" hidden="1">
      <c r="A262" s="1">
        <v>1</v>
      </c>
      <c r="B262" s="1" t="str">
        <f>"انواع محصول قير"</f>
        <v>انواع محصول قير</v>
      </c>
      <c r="C262" s="1">
        <v>100</v>
      </c>
      <c r="D262" s="1" t="str">
        <f>"مخازن قير اصفهان"</f>
        <v>مخازن قير اصفهان</v>
      </c>
      <c r="E262" s="1" t="str">
        <f>"0000000112"</f>
        <v>0000000112</v>
      </c>
      <c r="F262" s="1" t="str">
        <f>"قير 60/70 - بشكه مقوايي 200 كيلوگرمي"</f>
        <v>قير 60/70 - بشكه مقوايي 200 كيلوگرمي</v>
      </c>
      <c r="G262" s="1" t="str">
        <f>"كيلوگرم"</f>
        <v>كيلوگرم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O262" s="1">
        <v>97</v>
      </c>
      <c r="P262" s="1">
        <f t="shared" si="12"/>
        <v>0</v>
      </c>
      <c r="Q262" s="1">
        <f t="shared" si="13"/>
        <v>0</v>
      </c>
      <c r="R262" s="1" t="e">
        <f t="shared" si="14"/>
        <v>#DIV/0!</v>
      </c>
    </row>
    <row r="263" spans="1:18" hidden="1">
      <c r="A263" s="1">
        <v>1</v>
      </c>
      <c r="B263" s="1" t="str">
        <f>"انواع محصول قير"</f>
        <v>انواع محصول قير</v>
      </c>
      <c r="C263" s="1">
        <v>104</v>
      </c>
      <c r="D263" s="1" t="str">
        <f>"انبار قير بندرعباس"</f>
        <v>انبار قير بندرعباس</v>
      </c>
      <c r="E263" s="1" t="str">
        <f>"1000000004"</f>
        <v>1000000004</v>
      </c>
      <c r="F263" s="1" t="str">
        <f>"قير 40/50 - فله"</f>
        <v>قير 40/50 - فله</v>
      </c>
      <c r="G263" s="1" t="str">
        <f>"كيلوگرم"</f>
        <v>كيلوگرم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O263" s="1">
        <v>97</v>
      </c>
      <c r="P263" s="1">
        <f t="shared" si="12"/>
        <v>0</v>
      </c>
      <c r="Q263" s="1">
        <f t="shared" si="13"/>
        <v>0</v>
      </c>
      <c r="R263" s="1" t="e">
        <f t="shared" si="14"/>
        <v>#DIV/0!</v>
      </c>
    </row>
    <row r="264" spans="1:18">
      <c r="A264" s="1">
        <v>2</v>
      </c>
      <c r="B264" s="1" t="str">
        <f>"قطعات و لوازم يدكي"</f>
        <v>قطعات و لوازم يدكي</v>
      </c>
      <c r="C264" s="1">
        <v>101</v>
      </c>
      <c r="D264" s="1" t="str">
        <f>"انبار قطعات و لوازم يدكي اصفهان"</f>
        <v>انبار قطعات و لوازم يدكي اصفهان</v>
      </c>
      <c r="E264" s="1" t="str">
        <f>"2201010033"</f>
        <v>2201010033</v>
      </c>
      <c r="F264" s="1" t="str">
        <f>"CABLE"</f>
        <v>CABLE</v>
      </c>
      <c r="G264" s="1" t="str">
        <f>"عدد"</f>
        <v>عدد</v>
      </c>
      <c r="H264" s="1">
        <v>12</v>
      </c>
      <c r="I264" s="1">
        <v>171405720</v>
      </c>
      <c r="J264" s="1">
        <v>0</v>
      </c>
      <c r="K264" s="1">
        <v>0</v>
      </c>
      <c r="L264" s="1">
        <v>0</v>
      </c>
      <c r="M264" s="1">
        <v>0</v>
      </c>
      <c r="O264" s="1">
        <v>97</v>
      </c>
      <c r="P264" s="4">
        <f t="shared" si="12"/>
        <v>171405720</v>
      </c>
      <c r="Q264" s="4">
        <f t="shared" si="13"/>
        <v>12</v>
      </c>
      <c r="R264" s="4">
        <f t="shared" si="14"/>
        <v>14283810</v>
      </c>
    </row>
    <row r="265" spans="1:18">
      <c r="A265" s="1">
        <v>2</v>
      </c>
      <c r="B265" s="1" t="str">
        <f>"قطعات و لوازم يدكي"</f>
        <v>قطعات و لوازم يدكي</v>
      </c>
      <c r="C265" s="1">
        <v>101</v>
      </c>
      <c r="D265" s="1" t="str">
        <f>"انبار قطعات و لوازم يدكي اصفهان"</f>
        <v>انبار قطعات و لوازم يدكي اصفهان</v>
      </c>
      <c r="E265" s="1" t="str">
        <f>"2201050043"</f>
        <v>2201050043</v>
      </c>
      <c r="F265" s="1" t="str">
        <f>"BRG THRUST CV2 S1 S2 S3"</f>
        <v>BRG THRUST CV2 S1 S2 S3</v>
      </c>
      <c r="G265" s="1" t="str">
        <f>"عدد"</f>
        <v>عدد</v>
      </c>
      <c r="H265" s="1">
        <v>12</v>
      </c>
      <c r="I265" s="1">
        <v>1553508720</v>
      </c>
      <c r="J265" s="1">
        <v>0</v>
      </c>
      <c r="K265" s="1">
        <v>0</v>
      </c>
      <c r="L265" s="1">
        <v>0</v>
      </c>
      <c r="M265" s="1">
        <v>0</v>
      </c>
      <c r="O265" s="1">
        <v>97</v>
      </c>
      <c r="P265" s="4">
        <f t="shared" si="12"/>
        <v>1553508720</v>
      </c>
      <c r="Q265" s="4">
        <f t="shared" si="13"/>
        <v>12</v>
      </c>
      <c r="R265" s="4">
        <f t="shared" si="14"/>
        <v>129459060</v>
      </c>
    </row>
    <row r="266" spans="1:18">
      <c r="A266" s="1">
        <v>2</v>
      </c>
      <c r="B266" s="1" t="str">
        <f>"قطعات و لوازم يدكي"</f>
        <v>قطعات و لوازم يدكي</v>
      </c>
      <c r="C266" s="1">
        <v>101</v>
      </c>
      <c r="D266" s="1" t="str">
        <f>"انبار قطعات و لوازم يدكي اصفهان"</f>
        <v>انبار قطعات و لوازم يدكي اصفهان</v>
      </c>
      <c r="E266" s="1" t="str">
        <f>"2201090013"</f>
        <v>2201090013</v>
      </c>
      <c r="F266" s="1" t="str">
        <f>"OPERATOR USER INTERFACE"</f>
        <v>OPERATOR USER INTERFACE</v>
      </c>
      <c r="G266" s="1" t="str">
        <f>"عدد"</f>
        <v>عدد</v>
      </c>
      <c r="H266" s="1">
        <v>2</v>
      </c>
      <c r="I266" s="1">
        <v>141352020</v>
      </c>
      <c r="J266" s="1">
        <v>0</v>
      </c>
      <c r="K266" s="1">
        <v>0</v>
      </c>
      <c r="L266" s="1">
        <v>0</v>
      </c>
      <c r="M266" s="1">
        <v>0</v>
      </c>
      <c r="O266" s="1">
        <v>97</v>
      </c>
      <c r="P266" s="4">
        <f t="shared" si="12"/>
        <v>141352020</v>
      </c>
      <c r="Q266" s="4">
        <f t="shared" si="13"/>
        <v>2</v>
      </c>
      <c r="R266" s="4">
        <f t="shared" si="14"/>
        <v>70676010</v>
      </c>
    </row>
    <row r="267" spans="1:18">
      <c r="A267" s="1">
        <v>2</v>
      </c>
      <c r="B267" s="1" t="str">
        <f>"قطعات و لوازم يدكي"</f>
        <v>قطعات و لوازم يدكي</v>
      </c>
      <c r="C267" s="1">
        <v>101</v>
      </c>
      <c r="D267" s="1" t="str">
        <f>"انبار قطعات و لوازم يدكي اصفهان"</f>
        <v>انبار قطعات و لوازم يدكي اصفهان</v>
      </c>
      <c r="E267" s="1" t="str">
        <f>"2201100013"</f>
        <v>2201100013</v>
      </c>
      <c r="F267" s="1" t="str">
        <f>"BASE MODULE 2003"</f>
        <v>BASE MODULE 2003</v>
      </c>
      <c r="G267" s="1" t="str">
        <f>"عدد"</f>
        <v>عدد</v>
      </c>
      <c r="H267" s="1">
        <v>4</v>
      </c>
      <c r="I267" s="1">
        <v>420893280</v>
      </c>
      <c r="J267" s="1">
        <v>0</v>
      </c>
      <c r="K267" s="1">
        <v>0</v>
      </c>
      <c r="L267" s="1">
        <v>0</v>
      </c>
      <c r="M267" s="1">
        <v>0</v>
      </c>
      <c r="O267" s="1">
        <v>97</v>
      </c>
      <c r="P267" s="4">
        <f t="shared" si="12"/>
        <v>420893280</v>
      </c>
      <c r="Q267" s="4">
        <f t="shared" si="13"/>
        <v>4</v>
      </c>
      <c r="R267" s="4">
        <f t="shared" si="14"/>
        <v>105223320</v>
      </c>
    </row>
    <row r="268" spans="1:18">
      <c r="A268" s="1">
        <v>2</v>
      </c>
      <c r="B268" s="1" t="str">
        <f>"قطعات و لوازم يدكي"</f>
        <v>قطعات و لوازم يدكي</v>
      </c>
      <c r="C268" s="1">
        <v>101</v>
      </c>
      <c r="D268" s="1" t="str">
        <f>"انبار قطعات و لوازم يدكي اصفهان"</f>
        <v>انبار قطعات و لوازم يدكي اصفهان</v>
      </c>
      <c r="E268" s="1" t="str">
        <f>"2202030013"</f>
        <v>2202030013</v>
      </c>
      <c r="F268" s="1" t="str">
        <f>"Filter inlet Element 1st-CST71001C-1002A/B"</f>
        <v>Filter inlet Element 1st-CST71001C-1002A/B</v>
      </c>
      <c r="G268" s="1" t="str">
        <f>"عدد"</f>
        <v>عدد</v>
      </c>
      <c r="H268" s="1">
        <v>18</v>
      </c>
      <c r="I268" s="1">
        <v>50377500</v>
      </c>
      <c r="J268" s="1">
        <v>0</v>
      </c>
      <c r="K268" s="1">
        <v>0</v>
      </c>
      <c r="L268" s="1">
        <v>7</v>
      </c>
      <c r="M268" s="1">
        <v>19591250</v>
      </c>
      <c r="O268" s="1">
        <v>97</v>
      </c>
      <c r="P268" s="4">
        <f t="shared" si="12"/>
        <v>30786250</v>
      </c>
      <c r="Q268" s="4">
        <f t="shared" si="13"/>
        <v>11</v>
      </c>
      <c r="R268" s="4">
        <f t="shared" si="14"/>
        <v>2798750</v>
      </c>
    </row>
    <row r="269" spans="1:18">
      <c r="A269" s="1">
        <v>2</v>
      </c>
      <c r="B269" s="1" t="str">
        <f>"قطعات و لوازم يدكي"</f>
        <v>قطعات و لوازم يدكي</v>
      </c>
      <c r="C269" s="1">
        <v>101</v>
      </c>
      <c r="D269" s="1" t="str">
        <f>"انبار قطعات و لوازم يدكي اصفهان"</f>
        <v>انبار قطعات و لوازم يدكي اصفهان</v>
      </c>
      <c r="E269" s="1" t="str">
        <f>"2202030033"</f>
        <v>2202030033</v>
      </c>
      <c r="F269" s="1" t="str">
        <f>"لرزه گير 1/2-1 اينچ کلاس 150 c-1002"</f>
        <v>لرزه گير 1/2-1 اينچ کلاس 150 c-1002</v>
      </c>
      <c r="G269" s="1" t="str">
        <f>"عدد"</f>
        <v>عدد</v>
      </c>
      <c r="H269" s="1">
        <v>4</v>
      </c>
      <c r="I269" s="1">
        <v>8601600</v>
      </c>
      <c r="J269" s="1">
        <v>0</v>
      </c>
      <c r="K269" s="1">
        <v>0</v>
      </c>
      <c r="L269" s="1">
        <v>0</v>
      </c>
      <c r="M269" s="1">
        <v>0</v>
      </c>
      <c r="O269" s="1">
        <v>97</v>
      </c>
      <c r="P269" s="4">
        <f t="shared" si="12"/>
        <v>8601600</v>
      </c>
      <c r="Q269" s="4">
        <f t="shared" si="13"/>
        <v>4</v>
      </c>
      <c r="R269" s="4">
        <f t="shared" si="14"/>
        <v>2150400</v>
      </c>
    </row>
    <row r="270" spans="1:18" hidden="1">
      <c r="A270" s="1">
        <v>2</v>
      </c>
      <c r="B270" s="1" t="str">
        <f>"قطعات و لوازم يدكي"</f>
        <v>قطعات و لوازم يدكي</v>
      </c>
      <c r="C270" s="1">
        <v>101</v>
      </c>
      <c r="D270" s="1" t="str">
        <f>"انبار قطعات و لوازم يدكي اصفهان"</f>
        <v>انبار قطعات و لوازم يدكي اصفهان</v>
      </c>
      <c r="E270" s="1" t="str">
        <f>"2202875303"</f>
        <v>2202875303</v>
      </c>
      <c r="F270" s="1" t="str">
        <f>"گرويل 0769-2102"</f>
        <v>گرويل 0769-2102</v>
      </c>
      <c r="G270" s="1" t="str">
        <f>"عدد"</f>
        <v>عدد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O270" s="1">
        <v>97</v>
      </c>
      <c r="P270" s="1">
        <f t="shared" si="12"/>
        <v>0</v>
      </c>
      <c r="Q270" s="1">
        <f t="shared" si="13"/>
        <v>0</v>
      </c>
      <c r="R270" s="1" t="e">
        <f t="shared" si="14"/>
        <v>#DIV/0!</v>
      </c>
    </row>
    <row r="271" spans="1:18" hidden="1">
      <c r="A271" s="1">
        <v>2</v>
      </c>
      <c r="B271" s="1" t="str">
        <f>"قطعات و لوازم يدكي"</f>
        <v>قطعات و لوازم يدكي</v>
      </c>
      <c r="C271" s="1">
        <v>101</v>
      </c>
      <c r="D271" s="1" t="str">
        <f>"انبار قطعات و لوازم يدكي اصفهان"</f>
        <v>انبار قطعات و لوازم يدكي اصفهان</v>
      </c>
      <c r="E271" s="1" t="str">
        <f>"2202876413"</f>
        <v>2202876413</v>
      </c>
      <c r="F271" s="1" t="str">
        <f>"اورينگ 7564-0663"</f>
        <v>اورينگ 7564-0663</v>
      </c>
      <c r="G271" s="1" t="str">
        <f>"عدد"</f>
        <v>عدد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O271" s="1">
        <v>97</v>
      </c>
      <c r="P271" s="1">
        <f t="shared" si="12"/>
        <v>0</v>
      </c>
      <c r="Q271" s="1">
        <f t="shared" si="13"/>
        <v>0</v>
      </c>
      <c r="R271" s="1" t="e">
        <f t="shared" si="14"/>
        <v>#DIV/0!</v>
      </c>
    </row>
    <row r="272" spans="1:18" hidden="1">
      <c r="A272" s="1">
        <v>2</v>
      </c>
      <c r="B272" s="1" t="str">
        <f>"قطعات و لوازم يدكي"</f>
        <v>قطعات و لوازم يدكي</v>
      </c>
      <c r="C272" s="1">
        <v>101</v>
      </c>
      <c r="D272" s="1" t="str">
        <f>"انبار قطعات و لوازم يدكي اصفهان"</f>
        <v>انبار قطعات و لوازم يدكي اصفهان</v>
      </c>
      <c r="E272" s="1" t="str">
        <f>"2202877023"</f>
        <v>2202877023</v>
      </c>
      <c r="F272" s="1" t="str">
        <f>"سرويس كيت 3014-2910"</f>
        <v>سرويس كيت 3014-2910</v>
      </c>
      <c r="G272" s="1" t="str">
        <f>"عدد"</f>
        <v>عدد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O272" s="1">
        <v>97</v>
      </c>
      <c r="P272" s="1">
        <f t="shared" si="12"/>
        <v>0</v>
      </c>
      <c r="Q272" s="1">
        <f t="shared" si="13"/>
        <v>0</v>
      </c>
      <c r="R272" s="1" t="e">
        <f t="shared" si="14"/>
        <v>#DIV/0!</v>
      </c>
    </row>
    <row r="273" spans="1:18" hidden="1">
      <c r="A273" s="1">
        <v>2</v>
      </c>
      <c r="B273" s="1" t="str">
        <f>"قطعات و لوازم يدكي"</f>
        <v>قطعات و لوازم يدكي</v>
      </c>
      <c r="C273" s="1">
        <v>101</v>
      </c>
      <c r="D273" s="1" t="str">
        <f>"انبار قطعات و لوازم يدكي اصفهان"</f>
        <v>انبار قطعات و لوازم يدكي اصفهان</v>
      </c>
      <c r="E273" s="1" t="str">
        <f>"2202879153"</f>
        <v>2202879153</v>
      </c>
      <c r="F273" s="1" t="str">
        <f>"سافتي والو  1006-0830"</f>
        <v>سافتي والو  1006-0830</v>
      </c>
      <c r="G273" s="1" t="str">
        <f>"عدد"</f>
        <v>عدد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O273" s="1">
        <v>97</v>
      </c>
      <c r="P273" s="1">
        <f t="shared" si="12"/>
        <v>0</v>
      </c>
      <c r="Q273" s="1">
        <f t="shared" si="13"/>
        <v>0</v>
      </c>
      <c r="R273" s="1" t="e">
        <f t="shared" si="14"/>
        <v>#DIV/0!</v>
      </c>
    </row>
    <row r="274" spans="1:18" hidden="1">
      <c r="A274" s="1">
        <v>2</v>
      </c>
      <c r="B274" s="1" t="str">
        <f>"قطعات و لوازم يدكي"</f>
        <v>قطعات و لوازم يدكي</v>
      </c>
      <c r="C274" s="1">
        <v>101</v>
      </c>
      <c r="D274" s="1" t="str">
        <f>"انبار قطعات و لوازم يدكي اصفهان"</f>
        <v>انبار قطعات و لوازم يدكي اصفهان</v>
      </c>
      <c r="E274" s="1" t="str">
        <f>"2202879203"</f>
        <v>2202879203</v>
      </c>
      <c r="F274" s="1" t="str">
        <f>"سيلندر 9808-2102"</f>
        <v>سيلندر 9808-2102</v>
      </c>
      <c r="G274" s="1" t="str">
        <f>"عدد"</f>
        <v>عدد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O274" s="1">
        <v>97</v>
      </c>
      <c r="P274" s="1">
        <f t="shared" si="12"/>
        <v>0</v>
      </c>
      <c r="Q274" s="1">
        <f t="shared" si="13"/>
        <v>0</v>
      </c>
      <c r="R274" s="1" t="e">
        <f t="shared" si="14"/>
        <v>#DIV/0!</v>
      </c>
    </row>
    <row r="275" spans="1:18" hidden="1">
      <c r="A275" s="1">
        <v>2</v>
      </c>
      <c r="B275" s="1" t="str">
        <f>"قطعات و لوازم يدكي"</f>
        <v>قطعات و لوازم يدكي</v>
      </c>
      <c r="C275" s="1">
        <v>101</v>
      </c>
      <c r="D275" s="1" t="str">
        <f>"انبار قطعات و لوازم يدكي اصفهان"</f>
        <v>انبار قطعات و لوازم يدكي اصفهان</v>
      </c>
      <c r="E275" s="1" t="str">
        <f>"2202879243"</f>
        <v>2202879243</v>
      </c>
      <c r="F275" s="1" t="str">
        <f>"كاپل هالف ايتم 2-62"</f>
        <v>كاپل هالف ايتم 2-62</v>
      </c>
      <c r="G275" s="1" t="str">
        <f>"عدد"</f>
        <v>عدد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O275" s="1">
        <v>97</v>
      </c>
      <c r="P275" s="1">
        <f t="shared" si="12"/>
        <v>0</v>
      </c>
      <c r="Q275" s="1">
        <f t="shared" si="13"/>
        <v>0</v>
      </c>
      <c r="R275" s="1" t="e">
        <f t="shared" si="14"/>
        <v>#DIV/0!</v>
      </c>
    </row>
    <row r="276" spans="1:18" hidden="1">
      <c r="A276" s="1">
        <v>2</v>
      </c>
      <c r="B276" s="1" t="str">
        <f>"قطعات و لوازم يدكي"</f>
        <v>قطعات و لوازم يدكي</v>
      </c>
      <c r="C276" s="1">
        <v>101</v>
      </c>
      <c r="D276" s="1" t="str">
        <f>"انبار قطعات و لوازم يدكي اصفهان"</f>
        <v>انبار قطعات و لوازم يدكي اصفهان</v>
      </c>
      <c r="E276" s="1" t="str">
        <f>"2202899132"</f>
        <v>2202899132</v>
      </c>
      <c r="F276" s="1" t="str">
        <f>"temps sewitch oil"</f>
        <v>temps sewitch oil</v>
      </c>
      <c r="G276" s="1" t="str">
        <f>"عدد"</f>
        <v>عدد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O276" s="1">
        <v>97</v>
      </c>
      <c r="P276" s="1">
        <f t="shared" si="12"/>
        <v>0</v>
      </c>
      <c r="Q276" s="1">
        <f t="shared" si="13"/>
        <v>0</v>
      </c>
      <c r="R276" s="1" t="e">
        <f t="shared" si="14"/>
        <v>#DIV/0!</v>
      </c>
    </row>
    <row r="277" spans="1:18">
      <c r="A277" s="1">
        <v>2</v>
      </c>
      <c r="B277" s="1" t="str">
        <f>"قطعات و لوازم يدكي"</f>
        <v>قطعات و لوازم يدكي</v>
      </c>
      <c r="C277" s="1">
        <v>101</v>
      </c>
      <c r="D277" s="1" t="str">
        <f>"انبار قطعات و لوازم يدكي اصفهان"</f>
        <v>انبار قطعات و لوازم يدكي اصفهان</v>
      </c>
      <c r="E277" s="1" t="str">
        <f>"2203040013"</f>
        <v>2203040013</v>
      </c>
      <c r="F277" s="1" t="str">
        <f>"تسمه AX41 کمپرسورهاي آنالايزر"</f>
        <v>تسمه AX41 کمپرسورهاي آنالايزر</v>
      </c>
      <c r="G277" s="1" t="str">
        <f>"عدد"</f>
        <v>عدد</v>
      </c>
      <c r="H277" s="1">
        <v>9</v>
      </c>
      <c r="I277" s="1">
        <v>1332000</v>
      </c>
      <c r="J277" s="1">
        <v>0</v>
      </c>
      <c r="K277" s="1">
        <v>0</v>
      </c>
      <c r="L277" s="1">
        <v>0</v>
      </c>
      <c r="M277" s="1">
        <v>0</v>
      </c>
      <c r="O277" s="1">
        <v>97</v>
      </c>
      <c r="P277" s="4">
        <f t="shared" si="12"/>
        <v>1332000</v>
      </c>
      <c r="Q277" s="4">
        <f t="shared" si="13"/>
        <v>9</v>
      </c>
      <c r="R277" s="4">
        <f t="shared" si="14"/>
        <v>148000</v>
      </c>
    </row>
    <row r="278" spans="1:18">
      <c r="A278" s="1">
        <v>2</v>
      </c>
      <c r="B278" s="1" t="str">
        <f>"قطعات و لوازم يدكي"</f>
        <v>قطعات و لوازم يدكي</v>
      </c>
      <c r="C278" s="1">
        <v>101</v>
      </c>
      <c r="D278" s="1" t="str">
        <f>"انبار قطعات و لوازم يدكي اصفهان"</f>
        <v>انبار قطعات و لوازم يدكي اصفهان</v>
      </c>
      <c r="E278" s="1" t="str">
        <f>"2301021003"</f>
        <v>2301021003</v>
      </c>
      <c r="F278" s="1" t="str">
        <f>"Sealbox complete DT501122-02"</f>
        <v>Sealbox complete DT501122-02</v>
      </c>
      <c r="G278" s="1" t="str">
        <f>"ST"</f>
        <v>ST</v>
      </c>
      <c r="H278" s="1">
        <v>2</v>
      </c>
      <c r="I278" s="1">
        <v>52681922</v>
      </c>
      <c r="J278" s="1">
        <v>0</v>
      </c>
      <c r="K278" s="1">
        <v>0</v>
      </c>
      <c r="L278" s="1">
        <v>0</v>
      </c>
      <c r="M278" s="1">
        <v>0</v>
      </c>
      <c r="O278" s="1">
        <v>97</v>
      </c>
      <c r="P278" s="4">
        <f t="shared" si="12"/>
        <v>52681922</v>
      </c>
      <c r="Q278" s="4">
        <f t="shared" si="13"/>
        <v>2</v>
      </c>
      <c r="R278" s="4">
        <f t="shared" si="14"/>
        <v>26340961</v>
      </c>
    </row>
    <row r="279" spans="1:18">
      <c r="A279" s="1">
        <v>2</v>
      </c>
      <c r="B279" s="1" t="str">
        <f>"قطعات و لوازم يدكي"</f>
        <v>قطعات و لوازم يدكي</v>
      </c>
      <c r="C279" s="1">
        <v>101</v>
      </c>
      <c r="D279" s="1" t="str">
        <f>"انبار قطعات و لوازم يدكي اصفهان"</f>
        <v>انبار قطعات و لوازم يدكي اصفهان</v>
      </c>
      <c r="E279" s="1" t="str">
        <f>"2301021013"</f>
        <v>2301021013</v>
      </c>
      <c r="F279" s="1" t="str">
        <f>"O-ring set+calibrating bushing"</f>
        <v>O-ring set+calibrating bushing</v>
      </c>
      <c r="G279" s="1" t="str">
        <f>"ST"</f>
        <v>ST</v>
      </c>
      <c r="H279" s="1">
        <v>2</v>
      </c>
      <c r="I279" s="1">
        <v>13337816</v>
      </c>
      <c r="J279" s="1">
        <v>0</v>
      </c>
      <c r="K279" s="1">
        <v>0</v>
      </c>
      <c r="L279" s="1">
        <v>0</v>
      </c>
      <c r="M279" s="1">
        <v>0</v>
      </c>
      <c r="O279" s="1">
        <v>97</v>
      </c>
      <c r="P279" s="4">
        <f t="shared" si="12"/>
        <v>13337816</v>
      </c>
      <c r="Q279" s="4">
        <f t="shared" si="13"/>
        <v>2</v>
      </c>
      <c r="R279" s="4">
        <f t="shared" si="14"/>
        <v>6668908</v>
      </c>
    </row>
    <row r="280" spans="1:18">
      <c r="A280" s="1">
        <v>2</v>
      </c>
      <c r="B280" s="1" t="str">
        <f>"قطعات و لوازم يدكي"</f>
        <v>قطعات و لوازم يدكي</v>
      </c>
      <c r="C280" s="1">
        <v>101</v>
      </c>
      <c r="D280" s="1" t="str">
        <f>"انبار قطعات و لوازم يدكي اصفهان"</f>
        <v>انبار قطعات و لوازم يدكي اصفهان</v>
      </c>
      <c r="E280" s="1" t="str">
        <f>"2301021023"</f>
        <v>2301021023</v>
      </c>
      <c r="F280" s="1" t="str">
        <f>"BALL BEEARING SET-2) 7218 ACDGA+1)FAG 6309"</f>
        <v>BALL BEEARING SET-2) 7218 ACDGA+1)FAG 6309</v>
      </c>
      <c r="G280" s="1" t="str">
        <f>"ST"</f>
        <v>ST</v>
      </c>
      <c r="H280" s="1">
        <v>1</v>
      </c>
      <c r="I280" s="1">
        <v>63925325</v>
      </c>
      <c r="J280" s="1">
        <v>0</v>
      </c>
      <c r="K280" s="1">
        <v>0</v>
      </c>
      <c r="L280" s="1">
        <v>0</v>
      </c>
      <c r="M280" s="1">
        <v>0</v>
      </c>
      <c r="O280" s="1">
        <v>97</v>
      </c>
      <c r="P280" s="4">
        <f t="shared" si="12"/>
        <v>63925325</v>
      </c>
      <c r="Q280" s="4">
        <f t="shared" si="13"/>
        <v>1</v>
      </c>
      <c r="R280" s="4">
        <f t="shared" si="14"/>
        <v>63925325</v>
      </c>
    </row>
    <row r="281" spans="1:18">
      <c r="A281" s="1">
        <v>2</v>
      </c>
      <c r="B281" s="1" t="str">
        <f>"قطعات و لوازم يدكي"</f>
        <v>قطعات و لوازم يدكي</v>
      </c>
      <c r="C281" s="1">
        <v>101</v>
      </c>
      <c r="D281" s="1" t="str">
        <f>"انبار قطعات و لوازم يدكي اصفهان"</f>
        <v>انبار قطعات و لوازم يدكي اصفهان</v>
      </c>
      <c r="E281" s="1" t="str">
        <f>"2302030033"</f>
        <v>2302030033</v>
      </c>
      <c r="F281" s="1" t="str">
        <f>"INPUT MODULE QX80"</f>
        <v>INPUT MODULE QX80</v>
      </c>
      <c r="G281" s="1" t="str">
        <f>"عدد"</f>
        <v>عدد</v>
      </c>
      <c r="H281" s="1">
        <v>1</v>
      </c>
      <c r="I281" s="1">
        <v>8164943</v>
      </c>
      <c r="J281" s="1">
        <v>0</v>
      </c>
      <c r="K281" s="1">
        <v>0</v>
      </c>
      <c r="L281" s="1">
        <v>0</v>
      </c>
      <c r="M281" s="1">
        <v>0</v>
      </c>
      <c r="O281" s="1">
        <v>97</v>
      </c>
      <c r="P281" s="4">
        <f t="shared" si="12"/>
        <v>8164943</v>
      </c>
      <c r="Q281" s="4">
        <f t="shared" si="13"/>
        <v>1</v>
      </c>
      <c r="R281" s="4">
        <f t="shared" si="14"/>
        <v>8164943</v>
      </c>
    </row>
    <row r="282" spans="1:18">
      <c r="A282" s="1">
        <v>2</v>
      </c>
      <c r="B282" s="1" t="str">
        <f>"قطعات و لوازم يدكي"</f>
        <v>قطعات و لوازم يدكي</v>
      </c>
      <c r="C282" s="1">
        <v>101</v>
      </c>
      <c r="D282" s="1" t="str">
        <f>"انبار قطعات و لوازم يدكي اصفهان"</f>
        <v>انبار قطعات و لوازم يدكي اصفهان</v>
      </c>
      <c r="E282" s="1" t="str">
        <f>"2302030113"</f>
        <v>2302030113</v>
      </c>
      <c r="F282" s="1" t="str">
        <f>"PH PROBE (JUST PROBE 3-2716"</f>
        <v>PH PROBE (JUST PROBE 3-2716</v>
      </c>
      <c r="G282" s="1" t="str">
        <f>"ST"</f>
        <v>ST</v>
      </c>
      <c r="H282" s="1">
        <v>1</v>
      </c>
      <c r="I282" s="1">
        <v>19488928</v>
      </c>
      <c r="J282" s="1">
        <v>0</v>
      </c>
      <c r="K282" s="1">
        <v>0</v>
      </c>
      <c r="L282" s="1">
        <v>0</v>
      </c>
      <c r="M282" s="1">
        <v>0</v>
      </c>
      <c r="O282" s="1">
        <v>97</v>
      </c>
      <c r="P282" s="4">
        <f t="shared" si="12"/>
        <v>19488928</v>
      </c>
      <c r="Q282" s="4">
        <f t="shared" si="13"/>
        <v>1</v>
      </c>
      <c r="R282" s="4">
        <f t="shared" si="14"/>
        <v>19488928</v>
      </c>
    </row>
    <row r="283" spans="1:18">
      <c r="A283" s="1">
        <v>2</v>
      </c>
      <c r="B283" s="1" t="str">
        <f>"قطعات و لوازم يدكي"</f>
        <v>قطعات و لوازم يدكي</v>
      </c>
      <c r="C283" s="1">
        <v>101</v>
      </c>
      <c r="D283" s="1" t="str">
        <f>"انبار قطعات و لوازم يدكي اصفهان"</f>
        <v>انبار قطعات و لوازم يدكي اصفهان</v>
      </c>
      <c r="E283" s="1" t="str">
        <f>"2441490533"</f>
        <v>2441490533</v>
      </c>
      <c r="F283" s="1" t="str">
        <f>"ماين اويل پمپ جروتور"</f>
        <v>ماين اويل پمپ جروتور</v>
      </c>
      <c r="G283" s="1" t="str">
        <f>"عدد"</f>
        <v>عدد</v>
      </c>
      <c r="H283" s="1">
        <v>1</v>
      </c>
      <c r="I283" s="1">
        <v>206301</v>
      </c>
      <c r="J283" s="1">
        <v>0</v>
      </c>
      <c r="K283" s="1">
        <v>0</v>
      </c>
      <c r="L283" s="1">
        <v>0</v>
      </c>
      <c r="M283" s="1">
        <v>0</v>
      </c>
      <c r="O283" s="1">
        <v>97</v>
      </c>
      <c r="P283" s="4">
        <f t="shared" si="12"/>
        <v>206301</v>
      </c>
      <c r="Q283" s="4">
        <f t="shared" si="13"/>
        <v>1</v>
      </c>
      <c r="R283" s="4">
        <f t="shared" si="14"/>
        <v>206301</v>
      </c>
    </row>
    <row r="284" spans="1:18">
      <c r="A284" s="1">
        <v>2</v>
      </c>
      <c r="B284" s="1" t="str">
        <f>"قطعات و لوازم يدكي"</f>
        <v>قطعات و لوازم يدكي</v>
      </c>
      <c r="C284" s="1">
        <v>101</v>
      </c>
      <c r="D284" s="1" t="str">
        <f>"انبار قطعات و لوازم يدكي اصفهان"</f>
        <v>انبار قطعات و لوازم يدكي اصفهان</v>
      </c>
      <c r="E284" s="1" t="str">
        <f>"2441490653"</f>
        <v>2441490653</v>
      </c>
      <c r="F284" s="1" t="str">
        <f>"ايم پلر"</f>
        <v>ايم پلر</v>
      </c>
      <c r="G284" s="1" t="str">
        <f>"عدد"</f>
        <v>عدد</v>
      </c>
      <c r="H284" s="1">
        <v>1</v>
      </c>
      <c r="I284" s="1">
        <v>751076</v>
      </c>
      <c r="J284" s="1">
        <v>0</v>
      </c>
      <c r="K284" s="1">
        <v>0</v>
      </c>
      <c r="L284" s="1">
        <v>0</v>
      </c>
      <c r="M284" s="1">
        <v>0</v>
      </c>
      <c r="O284" s="1">
        <v>97</v>
      </c>
      <c r="P284" s="4">
        <f t="shared" si="12"/>
        <v>751076</v>
      </c>
      <c r="Q284" s="4">
        <f t="shared" si="13"/>
        <v>1</v>
      </c>
      <c r="R284" s="4">
        <f t="shared" si="14"/>
        <v>751076</v>
      </c>
    </row>
    <row r="285" spans="1:18">
      <c r="A285" s="1">
        <v>2</v>
      </c>
      <c r="B285" s="1" t="str">
        <f>"قطعات و لوازم يدكي"</f>
        <v>قطعات و لوازم يدكي</v>
      </c>
      <c r="C285" s="1">
        <v>101</v>
      </c>
      <c r="D285" s="1" t="str">
        <f>"انبار قطعات و لوازم يدكي اصفهان"</f>
        <v>انبار قطعات و لوازم يدكي اصفهان</v>
      </c>
      <c r="E285" s="1" t="str">
        <f>"2441491513"</f>
        <v>2441491513</v>
      </c>
      <c r="F285" s="1" t="str">
        <f>"اويل پومپ موتور  1ايكس 1342"</f>
        <v>اويل پومپ موتور  1ايكس 1342</v>
      </c>
      <c r="G285" s="1" t="str">
        <f>"عدد"</f>
        <v>عدد</v>
      </c>
      <c r="H285" s="1">
        <v>1</v>
      </c>
      <c r="I285" s="1">
        <v>213207</v>
      </c>
      <c r="J285" s="1">
        <v>0</v>
      </c>
      <c r="K285" s="1">
        <v>0</v>
      </c>
      <c r="L285" s="1">
        <v>0</v>
      </c>
      <c r="M285" s="1">
        <v>0</v>
      </c>
      <c r="O285" s="1">
        <v>97</v>
      </c>
      <c r="P285" s="4">
        <f t="shared" si="12"/>
        <v>213207</v>
      </c>
      <c r="Q285" s="4">
        <f t="shared" si="13"/>
        <v>1</v>
      </c>
      <c r="R285" s="4">
        <f t="shared" si="14"/>
        <v>213207</v>
      </c>
    </row>
    <row r="286" spans="1:18">
      <c r="A286" s="1">
        <v>2</v>
      </c>
      <c r="B286" s="1" t="str">
        <f>"قطعات و لوازم يدكي"</f>
        <v>قطعات و لوازم يدكي</v>
      </c>
      <c r="C286" s="1">
        <v>101</v>
      </c>
      <c r="D286" s="1" t="str">
        <f>"انبار قطعات و لوازم يدكي اصفهان"</f>
        <v>انبار قطعات و لوازم يدكي اصفهان</v>
      </c>
      <c r="E286" s="1" t="str">
        <f>"2441492323"</f>
        <v>2441492323</v>
      </c>
      <c r="F286" s="1" t="str">
        <f>"كاست كولر"</f>
        <v>كاست كولر</v>
      </c>
      <c r="G286" s="1" t="str">
        <f>"عدد"</f>
        <v>عدد</v>
      </c>
      <c r="H286" s="1">
        <v>2</v>
      </c>
      <c r="I286" s="1">
        <v>5459</v>
      </c>
      <c r="J286" s="1">
        <v>0</v>
      </c>
      <c r="K286" s="1">
        <v>0</v>
      </c>
      <c r="L286" s="1">
        <v>0</v>
      </c>
      <c r="M286" s="1">
        <v>0</v>
      </c>
      <c r="O286" s="1">
        <v>97</v>
      </c>
      <c r="P286" s="4">
        <f t="shared" si="12"/>
        <v>5459</v>
      </c>
      <c r="Q286" s="4">
        <f t="shared" si="13"/>
        <v>2</v>
      </c>
      <c r="R286" s="4">
        <f t="shared" si="14"/>
        <v>2729.5</v>
      </c>
    </row>
    <row r="287" spans="1:18">
      <c r="A287" s="1">
        <v>2</v>
      </c>
      <c r="B287" s="1" t="str">
        <f>"قطعات و لوازم يدكي"</f>
        <v>قطعات و لوازم يدكي</v>
      </c>
      <c r="C287" s="1">
        <v>101</v>
      </c>
      <c r="D287" s="1" t="str">
        <f>"انبار قطعات و لوازم يدكي اصفهان"</f>
        <v>انبار قطعات و لوازم يدكي اصفهان</v>
      </c>
      <c r="E287" s="1" t="str">
        <f>"2441492393"</f>
        <v>2441492393</v>
      </c>
      <c r="F287" s="1" t="str">
        <f>"اورينگ ديفوزر كاور  20اي 11بي ام 459"</f>
        <v>اورينگ ديفوزر كاور  20اي 11بي ام 459</v>
      </c>
      <c r="G287" s="1" t="str">
        <f>"عدد"</f>
        <v>عدد</v>
      </c>
      <c r="H287" s="1">
        <v>3</v>
      </c>
      <c r="I287" s="1">
        <v>6604</v>
      </c>
      <c r="J287" s="1">
        <v>0</v>
      </c>
      <c r="K287" s="1">
        <v>0</v>
      </c>
      <c r="L287" s="1">
        <v>0</v>
      </c>
      <c r="M287" s="1">
        <v>0</v>
      </c>
      <c r="O287" s="1">
        <v>97</v>
      </c>
      <c r="P287" s="4">
        <f t="shared" si="12"/>
        <v>6604</v>
      </c>
      <c r="Q287" s="4">
        <f t="shared" si="13"/>
        <v>3</v>
      </c>
      <c r="R287" s="4">
        <f t="shared" si="14"/>
        <v>2201.3333333333335</v>
      </c>
    </row>
    <row r="288" spans="1:18" hidden="1">
      <c r="A288" s="1">
        <v>2</v>
      </c>
      <c r="B288" s="1" t="str">
        <f>"قطعات و لوازم يدكي"</f>
        <v>قطعات و لوازم يدكي</v>
      </c>
      <c r="C288" s="1">
        <v>101</v>
      </c>
      <c r="D288" s="1" t="str">
        <f>"انبار قطعات و لوازم يدكي اصفهان"</f>
        <v>انبار قطعات و لوازم يدكي اصفهان</v>
      </c>
      <c r="E288" s="1" t="str">
        <f>"3001010012"</f>
        <v>3001010012</v>
      </c>
      <c r="F288" s="1" t="str">
        <f>"قوطي خالي1ليتري"</f>
        <v>قوطي خالي1ليتري</v>
      </c>
      <c r="G288" s="1" t="str">
        <f>"عدد"</f>
        <v>عدد</v>
      </c>
      <c r="H288" s="1">
        <v>395</v>
      </c>
      <c r="I288" s="1">
        <v>5633493</v>
      </c>
      <c r="J288" s="1">
        <v>6000</v>
      </c>
      <c r="K288" s="1">
        <v>135400000</v>
      </c>
      <c r="L288" s="1">
        <v>6395</v>
      </c>
      <c r="M288" s="1">
        <v>141033493</v>
      </c>
      <c r="O288" s="1">
        <v>97</v>
      </c>
      <c r="P288" s="1">
        <f t="shared" si="12"/>
        <v>0</v>
      </c>
      <c r="Q288" s="1">
        <f t="shared" si="13"/>
        <v>0</v>
      </c>
      <c r="R288" s="1" t="e">
        <f t="shared" si="14"/>
        <v>#DIV/0!</v>
      </c>
    </row>
    <row r="289" spans="1:18" hidden="1">
      <c r="A289" s="1">
        <v>2</v>
      </c>
      <c r="B289" s="1" t="str">
        <f>"قطعات و لوازم يدكي"</f>
        <v>قطعات و لوازم يدكي</v>
      </c>
      <c r="C289" s="1">
        <v>101</v>
      </c>
      <c r="D289" s="1" t="str">
        <f>"انبار قطعات و لوازم يدكي اصفهان"</f>
        <v>انبار قطعات و لوازم يدكي اصفهان</v>
      </c>
      <c r="E289" s="1" t="str">
        <f>"3001010072"</f>
        <v>3001010072</v>
      </c>
      <c r="F289" s="1" t="str">
        <f>"قوطي 10 کيلويي"</f>
        <v>قوطي 10 کيلويي</v>
      </c>
      <c r="G289" s="1" t="str">
        <f>"عدد"</f>
        <v>عدد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O289" s="1">
        <v>97</v>
      </c>
      <c r="P289" s="1">
        <f t="shared" si="12"/>
        <v>0</v>
      </c>
      <c r="Q289" s="1">
        <f t="shared" si="13"/>
        <v>0</v>
      </c>
      <c r="R289" s="1" t="e">
        <f t="shared" si="14"/>
        <v>#DIV/0!</v>
      </c>
    </row>
    <row r="290" spans="1:18">
      <c r="A290" s="1">
        <v>2</v>
      </c>
      <c r="B290" s="1" t="str">
        <f>"قطعات و لوازم يدكي"</f>
        <v>قطعات و لوازم يدكي</v>
      </c>
      <c r="C290" s="1">
        <v>101</v>
      </c>
      <c r="D290" s="1" t="str">
        <f>"انبار قطعات و لوازم يدكي اصفهان"</f>
        <v>انبار قطعات و لوازم يدكي اصفهان</v>
      </c>
      <c r="E290" s="1" t="str">
        <f>"3101010023"</f>
        <v>3101010023</v>
      </c>
      <c r="F290" s="1" t="str">
        <f>"SAFETY BUSH p-1601D"</f>
        <v>SAFETY BUSH p-1601D</v>
      </c>
      <c r="G290" s="1" t="str">
        <f>"عدد"</f>
        <v>عدد</v>
      </c>
      <c r="H290" s="1">
        <v>6</v>
      </c>
      <c r="I290" s="1">
        <v>2700000</v>
      </c>
      <c r="J290" s="1">
        <v>0</v>
      </c>
      <c r="K290" s="1">
        <v>0</v>
      </c>
      <c r="L290" s="1">
        <v>0</v>
      </c>
      <c r="M290" s="1">
        <v>0</v>
      </c>
      <c r="O290" s="1">
        <v>97</v>
      </c>
      <c r="P290" s="4">
        <f t="shared" si="12"/>
        <v>2700000</v>
      </c>
      <c r="Q290" s="4">
        <f t="shared" si="13"/>
        <v>6</v>
      </c>
      <c r="R290" s="4">
        <f t="shared" si="14"/>
        <v>450000</v>
      </c>
    </row>
    <row r="291" spans="1:18">
      <c r="A291" s="1">
        <v>2</v>
      </c>
      <c r="B291" s="1" t="str">
        <f>"قطعات و لوازم يدكي"</f>
        <v>قطعات و لوازم يدكي</v>
      </c>
      <c r="C291" s="1">
        <v>101</v>
      </c>
      <c r="D291" s="1" t="str">
        <f>"انبار قطعات و لوازم يدكي اصفهان"</f>
        <v>انبار قطعات و لوازم يدكي اصفهان</v>
      </c>
      <c r="E291" s="1" t="str">
        <f>"3101060013"</f>
        <v>3101060013</v>
      </c>
      <c r="F291" s="1" t="str">
        <f>"O-RING SLEEVE"</f>
        <v>O-RING SLEEVE</v>
      </c>
      <c r="G291" s="1" t="str">
        <f>"عدد"</f>
        <v>عدد</v>
      </c>
      <c r="H291" s="1">
        <v>2</v>
      </c>
      <c r="I291" s="1">
        <v>577840</v>
      </c>
      <c r="J291" s="1">
        <v>0</v>
      </c>
      <c r="K291" s="1">
        <v>0</v>
      </c>
      <c r="L291" s="1">
        <v>0</v>
      </c>
      <c r="M291" s="1">
        <v>0</v>
      </c>
      <c r="O291" s="1">
        <v>97</v>
      </c>
      <c r="P291" s="4">
        <f t="shared" si="12"/>
        <v>577840</v>
      </c>
      <c r="Q291" s="4">
        <f t="shared" si="13"/>
        <v>2</v>
      </c>
      <c r="R291" s="4">
        <f t="shared" si="14"/>
        <v>288920</v>
      </c>
    </row>
    <row r="292" spans="1:18">
      <c r="A292" s="1">
        <v>2</v>
      </c>
      <c r="B292" s="1" t="str">
        <f>"قطعات و لوازم يدكي"</f>
        <v>قطعات و لوازم يدكي</v>
      </c>
      <c r="C292" s="1">
        <v>101</v>
      </c>
      <c r="D292" s="1" t="str">
        <f>"انبار قطعات و لوازم يدكي اصفهان"</f>
        <v>انبار قطعات و لوازم يدكي اصفهان</v>
      </c>
      <c r="E292" s="1" t="str">
        <f>"3101110013"</f>
        <v>3101110013</v>
      </c>
      <c r="F292" s="1" t="str">
        <f>"LIPSEAL 32  52  10"</f>
        <v>LIPSEAL 32  52  10</v>
      </c>
      <c r="G292" s="1" t="str">
        <f>"عدد"</f>
        <v>عدد</v>
      </c>
      <c r="H292" s="1">
        <v>47</v>
      </c>
      <c r="I292" s="1">
        <v>13841072</v>
      </c>
      <c r="J292" s="1">
        <v>0</v>
      </c>
      <c r="K292" s="1">
        <v>0</v>
      </c>
      <c r="L292" s="1">
        <v>0</v>
      </c>
      <c r="M292" s="1">
        <v>0</v>
      </c>
      <c r="O292" s="1">
        <v>97</v>
      </c>
      <c r="P292" s="4">
        <f t="shared" si="12"/>
        <v>13841072</v>
      </c>
      <c r="Q292" s="4">
        <f t="shared" si="13"/>
        <v>47</v>
      </c>
      <c r="R292" s="4">
        <f t="shared" si="14"/>
        <v>294490.89361702127</v>
      </c>
    </row>
    <row r="293" spans="1:18">
      <c r="A293" s="1">
        <v>2</v>
      </c>
      <c r="B293" s="1" t="str">
        <f>"قطعات و لوازم يدكي"</f>
        <v>قطعات و لوازم يدكي</v>
      </c>
      <c r="C293" s="1">
        <v>101</v>
      </c>
      <c r="D293" s="1" t="str">
        <f>"انبار قطعات و لوازم يدكي اصفهان"</f>
        <v>انبار قطعات و لوازم يدكي اصفهان</v>
      </c>
      <c r="E293" s="1" t="str">
        <f>"3103022603"</f>
        <v>3103022603</v>
      </c>
      <c r="F293" s="1" t="str">
        <f>"تايمينگ گرز مت استيل"</f>
        <v>تايمينگ گرز مت استيل</v>
      </c>
      <c r="G293" s="1" t="str">
        <f>"عدد"</f>
        <v>عدد</v>
      </c>
      <c r="H293" s="1">
        <v>1</v>
      </c>
      <c r="I293" s="1">
        <v>30000</v>
      </c>
      <c r="J293" s="1">
        <v>0</v>
      </c>
      <c r="K293" s="1">
        <v>0</v>
      </c>
      <c r="L293" s="1">
        <v>0</v>
      </c>
      <c r="M293" s="1">
        <v>0</v>
      </c>
      <c r="O293" s="1">
        <v>97</v>
      </c>
      <c r="P293" s="4">
        <f t="shared" si="12"/>
        <v>30000</v>
      </c>
      <c r="Q293" s="4">
        <f t="shared" si="13"/>
        <v>1</v>
      </c>
      <c r="R293" s="4">
        <f t="shared" si="14"/>
        <v>30000</v>
      </c>
    </row>
    <row r="294" spans="1:18">
      <c r="A294" s="1">
        <v>2</v>
      </c>
      <c r="B294" s="1" t="str">
        <f>"قطعات و لوازم يدكي"</f>
        <v>قطعات و لوازم يدكي</v>
      </c>
      <c r="C294" s="1">
        <v>101</v>
      </c>
      <c r="D294" s="1" t="str">
        <f>"انبار قطعات و لوازم يدكي اصفهان"</f>
        <v>انبار قطعات و لوازم يدكي اصفهان</v>
      </c>
      <c r="E294" s="1" t="str">
        <f>"3103023903"</f>
        <v>3103023903</v>
      </c>
      <c r="F294" s="1" t="str">
        <f>"هاب کوپلينگ ديسکي"</f>
        <v>هاب کوپلينگ ديسکي</v>
      </c>
      <c r="G294" s="1" t="str">
        <f>"عدد"</f>
        <v>عدد</v>
      </c>
      <c r="H294" s="1">
        <v>2</v>
      </c>
      <c r="I294" s="1">
        <v>5000000</v>
      </c>
      <c r="J294" s="1">
        <v>0</v>
      </c>
      <c r="K294" s="1">
        <v>0</v>
      </c>
      <c r="L294" s="1">
        <v>0</v>
      </c>
      <c r="M294" s="1">
        <v>0</v>
      </c>
      <c r="O294" s="1">
        <v>97</v>
      </c>
      <c r="P294" s="4">
        <f t="shared" si="12"/>
        <v>5000000</v>
      </c>
      <c r="Q294" s="4">
        <f t="shared" si="13"/>
        <v>2</v>
      </c>
      <c r="R294" s="4">
        <f t="shared" si="14"/>
        <v>2500000</v>
      </c>
    </row>
    <row r="295" spans="1:18">
      <c r="A295" s="1">
        <v>2</v>
      </c>
      <c r="B295" s="1" t="str">
        <f>"قطعات و لوازم يدكي"</f>
        <v>قطعات و لوازم يدكي</v>
      </c>
      <c r="C295" s="1">
        <v>101</v>
      </c>
      <c r="D295" s="1" t="str">
        <f>"انبار قطعات و لوازم يدكي اصفهان"</f>
        <v>انبار قطعات و لوازم يدكي اصفهان</v>
      </c>
      <c r="E295" s="1" t="str">
        <f>"3112711223"</f>
        <v>3112711223</v>
      </c>
      <c r="F295" s="1" t="str">
        <f>"شافت كامپليت(shaft complete)"</f>
        <v>شافت كامپليت(shaft complete)</v>
      </c>
      <c r="G295" s="1" t="str">
        <f>"عدد"</f>
        <v>عدد</v>
      </c>
      <c r="H295" s="1">
        <v>1</v>
      </c>
      <c r="I295" s="1">
        <v>47824303</v>
      </c>
      <c r="J295" s="1">
        <v>0</v>
      </c>
      <c r="K295" s="1">
        <v>0</v>
      </c>
      <c r="L295" s="1">
        <v>0</v>
      </c>
      <c r="M295" s="1">
        <v>0</v>
      </c>
      <c r="O295" s="1">
        <v>97</v>
      </c>
      <c r="P295" s="4">
        <f t="shared" si="12"/>
        <v>47824303</v>
      </c>
      <c r="Q295" s="4">
        <f t="shared" si="13"/>
        <v>1</v>
      </c>
      <c r="R295" s="4">
        <f t="shared" si="14"/>
        <v>47824303</v>
      </c>
    </row>
    <row r="296" spans="1:18">
      <c r="A296" s="1">
        <v>2</v>
      </c>
      <c r="B296" s="1" t="str">
        <f>"قطعات و لوازم يدكي"</f>
        <v>قطعات و لوازم يدكي</v>
      </c>
      <c r="C296" s="1">
        <v>101</v>
      </c>
      <c r="D296" s="1" t="str">
        <f>"انبار قطعات و لوازم يدكي اصفهان"</f>
        <v>انبار قطعات و لوازم يدكي اصفهان</v>
      </c>
      <c r="E296" s="1" t="str">
        <f>"3112711533"</f>
        <v>3112711533</v>
      </c>
      <c r="F296" s="1" t="str">
        <f>"بوشينگ(bushing)"</f>
        <v>بوشينگ(bushing)</v>
      </c>
      <c r="G296" s="1" t="str">
        <f>"عدد"</f>
        <v>عدد</v>
      </c>
      <c r="H296" s="1">
        <v>2</v>
      </c>
      <c r="I296" s="1">
        <v>22577520</v>
      </c>
      <c r="J296" s="1">
        <v>0</v>
      </c>
      <c r="K296" s="1">
        <v>0</v>
      </c>
      <c r="L296" s="1">
        <v>0</v>
      </c>
      <c r="M296" s="1">
        <v>0</v>
      </c>
      <c r="O296" s="1">
        <v>97</v>
      </c>
      <c r="P296" s="4">
        <f t="shared" si="12"/>
        <v>22577520</v>
      </c>
      <c r="Q296" s="4">
        <f t="shared" si="13"/>
        <v>2</v>
      </c>
      <c r="R296" s="4">
        <f t="shared" si="14"/>
        <v>11288760</v>
      </c>
    </row>
    <row r="297" spans="1:18">
      <c r="A297" s="1">
        <v>2</v>
      </c>
      <c r="B297" s="1" t="str">
        <f>"قطعات و لوازم يدكي"</f>
        <v>قطعات و لوازم يدكي</v>
      </c>
      <c r="C297" s="1">
        <v>101</v>
      </c>
      <c r="D297" s="1" t="str">
        <f>"انبار قطعات و لوازم يدكي اصفهان"</f>
        <v>انبار قطعات و لوازم يدكي اصفهان</v>
      </c>
      <c r="E297" s="1" t="str">
        <f>"3112711713"</f>
        <v>3112711713</v>
      </c>
      <c r="F297" s="1" t="str">
        <f>"ورينگ ايمپيلراچ يو بي(wear ring impeller)"</f>
        <v>ورينگ ايمپيلراچ يو بي(wear ring impeller)</v>
      </c>
      <c r="G297" s="1" t="str">
        <f>"عدد"</f>
        <v>عدد</v>
      </c>
      <c r="H297" s="1">
        <v>2</v>
      </c>
      <c r="I297" s="1">
        <v>16719969</v>
      </c>
      <c r="J297" s="1">
        <v>0</v>
      </c>
      <c r="K297" s="1">
        <v>0</v>
      </c>
      <c r="L297" s="1">
        <v>0</v>
      </c>
      <c r="M297" s="1">
        <v>0</v>
      </c>
      <c r="O297" s="1">
        <v>97</v>
      </c>
      <c r="P297" s="4">
        <f t="shared" si="12"/>
        <v>16719969</v>
      </c>
      <c r="Q297" s="4">
        <f t="shared" si="13"/>
        <v>2</v>
      </c>
      <c r="R297" s="4">
        <f t="shared" si="14"/>
        <v>8359984.5</v>
      </c>
    </row>
    <row r="298" spans="1:18">
      <c r="A298" s="1">
        <v>2</v>
      </c>
      <c r="B298" s="1" t="str">
        <f>"قطعات و لوازم يدكي"</f>
        <v>قطعات و لوازم يدكي</v>
      </c>
      <c r="C298" s="1">
        <v>101</v>
      </c>
      <c r="D298" s="1" t="str">
        <f>"انبار قطعات و لوازم يدكي اصفهان"</f>
        <v>انبار قطعات و لوازم يدكي اصفهان</v>
      </c>
      <c r="E298" s="1" t="str">
        <f>"3112711803"</f>
        <v>3112711803</v>
      </c>
      <c r="F298" s="1" t="str">
        <f>"ست اسكرو  ايمپيلر نت(set screw impeller nat)"</f>
        <v>ست اسكرو  ايمپيلر نت(set screw impeller nat)</v>
      </c>
      <c r="G298" s="1" t="str">
        <f>"عدد"</f>
        <v>عدد</v>
      </c>
      <c r="H298" s="1">
        <v>2</v>
      </c>
      <c r="I298" s="1">
        <v>9888</v>
      </c>
      <c r="J298" s="1">
        <v>0</v>
      </c>
      <c r="K298" s="1">
        <v>0</v>
      </c>
      <c r="L298" s="1">
        <v>0</v>
      </c>
      <c r="M298" s="1">
        <v>0</v>
      </c>
      <c r="O298" s="1">
        <v>97</v>
      </c>
      <c r="P298" s="4">
        <f t="shared" si="12"/>
        <v>9888</v>
      </c>
      <c r="Q298" s="4">
        <f t="shared" si="13"/>
        <v>2</v>
      </c>
      <c r="R298" s="4">
        <f t="shared" si="14"/>
        <v>4944</v>
      </c>
    </row>
    <row r="299" spans="1:18">
      <c r="A299" s="1">
        <v>2</v>
      </c>
      <c r="B299" s="1" t="str">
        <f>"قطعات و لوازم يدكي"</f>
        <v>قطعات و لوازم يدكي</v>
      </c>
      <c r="C299" s="1">
        <v>101</v>
      </c>
      <c r="D299" s="1" t="str">
        <f>"انبار قطعات و لوازم يدكي اصفهان"</f>
        <v>انبار قطعات و لوازم يدكي اصفهان</v>
      </c>
      <c r="E299" s="1" t="str">
        <f>"3114810083"</f>
        <v>3114810083</v>
      </c>
      <c r="F299" s="1" t="str">
        <f>"اسكيرو ريچت مت"</f>
        <v>اسكيرو ريچت مت</v>
      </c>
      <c r="G299" s="1" t="str">
        <f>"عدد"</f>
        <v>عدد</v>
      </c>
      <c r="H299" s="1">
        <v>1</v>
      </c>
      <c r="I299" s="1">
        <v>92690</v>
      </c>
      <c r="J299" s="1">
        <v>0</v>
      </c>
      <c r="K299" s="1">
        <v>0</v>
      </c>
      <c r="L299" s="1">
        <v>0</v>
      </c>
      <c r="M299" s="1">
        <v>0</v>
      </c>
      <c r="O299" s="1">
        <v>97</v>
      </c>
      <c r="P299" s="4">
        <f t="shared" si="12"/>
        <v>92690</v>
      </c>
      <c r="Q299" s="4">
        <f t="shared" si="13"/>
        <v>1</v>
      </c>
      <c r="R299" s="4">
        <f t="shared" si="14"/>
        <v>92690</v>
      </c>
    </row>
    <row r="300" spans="1:18">
      <c r="A300" s="1">
        <v>2</v>
      </c>
      <c r="B300" s="1" t="str">
        <f>"قطعات و لوازم يدكي"</f>
        <v>قطعات و لوازم يدكي</v>
      </c>
      <c r="C300" s="1">
        <v>101</v>
      </c>
      <c r="D300" s="1" t="str">
        <f>"انبار قطعات و لوازم يدكي اصفهان"</f>
        <v>انبار قطعات و لوازم يدكي اصفهان</v>
      </c>
      <c r="E300" s="1" t="str">
        <f>"3114810403"</f>
        <v>3114810403</v>
      </c>
      <c r="F300" s="1" t="str">
        <f>"اسپاكر رينگ 49-121082401"</f>
        <v>اسپاكر رينگ 49-121082401</v>
      </c>
      <c r="G300" s="1" t="str">
        <f>"عدد"</f>
        <v>عدد</v>
      </c>
      <c r="H300" s="1">
        <v>11</v>
      </c>
      <c r="I300" s="1">
        <v>12583</v>
      </c>
      <c r="J300" s="1">
        <v>0</v>
      </c>
      <c r="K300" s="1">
        <v>0</v>
      </c>
      <c r="L300" s="1">
        <v>0</v>
      </c>
      <c r="M300" s="1">
        <v>0</v>
      </c>
      <c r="O300" s="1">
        <v>97</v>
      </c>
      <c r="P300" s="4">
        <f t="shared" si="12"/>
        <v>12583</v>
      </c>
      <c r="Q300" s="4">
        <f t="shared" si="13"/>
        <v>11</v>
      </c>
      <c r="R300" s="4">
        <f t="shared" si="14"/>
        <v>1143.909090909091</v>
      </c>
    </row>
    <row r="301" spans="1:18">
      <c r="A301" s="1">
        <v>2</v>
      </c>
      <c r="B301" s="1" t="str">
        <f>"قطعات و لوازم يدكي"</f>
        <v>قطعات و لوازم يدكي</v>
      </c>
      <c r="C301" s="1">
        <v>101</v>
      </c>
      <c r="D301" s="1" t="str">
        <f>"انبار قطعات و لوازم يدكي اصفهان"</f>
        <v>انبار قطعات و لوازم يدكي اصفهان</v>
      </c>
      <c r="E301" s="1" t="str">
        <f>"3114810553"</f>
        <v>3114810553</v>
      </c>
      <c r="F301" s="1" t="str">
        <f>"اورينگ (بزرگ) P-1001C"</f>
        <v>اورينگ (بزرگ) P-1001C</v>
      </c>
      <c r="G301" s="1" t="str">
        <f>"عدد"</f>
        <v>عدد</v>
      </c>
      <c r="H301" s="1">
        <v>3</v>
      </c>
      <c r="I301" s="1">
        <v>12000</v>
      </c>
      <c r="J301" s="1">
        <v>0</v>
      </c>
      <c r="K301" s="1">
        <v>0</v>
      </c>
      <c r="L301" s="1">
        <v>0</v>
      </c>
      <c r="M301" s="1">
        <v>0</v>
      </c>
      <c r="O301" s="1">
        <v>97</v>
      </c>
      <c r="P301" s="4">
        <f t="shared" si="12"/>
        <v>12000</v>
      </c>
      <c r="Q301" s="4">
        <f t="shared" si="13"/>
        <v>3</v>
      </c>
      <c r="R301" s="4">
        <f t="shared" si="14"/>
        <v>4000</v>
      </c>
    </row>
    <row r="302" spans="1:18">
      <c r="A302" s="1">
        <v>2</v>
      </c>
      <c r="B302" s="1" t="str">
        <f>"قطعات و لوازم يدكي"</f>
        <v>قطعات و لوازم يدكي</v>
      </c>
      <c r="C302" s="1">
        <v>101</v>
      </c>
      <c r="D302" s="1" t="str">
        <f>"انبار قطعات و لوازم يدكي اصفهان"</f>
        <v>انبار قطعات و لوازم يدكي اصفهان</v>
      </c>
      <c r="E302" s="1" t="str">
        <f>"3114812083"</f>
        <v>3114812083</v>
      </c>
      <c r="F302" s="1" t="str">
        <f>"اسپاسر رينگ"</f>
        <v>اسپاسر رينگ</v>
      </c>
      <c r="G302" s="1" t="str">
        <f>"عدد"</f>
        <v>عدد</v>
      </c>
      <c r="H302" s="1">
        <v>5</v>
      </c>
      <c r="I302" s="1">
        <v>603750</v>
      </c>
      <c r="J302" s="1">
        <v>0</v>
      </c>
      <c r="K302" s="1">
        <v>0</v>
      </c>
      <c r="L302" s="1">
        <v>0</v>
      </c>
      <c r="M302" s="1">
        <v>0</v>
      </c>
      <c r="O302" s="1">
        <v>97</v>
      </c>
      <c r="P302" s="4">
        <f t="shared" si="12"/>
        <v>603750</v>
      </c>
      <c r="Q302" s="4">
        <f t="shared" si="13"/>
        <v>5</v>
      </c>
      <c r="R302" s="4">
        <f t="shared" si="14"/>
        <v>120750</v>
      </c>
    </row>
    <row r="303" spans="1:18">
      <c r="A303" s="1">
        <v>2</v>
      </c>
      <c r="B303" s="1" t="str">
        <f>"قطعات و لوازم يدكي"</f>
        <v>قطعات و لوازم يدكي</v>
      </c>
      <c r="C303" s="1">
        <v>101</v>
      </c>
      <c r="D303" s="1" t="str">
        <f>"انبار قطعات و لوازم يدكي اصفهان"</f>
        <v>انبار قطعات و لوازم يدكي اصفهان</v>
      </c>
      <c r="E303" s="1" t="str">
        <f>"3114812183"</f>
        <v>3114812183</v>
      </c>
      <c r="F303" s="1" t="str">
        <f>"گر ويل"</f>
        <v>گر ويل</v>
      </c>
      <c r="G303" s="1" t="str">
        <f>"عدد"</f>
        <v>عدد</v>
      </c>
      <c r="H303" s="1">
        <v>20</v>
      </c>
      <c r="I303" s="1">
        <v>51571429</v>
      </c>
      <c r="J303" s="1">
        <v>0</v>
      </c>
      <c r="K303" s="1">
        <v>0</v>
      </c>
      <c r="L303" s="1">
        <v>0</v>
      </c>
      <c r="M303" s="1">
        <v>0</v>
      </c>
      <c r="O303" s="1">
        <v>97</v>
      </c>
      <c r="P303" s="4">
        <f t="shared" si="12"/>
        <v>51571429</v>
      </c>
      <c r="Q303" s="4">
        <f t="shared" si="13"/>
        <v>20</v>
      </c>
      <c r="R303" s="4">
        <f t="shared" si="14"/>
        <v>2578571.4500000002</v>
      </c>
    </row>
    <row r="304" spans="1:18">
      <c r="A304" s="1">
        <v>2</v>
      </c>
      <c r="B304" s="1" t="str">
        <f>"قطعات و لوازم يدكي"</f>
        <v>قطعات و لوازم يدكي</v>
      </c>
      <c r="C304" s="1">
        <v>101</v>
      </c>
      <c r="D304" s="1" t="str">
        <f>"انبار قطعات و لوازم يدكي اصفهان"</f>
        <v>انبار قطعات و لوازم يدكي اصفهان</v>
      </c>
      <c r="E304" s="1" t="str">
        <f>"3114812283"</f>
        <v>3114812283</v>
      </c>
      <c r="F304" s="1" t="str">
        <f>"سرگليپ فور اي بور 60"</f>
        <v>سرگليپ فور اي بور 60</v>
      </c>
      <c r="G304" s="1" t="str">
        <f>"عدد"</f>
        <v>عدد</v>
      </c>
      <c r="H304" s="1">
        <v>13</v>
      </c>
      <c r="I304" s="1">
        <v>17317</v>
      </c>
      <c r="J304" s="1">
        <v>0</v>
      </c>
      <c r="K304" s="1">
        <v>0</v>
      </c>
      <c r="L304" s="1">
        <v>0</v>
      </c>
      <c r="M304" s="1">
        <v>0</v>
      </c>
      <c r="O304" s="1">
        <v>97</v>
      </c>
      <c r="P304" s="4">
        <f t="shared" si="12"/>
        <v>17317</v>
      </c>
      <c r="Q304" s="4">
        <f t="shared" si="13"/>
        <v>13</v>
      </c>
      <c r="R304" s="4">
        <f t="shared" si="14"/>
        <v>1332.0769230769231</v>
      </c>
    </row>
    <row r="305" spans="1:18">
      <c r="A305" s="1">
        <v>2</v>
      </c>
      <c r="B305" s="1" t="str">
        <f>"قطعات و لوازم يدكي"</f>
        <v>قطعات و لوازم يدكي</v>
      </c>
      <c r="C305" s="1">
        <v>101</v>
      </c>
      <c r="D305" s="1" t="str">
        <f>"انبار قطعات و لوازم يدكي اصفهان"</f>
        <v>انبار قطعات و لوازم يدكي اصفهان</v>
      </c>
      <c r="E305" s="1" t="str">
        <f>"3114816296"</f>
        <v>3114816296</v>
      </c>
      <c r="F305" s="1" t="str">
        <f>"key for coupling"</f>
        <v>key for coupling</v>
      </c>
      <c r="G305" s="1" t="str">
        <f>"عدد"</f>
        <v>عدد</v>
      </c>
      <c r="H305" s="1">
        <v>1</v>
      </c>
      <c r="I305" s="1">
        <v>19840</v>
      </c>
      <c r="J305" s="1">
        <v>0</v>
      </c>
      <c r="K305" s="1">
        <v>0</v>
      </c>
      <c r="L305" s="1">
        <v>0</v>
      </c>
      <c r="M305" s="1">
        <v>0</v>
      </c>
      <c r="O305" s="1">
        <v>97</v>
      </c>
      <c r="P305" s="4">
        <f t="shared" si="12"/>
        <v>19840</v>
      </c>
      <c r="Q305" s="4">
        <f t="shared" si="13"/>
        <v>1</v>
      </c>
      <c r="R305" s="4">
        <f t="shared" si="14"/>
        <v>19840</v>
      </c>
    </row>
    <row r="306" spans="1:18">
      <c r="A306" s="1">
        <v>2</v>
      </c>
      <c r="B306" s="1" t="str">
        <f>"قطعات و لوازم يدكي"</f>
        <v>قطعات و لوازم يدكي</v>
      </c>
      <c r="C306" s="1">
        <v>101</v>
      </c>
      <c r="D306" s="1" t="str">
        <f>"انبار قطعات و لوازم يدكي اصفهان"</f>
        <v>انبار قطعات و لوازم يدكي اصفهان</v>
      </c>
      <c r="E306" s="1" t="str">
        <f>"3300000033"</f>
        <v>3300000033</v>
      </c>
      <c r="F306" s="1" t="str">
        <f>"گسکت"</f>
        <v>گسکت</v>
      </c>
      <c r="G306" s="1" t="str">
        <f>"عدد"</f>
        <v>عدد</v>
      </c>
      <c r="H306" s="1">
        <v>4</v>
      </c>
      <c r="I306" s="1">
        <v>4862857</v>
      </c>
      <c r="J306" s="1">
        <v>0</v>
      </c>
      <c r="K306" s="1">
        <v>0</v>
      </c>
      <c r="L306" s="1">
        <v>0</v>
      </c>
      <c r="M306" s="1">
        <v>0</v>
      </c>
      <c r="O306" s="1">
        <v>97</v>
      </c>
      <c r="P306" s="4">
        <f t="shared" si="12"/>
        <v>4862857</v>
      </c>
      <c r="Q306" s="4">
        <f t="shared" si="13"/>
        <v>4</v>
      </c>
      <c r="R306" s="4">
        <f t="shared" si="14"/>
        <v>1215714.25</v>
      </c>
    </row>
    <row r="307" spans="1:18">
      <c r="A307" s="1">
        <v>2</v>
      </c>
      <c r="B307" s="1" t="str">
        <f>"قطعات و لوازم يدكي"</f>
        <v>قطعات و لوازم يدكي</v>
      </c>
      <c r="C307" s="1">
        <v>101</v>
      </c>
      <c r="D307" s="1" t="str">
        <f>"انبار قطعات و لوازم يدكي اصفهان"</f>
        <v>انبار قطعات و لوازم يدكي اصفهان</v>
      </c>
      <c r="E307" s="1" t="str">
        <f>"3300000063"</f>
        <v>3300000063</v>
      </c>
      <c r="F307" s="1" t="str">
        <f>"مکانکاسيل سمت راست"</f>
        <v>مکانکاسيل سمت راست</v>
      </c>
      <c r="G307" s="1" t="str">
        <f>"عدد"</f>
        <v>عدد</v>
      </c>
      <c r="H307" s="1">
        <v>2</v>
      </c>
      <c r="I307" s="1">
        <v>204000000</v>
      </c>
      <c r="J307" s="1">
        <v>0</v>
      </c>
      <c r="K307" s="1">
        <v>0</v>
      </c>
      <c r="L307" s="1">
        <v>0</v>
      </c>
      <c r="M307" s="1">
        <v>0</v>
      </c>
      <c r="O307" s="1">
        <v>97</v>
      </c>
      <c r="P307" s="4">
        <f t="shared" si="12"/>
        <v>204000000</v>
      </c>
      <c r="Q307" s="4">
        <f t="shared" si="13"/>
        <v>2</v>
      </c>
      <c r="R307" s="4">
        <f t="shared" si="14"/>
        <v>102000000</v>
      </c>
    </row>
    <row r="308" spans="1:18">
      <c r="A308" s="1">
        <v>2</v>
      </c>
      <c r="B308" s="1" t="str">
        <f>"قطعات و لوازم يدكي"</f>
        <v>قطعات و لوازم يدكي</v>
      </c>
      <c r="C308" s="1">
        <v>101</v>
      </c>
      <c r="D308" s="1" t="str">
        <f>"انبار قطعات و لوازم يدكي اصفهان"</f>
        <v>انبار قطعات و لوازم يدكي اصفهان</v>
      </c>
      <c r="E308" s="1" t="str">
        <f>"3301010012"</f>
        <v>3301010012</v>
      </c>
      <c r="F308" s="1" t="str">
        <f>"مکانيکال سيل P-1001 A/B"</f>
        <v>مکانيکال سيل P-1001 A/B</v>
      </c>
      <c r="G308" s="1" t="str">
        <f>"عدد"</f>
        <v>عدد</v>
      </c>
      <c r="H308" s="1">
        <v>13</v>
      </c>
      <c r="I308" s="1">
        <v>934614000</v>
      </c>
      <c r="J308" s="1">
        <v>0</v>
      </c>
      <c r="K308" s="1">
        <v>0</v>
      </c>
      <c r="L308" s="1">
        <v>0</v>
      </c>
      <c r="M308" s="1">
        <v>0</v>
      </c>
      <c r="O308" s="1">
        <v>97</v>
      </c>
      <c r="P308" s="4">
        <f t="shared" si="12"/>
        <v>934614000</v>
      </c>
      <c r="Q308" s="4">
        <f t="shared" si="13"/>
        <v>13</v>
      </c>
      <c r="R308" s="4">
        <f t="shared" si="14"/>
        <v>71893384.615384609</v>
      </c>
    </row>
    <row r="309" spans="1:18">
      <c r="A309" s="1">
        <v>2</v>
      </c>
      <c r="B309" s="1" t="str">
        <f>"قطعات و لوازم يدكي"</f>
        <v>قطعات و لوازم يدكي</v>
      </c>
      <c r="C309" s="1">
        <v>101</v>
      </c>
      <c r="D309" s="1" t="str">
        <f>"انبار قطعات و لوازم يدكي اصفهان"</f>
        <v>انبار قطعات و لوازم يدكي اصفهان</v>
      </c>
      <c r="E309" s="1" t="str">
        <f>"3301020013"</f>
        <v>3301020013</v>
      </c>
      <c r="F309" s="1" t="str">
        <f>"پکينگ بلوز p-1001A/B"</f>
        <v>پکينگ بلوز p-1001A/B</v>
      </c>
      <c r="G309" s="1" t="str">
        <f>"عدد"</f>
        <v>عدد</v>
      </c>
      <c r="H309" s="1">
        <v>48</v>
      </c>
      <c r="I309" s="1">
        <v>14400000</v>
      </c>
      <c r="J309" s="1">
        <v>0</v>
      </c>
      <c r="K309" s="1">
        <v>0</v>
      </c>
      <c r="L309" s="1">
        <v>0</v>
      </c>
      <c r="M309" s="1">
        <v>0</v>
      </c>
      <c r="O309" s="1">
        <v>97</v>
      </c>
      <c r="P309" s="4">
        <f t="shared" si="12"/>
        <v>14400000</v>
      </c>
      <c r="Q309" s="4">
        <f t="shared" si="13"/>
        <v>48</v>
      </c>
      <c r="R309" s="4">
        <f t="shared" si="14"/>
        <v>300000</v>
      </c>
    </row>
    <row r="310" spans="1:18">
      <c r="A310" s="1">
        <v>2</v>
      </c>
      <c r="B310" s="1" t="str">
        <f>"قطعات و لوازم يدكي"</f>
        <v>قطعات و لوازم يدكي</v>
      </c>
      <c r="C310" s="1">
        <v>101</v>
      </c>
      <c r="D310" s="1" t="str">
        <f>"انبار قطعات و لوازم يدكي اصفهان"</f>
        <v>انبار قطعات و لوازم يدكي اصفهان</v>
      </c>
      <c r="E310" s="1" t="str">
        <f>"3371155053"</f>
        <v>3371155053</v>
      </c>
      <c r="F310" s="1" t="str">
        <f>"اسنپ رينگ شفت"</f>
        <v>اسنپ رينگ شفت</v>
      </c>
      <c r="G310" s="1" t="str">
        <f>"عدد"</f>
        <v>عدد</v>
      </c>
      <c r="H310" s="1">
        <v>4</v>
      </c>
      <c r="I310" s="1">
        <v>6228</v>
      </c>
      <c r="J310" s="1">
        <v>0</v>
      </c>
      <c r="K310" s="1">
        <v>0</v>
      </c>
      <c r="L310" s="1">
        <v>0</v>
      </c>
      <c r="M310" s="1">
        <v>0</v>
      </c>
      <c r="O310" s="1">
        <v>97</v>
      </c>
      <c r="P310" s="4">
        <f t="shared" si="12"/>
        <v>6228</v>
      </c>
      <c r="Q310" s="4">
        <f t="shared" si="13"/>
        <v>4</v>
      </c>
      <c r="R310" s="4">
        <f t="shared" si="14"/>
        <v>1557</v>
      </c>
    </row>
    <row r="311" spans="1:18">
      <c r="A311" s="1">
        <v>2</v>
      </c>
      <c r="B311" s="1" t="str">
        <f>"قطعات و لوازم يدكي"</f>
        <v>قطعات و لوازم يدكي</v>
      </c>
      <c r="C311" s="1">
        <v>101</v>
      </c>
      <c r="D311" s="1" t="str">
        <f>"انبار قطعات و لوازم يدكي اصفهان"</f>
        <v>انبار قطعات و لوازم يدكي اصفهان</v>
      </c>
      <c r="E311" s="1" t="str">
        <f>"3371155083"</f>
        <v>3371155083</v>
      </c>
      <c r="F311" s="1" t="str">
        <f>"سل رير براكت"</f>
        <v>سل رير براكت</v>
      </c>
      <c r="G311" s="1" t="str">
        <f>"عدد"</f>
        <v>عدد</v>
      </c>
      <c r="H311" s="1">
        <v>5</v>
      </c>
      <c r="I311" s="1">
        <v>2427266</v>
      </c>
      <c r="J311" s="1">
        <v>0</v>
      </c>
      <c r="K311" s="1">
        <v>0</v>
      </c>
      <c r="L311" s="1">
        <v>0</v>
      </c>
      <c r="M311" s="1">
        <v>0</v>
      </c>
      <c r="O311" s="1">
        <v>97</v>
      </c>
      <c r="P311" s="4">
        <f t="shared" si="12"/>
        <v>2427266</v>
      </c>
      <c r="Q311" s="4">
        <f t="shared" si="13"/>
        <v>5</v>
      </c>
      <c r="R311" s="4">
        <f t="shared" si="14"/>
        <v>485453.2</v>
      </c>
    </row>
    <row r="312" spans="1:18">
      <c r="A312" s="1">
        <v>2</v>
      </c>
      <c r="B312" s="1" t="str">
        <f>"قطعات و لوازم يدكي"</f>
        <v>قطعات و لوازم يدكي</v>
      </c>
      <c r="C312" s="1">
        <v>101</v>
      </c>
      <c r="D312" s="1" t="str">
        <f>"انبار قطعات و لوازم يدكي اصفهان"</f>
        <v>انبار قطعات و لوازم يدكي اصفهان</v>
      </c>
      <c r="E312" s="1" t="str">
        <f>"3371155133"</f>
        <v>3371155133</v>
      </c>
      <c r="F312" s="1" t="str">
        <f>"اسپاكر تامينگ گر ."</f>
        <v>اسپاكر تامينگ گر .</v>
      </c>
      <c r="G312" s="1" t="str">
        <f>"عدد"</f>
        <v>عدد</v>
      </c>
      <c r="H312" s="1">
        <v>2</v>
      </c>
      <c r="I312" s="1">
        <v>956</v>
      </c>
      <c r="J312" s="1">
        <v>0</v>
      </c>
      <c r="K312" s="1">
        <v>0</v>
      </c>
      <c r="L312" s="1">
        <v>0</v>
      </c>
      <c r="M312" s="1">
        <v>0</v>
      </c>
      <c r="O312" s="1">
        <v>97</v>
      </c>
      <c r="P312" s="4">
        <f t="shared" si="12"/>
        <v>956</v>
      </c>
      <c r="Q312" s="4">
        <f t="shared" si="13"/>
        <v>2</v>
      </c>
      <c r="R312" s="4">
        <f t="shared" si="14"/>
        <v>478</v>
      </c>
    </row>
    <row r="313" spans="1:18">
      <c r="A313" s="1">
        <v>2</v>
      </c>
      <c r="B313" s="1" t="str">
        <f>"قطعات و لوازم يدكي"</f>
        <v>قطعات و لوازم يدكي</v>
      </c>
      <c r="C313" s="1">
        <v>101</v>
      </c>
      <c r="D313" s="1" t="str">
        <f>"انبار قطعات و لوازم يدكي اصفهان"</f>
        <v>انبار قطعات و لوازم يدكي اصفهان</v>
      </c>
      <c r="E313" s="1" t="str">
        <f>"3371155253"</f>
        <v>3371155253</v>
      </c>
      <c r="F313" s="1" t="str">
        <f>"رولر برج فورنت براكت هيت"</f>
        <v>رولر برج فورنت براكت هيت</v>
      </c>
      <c r="G313" s="1" t="str">
        <f>"عدد"</f>
        <v>عدد</v>
      </c>
      <c r="H313" s="1">
        <v>8</v>
      </c>
      <c r="I313" s="1">
        <v>2411249</v>
      </c>
      <c r="J313" s="1">
        <v>0</v>
      </c>
      <c r="K313" s="1">
        <v>0</v>
      </c>
      <c r="L313" s="1">
        <v>0</v>
      </c>
      <c r="M313" s="1">
        <v>0</v>
      </c>
      <c r="O313" s="1">
        <v>97</v>
      </c>
      <c r="P313" s="4">
        <f t="shared" si="12"/>
        <v>2411249</v>
      </c>
      <c r="Q313" s="4">
        <f t="shared" si="13"/>
        <v>8</v>
      </c>
      <c r="R313" s="4">
        <f t="shared" si="14"/>
        <v>301406.125</v>
      </c>
    </row>
    <row r="314" spans="1:18">
      <c r="A314" s="1">
        <v>2</v>
      </c>
      <c r="B314" s="1" t="str">
        <f>"قطعات و لوازم يدكي"</f>
        <v>قطعات و لوازم يدكي</v>
      </c>
      <c r="C314" s="1">
        <v>101</v>
      </c>
      <c r="D314" s="1" t="str">
        <f>"انبار قطعات و لوازم يدكي اصفهان"</f>
        <v>انبار قطعات و لوازم يدكي اصفهان</v>
      </c>
      <c r="E314" s="1" t="str">
        <f>"3371205513"</f>
        <v>3371205513</v>
      </c>
      <c r="F314" s="1" t="str">
        <f>"كمپلت روتاتينگ المنت"</f>
        <v>كمپلت روتاتينگ المنت</v>
      </c>
      <c r="G314" s="1" t="str">
        <f>"عدد"</f>
        <v>عدد</v>
      </c>
      <c r="H314" s="1">
        <v>2</v>
      </c>
      <c r="I314" s="1">
        <v>44801426</v>
      </c>
      <c r="J314" s="1">
        <v>0</v>
      </c>
      <c r="K314" s="1">
        <v>0</v>
      </c>
      <c r="L314" s="1">
        <v>0</v>
      </c>
      <c r="M314" s="1">
        <v>0</v>
      </c>
      <c r="O314" s="1">
        <v>97</v>
      </c>
      <c r="P314" s="4">
        <f t="shared" si="12"/>
        <v>44801426</v>
      </c>
      <c r="Q314" s="4">
        <f t="shared" si="13"/>
        <v>2</v>
      </c>
      <c r="R314" s="4">
        <f t="shared" si="14"/>
        <v>22400713</v>
      </c>
    </row>
    <row r="315" spans="1:18">
      <c r="A315" s="1">
        <v>2</v>
      </c>
      <c r="B315" s="1" t="str">
        <f>"قطعات و لوازم يدكي"</f>
        <v>قطعات و لوازم يدكي</v>
      </c>
      <c r="C315" s="1">
        <v>101</v>
      </c>
      <c r="D315" s="1" t="str">
        <f>"انبار قطعات و لوازم يدكي اصفهان"</f>
        <v>انبار قطعات و لوازم يدكي اصفهان</v>
      </c>
      <c r="E315" s="1" t="str">
        <f>"3371205663"</f>
        <v>3371205663</v>
      </c>
      <c r="F315" s="1" t="str">
        <f>"اسنپ رينگ گر هوزيگ ."</f>
        <v>اسنپ رينگ گر هوزيگ .</v>
      </c>
      <c r="G315" s="1" t="str">
        <f>"عدد"</f>
        <v>عدد</v>
      </c>
      <c r="H315" s="1">
        <v>2</v>
      </c>
      <c r="I315" s="1">
        <v>2025</v>
      </c>
      <c r="J315" s="1">
        <v>0</v>
      </c>
      <c r="K315" s="1">
        <v>0</v>
      </c>
      <c r="L315" s="1">
        <v>0</v>
      </c>
      <c r="M315" s="1">
        <v>0</v>
      </c>
      <c r="O315" s="1">
        <v>97</v>
      </c>
      <c r="P315" s="4">
        <f t="shared" si="12"/>
        <v>2025</v>
      </c>
      <c r="Q315" s="4">
        <f t="shared" si="13"/>
        <v>2</v>
      </c>
      <c r="R315" s="4">
        <f t="shared" si="14"/>
        <v>1012.5</v>
      </c>
    </row>
    <row r="316" spans="1:18">
      <c r="A316" s="1">
        <v>2</v>
      </c>
      <c r="B316" s="1" t="str">
        <f>"قطعات و لوازم يدكي"</f>
        <v>قطعات و لوازم يدكي</v>
      </c>
      <c r="C316" s="1">
        <v>101</v>
      </c>
      <c r="D316" s="1" t="str">
        <f>"انبار قطعات و لوازم يدكي اصفهان"</f>
        <v>انبار قطعات و لوازم يدكي اصفهان</v>
      </c>
      <c r="E316" s="1" t="str">
        <f>"3456650103"</f>
        <v>3456650103</v>
      </c>
      <c r="F316" s="1" t="str">
        <f>"سل فرنت اند رير براكت ويتن"</f>
        <v>سل فرنت اند رير براكت ويتن</v>
      </c>
      <c r="G316" s="1" t="str">
        <f>"عدد"</f>
        <v>عدد</v>
      </c>
      <c r="H316" s="1">
        <v>1</v>
      </c>
      <c r="I316" s="1">
        <v>2052</v>
      </c>
      <c r="J316" s="1">
        <v>0</v>
      </c>
      <c r="K316" s="1">
        <v>0</v>
      </c>
      <c r="L316" s="1">
        <v>0</v>
      </c>
      <c r="M316" s="1">
        <v>0</v>
      </c>
      <c r="O316" s="1">
        <v>97</v>
      </c>
      <c r="P316" s="4">
        <f t="shared" si="12"/>
        <v>2052</v>
      </c>
      <c r="Q316" s="4">
        <f t="shared" si="13"/>
        <v>1</v>
      </c>
      <c r="R316" s="4">
        <f t="shared" si="14"/>
        <v>2052</v>
      </c>
    </row>
    <row r="317" spans="1:18">
      <c r="A317" s="1">
        <v>2</v>
      </c>
      <c r="B317" s="1" t="str">
        <f>"قطعات و لوازم يدكي"</f>
        <v>قطعات و لوازم يدكي</v>
      </c>
      <c r="C317" s="1">
        <v>101</v>
      </c>
      <c r="D317" s="1" t="str">
        <f>"انبار قطعات و لوازم يدكي اصفهان"</f>
        <v>انبار قطعات و لوازم يدكي اصفهان</v>
      </c>
      <c r="E317" s="1" t="str">
        <f>"3456650113"</f>
        <v>3456650113</v>
      </c>
      <c r="F317" s="1" t="str">
        <f>"سل فرنت هد ويتن"</f>
        <v>سل فرنت هد ويتن</v>
      </c>
      <c r="G317" s="1" t="str">
        <f>"عدد"</f>
        <v>عدد</v>
      </c>
      <c r="H317" s="1">
        <v>1</v>
      </c>
      <c r="I317" s="1">
        <v>2241</v>
      </c>
      <c r="J317" s="1">
        <v>0</v>
      </c>
      <c r="K317" s="1">
        <v>0</v>
      </c>
      <c r="L317" s="1">
        <v>0</v>
      </c>
      <c r="M317" s="1">
        <v>0</v>
      </c>
      <c r="O317" s="1">
        <v>97</v>
      </c>
      <c r="P317" s="4">
        <f t="shared" si="12"/>
        <v>2241</v>
      </c>
      <c r="Q317" s="4">
        <f t="shared" si="13"/>
        <v>1</v>
      </c>
      <c r="R317" s="4">
        <f t="shared" si="14"/>
        <v>2241</v>
      </c>
    </row>
    <row r="318" spans="1:18">
      <c r="A318" s="1">
        <v>2</v>
      </c>
      <c r="B318" s="1" t="str">
        <f>"قطعات و لوازم يدكي"</f>
        <v>قطعات و لوازم يدكي</v>
      </c>
      <c r="C318" s="1">
        <v>101</v>
      </c>
      <c r="D318" s="1" t="str">
        <f>"انبار قطعات و لوازم يدكي اصفهان"</f>
        <v>انبار قطعات و لوازم يدكي اصفهان</v>
      </c>
      <c r="E318" s="1" t="str">
        <f>"4301010073"</f>
        <v>4301010073</v>
      </c>
      <c r="F318" s="1" t="str">
        <f>"sample mirror for P2000"</f>
        <v>sample mirror for P2000</v>
      </c>
      <c r="G318" s="1" t="str">
        <f>"عدد"</f>
        <v>عدد</v>
      </c>
      <c r="H318" s="1">
        <v>1</v>
      </c>
      <c r="I318" s="1">
        <v>17108680</v>
      </c>
      <c r="J318" s="1">
        <v>0</v>
      </c>
      <c r="K318" s="1">
        <v>0</v>
      </c>
      <c r="L318" s="1">
        <v>0</v>
      </c>
      <c r="M318" s="1">
        <v>0</v>
      </c>
      <c r="O318" s="1">
        <v>97</v>
      </c>
      <c r="P318" s="4">
        <f t="shared" si="12"/>
        <v>17108680</v>
      </c>
      <c r="Q318" s="4">
        <f t="shared" si="13"/>
        <v>1</v>
      </c>
      <c r="R318" s="4">
        <f t="shared" si="14"/>
        <v>17108680</v>
      </c>
    </row>
    <row r="319" spans="1:18">
      <c r="A319" s="1">
        <v>2</v>
      </c>
      <c r="B319" s="1" t="str">
        <f>"قطعات و لوازم يدكي"</f>
        <v>قطعات و لوازم يدكي</v>
      </c>
      <c r="C319" s="1">
        <v>101</v>
      </c>
      <c r="D319" s="1" t="str">
        <f>"انبار قطعات و لوازم يدكي اصفهان"</f>
        <v>انبار قطعات و لوازم يدكي اصفهان</v>
      </c>
      <c r="E319" s="1" t="str">
        <f>"4301010142"</f>
        <v>4301010142</v>
      </c>
      <c r="F319" s="1" t="str">
        <f>"کاسه نمد 10  90    70"</f>
        <v>کاسه نمد 10  90    70</v>
      </c>
      <c r="G319" s="1" t="str">
        <f>"عدد"</f>
        <v>عدد</v>
      </c>
      <c r="H319" s="1">
        <v>3</v>
      </c>
      <c r="I319" s="1">
        <v>135000</v>
      </c>
      <c r="J319" s="1">
        <v>0</v>
      </c>
      <c r="K319" s="1">
        <v>0</v>
      </c>
      <c r="L319" s="1">
        <v>0</v>
      </c>
      <c r="M319" s="1">
        <v>0</v>
      </c>
      <c r="O319" s="1">
        <v>97</v>
      </c>
      <c r="P319" s="4">
        <f t="shared" si="12"/>
        <v>135000</v>
      </c>
      <c r="Q319" s="4">
        <f t="shared" si="13"/>
        <v>3</v>
      </c>
      <c r="R319" s="4">
        <f t="shared" si="14"/>
        <v>45000</v>
      </c>
    </row>
    <row r="320" spans="1:18" hidden="1">
      <c r="A320" s="1">
        <v>2</v>
      </c>
      <c r="B320" s="1" t="str">
        <f>"قطعات و لوازم يدكي"</f>
        <v>قطعات و لوازم يدكي</v>
      </c>
      <c r="C320" s="1">
        <v>101</v>
      </c>
      <c r="D320" s="1" t="str">
        <f>"انبار قطعات و لوازم يدكي اصفهان"</f>
        <v>انبار قطعات و لوازم يدكي اصفهان</v>
      </c>
      <c r="E320" s="1" t="str">
        <f>"4304020973"</f>
        <v>4304020973</v>
      </c>
      <c r="F320" s="1" t="str">
        <f>"Helical gear wheel no302"</f>
        <v>Helical gear wheel no302</v>
      </c>
      <c r="G320" s="1" t="str">
        <f>"عدد"</f>
        <v>عدد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O320" s="1">
        <v>97</v>
      </c>
      <c r="P320" s="1">
        <f t="shared" si="12"/>
        <v>0</v>
      </c>
      <c r="Q320" s="1">
        <f t="shared" si="13"/>
        <v>0</v>
      </c>
      <c r="R320" s="1" t="e">
        <f t="shared" si="14"/>
        <v>#DIV/0!</v>
      </c>
    </row>
    <row r="321" spans="1:18">
      <c r="A321" s="1">
        <v>2</v>
      </c>
      <c r="B321" s="1" t="str">
        <f>"قطعات و لوازم يدكي"</f>
        <v>قطعات و لوازم يدكي</v>
      </c>
      <c r="C321" s="1">
        <v>101</v>
      </c>
      <c r="D321" s="1" t="str">
        <f>"انبار قطعات و لوازم يدكي اصفهان"</f>
        <v>انبار قطعات و لوازم يدكي اصفهان</v>
      </c>
      <c r="E321" s="1" t="str">
        <f>"4304021043"</f>
        <v>4304021043</v>
      </c>
      <c r="F321" s="1" t="str">
        <f>"مونتيگ فلنچ ويت هد ترپ"</f>
        <v>مونتيگ فلنچ ويت هد ترپ</v>
      </c>
      <c r="G321" s="1" t="str">
        <f>"عدد"</f>
        <v>عدد</v>
      </c>
      <c r="H321" s="1">
        <v>2</v>
      </c>
      <c r="I321" s="1">
        <v>81657623</v>
      </c>
      <c r="J321" s="1">
        <v>0</v>
      </c>
      <c r="K321" s="1">
        <v>0</v>
      </c>
      <c r="L321" s="1">
        <v>0</v>
      </c>
      <c r="M321" s="1">
        <v>0</v>
      </c>
      <c r="O321" s="1">
        <v>97</v>
      </c>
      <c r="P321" s="4">
        <f t="shared" si="12"/>
        <v>81657623</v>
      </c>
      <c r="Q321" s="4">
        <f t="shared" si="13"/>
        <v>2</v>
      </c>
      <c r="R321" s="4">
        <f t="shared" si="14"/>
        <v>40828811.5</v>
      </c>
    </row>
    <row r="322" spans="1:18">
      <c r="A322" s="1">
        <v>2</v>
      </c>
      <c r="B322" s="1" t="str">
        <f>"قطعات و لوازم يدكي"</f>
        <v>قطعات و لوازم يدكي</v>
      </c>
      <c r="C322" s="1">
        <v>101</v>
      </c>
      <c r="D322" s="1" t="str">
        <f>"انبار قطعات و لوازم يدكي اصفهان"</f>
        <v>انبار قطعات و لوازم يدكي اصفهان</v>
      </c>
      <c r="E322" s="1" t="str">
        <f>"4304021059"</f>
        <v>4304021059</v>
      </c>
      <c r="F322" s="1" t="str">
        <f>"بودي برينگ"</f>
        <v>بودي برينگ</v>
      </c>
      <c r="G322" s="1" t="str">
        <f>"عدد"</f>
        <v>عدد</v>
      </c>
      <c r="H322" s="1">
        <v>1</v>
      </c>
      <c r="I322" s="1">
        <v>15169609</v>
      </c>
      <c r="J322" s="1">
        <v>0</v>
      </c>
      <c r="K322" s="1">
        <v>0</v>
      </c>
      <c r="L322" s="1">
        <v>0</v>
      </c>
      <c r="M322" s="1">
        <v>0</v>
      </c>
      <c r="O322" s="1">
        <v>97</v>
      </c>
      <c r="P322" s="4">
        <f t="shared" si="12"/>
        <v>15169609</v>
      </c>
      <c r="Q322" s="4">
        <f t="shared" si="13"/>
        <v>1</v>
      </c>
      <c r="R322" s="4">
        <f t="shared" si="14"/>
        <v>15169609</v>
      </c>
    </row>
    <row r="323" spans="1:18">
      <c r="A323" s="1">
        <v>2</v>
      </c>
      <c r="B323" s="1" t="str">
        <f>"قطعات و لوازم يدكي"</f>
        <v>قطعات و لوازم يدكي</v>
      </c>
      <c r="C323" s="1">
        <v>101</v>
      </c>
      <c r="D323" s="1" t="str">
        <f>"انبار قطعات و لوازم يدكي اصفهان"</f>
        <v>انبار قطعات و لوازم يدكي اصفهان</v>
      </c>
      <c r="E323" s="1" t="str">
        <f>"4304021103"</f>
        <v>4304021103</v>
      </c>
      <c r="F323" s="1" t="str">
        <f>"اورينگ 034-350"</f>
        <v>اورينگ 034-350</v>
      </c>
      <c r="G323" s="1" t="str">
        <f>"عدد"</f>
        <v>عدد</v>
      </c>
      <c r="H323" s="1">
        <v>3</v>
      </c>
      <c r="I323" s="1">
        <v>46829</v>
      </c>
      <c r="J323" s="1">
        <v>0</v>
      </c>
      <c r="K323" s="1">
        <v>0</v>
      </c>
      <c r="L323" s="1">
        <v>0</v>
      </c>
      <c r="M323" s="1">
        <v>0</v>
      </c>
      <c r="O323" s="1">
        <v>97</v>
      </c>
      <c r="P323" s="4">
        <f t="shared" ref="P323:P386" si="15">I323+K323-M323</f>
        <v>46829</v>
      </c>
      <c r="Q323" s="4">
        <f t="shared" ref="Q323:Q386" si="16">H323+J323-L323</f>
        <v>3</v>
      </c>
      <c r="R323" s="4">
        <f t="shared" ref="R323:R386" si="17">P323/Q323</f>
        <v>15609.666666666666</v>
      </c>
    </row>
    <row r="324" spans="1:18">
      <c r="A324" s="1">
        <v>2</v>
      </c>
      <c r="B324" s="1" t="str">
        <f>"قطعات و لوازم يدكي"</f>
        <v>قطعات و لوازم يدكي</v>
      </c>
      <c r="C324" s="1">
        <v>101</v>
      </c>
      <c r="D324" s="1" t="str">
        <f>"انبار قطعات و لوازم يدكي اصفهان"</f>
        <v>انبار قطعات و لوازم يدكي اصفهان</v>
      </c>
      <c r="E324" s="1" t="str">
        <f>"4304021193"</f>
        <v>4304021193</v>
      </c>
      <c r="F324" s="1" t="str">
        <f>"شفت سل ر ينگ آ"</f>
        <v>شفت سل ر ينگ آ</v>
      </c>
      <c r="G324" s="1" t="str">
        <f>"عدد"</f>
        <v>عدد</v>
      </c>
      <c r="H324" s="1">
        <v>1</v>
      </c>
      <c r="I324" s="1">
        <v>3617623</v>
      </c>
      <c r="J324" s="1">
        <v>0</v>
      </c>
      <c r="K324" s="1">
        <v>0</v>
      </c>
      <c r="L324" s="1">
        <v>0</v>
      </c>
      <c r="M324" s="1">
        <v>0</v>
      </c>
      <c r="O324" s="1">
        <v>97</v>
      </c>
      <c r="P324" s="4">
        <f t="shared" si="15"/>
        <v>3617623</v>
      </c>
      <c r="Q324" s="4">
        <f t="shared" si="16"/>
        <v>1</v>
      </c>
      <c r="R324" s="4">
        <f t="shared" si="17"/>
        <v>3617623</v>
      </c>
    </row>
    <row r="325" spans="1:18">
      <c r="A325" s="1">
        <v>2</v>
      </c>
      <c r="B325" s="1" t="str">
        <f>"قطعات و لوازم يدكي"</f>
        <v>قطعات و لوازم يدكي</v>
      </c>
      <c r="C325" s="1">
        <v>101</v>
      </c>
      <c r="D325" s="1" t="str">
        <f>"انبار قطعات و لوازم يدكي اصفهان"</f>
        <v>انبار قطعات و لوازم يدكي اصفهان</v>
      </c>
      <c r="E325" s="1" t="str">
        <f>"4304021243"</f>
        <v>4304021243</v>
      </c>
      <c r="F325" s="1" t="str">
        <f>"اورينگ 025-548"</f>
        <v>اورينگ 025-548</v>
      </c>
      <c r="G325" s="1" t="str">
        <f>"عدد"</f>
        <v>عدد</v>
      </c>
      <c r="H325" s="1">
        <v>6</v>
      </c>
      <c r="I325" s="1">
        <v>1089828</v>
      </c>
      <c r="J325" s="1">
        <v>0</v>
      </c>
      <c r="K325" s="1">
        <v>0</v>
      </c>
      <c r="L325" s="1">
        <v>0</v>
      </c>
      <c r="M325" s="1">
        <v>0</v>
      </c>
      <c r="O325" s="1">
        <v>97</v>
      </c>
      <c r="P325" s="4">
        <f t="shared" si="15"/>
        <v>1089828</v>
      </c>
      <c r="Q325" s="4">
        <f t="shared" si="16"/>
        <v>6</v>
      </c>
      <c r="R325" s="4">
        <f t="shared" si="17"/>
        <v>181638</v>
      </c>
    </row>
    <row r="326" spans="1:18">
      <c r="A326" s="1">
        <v>2</v>
      </c>
      <c r="B326" s="1" t="str">
        <f>"قطعات و لوازم يدكي"</f>
        <v>قطعات و لوازم يدكي</v>
      </c>
      <c r="C326" s="1">
        <v>101</v>
      </c>
      <c r="D326" s="1" t="str">
        <f>"انبار قطعات و لوازم يدكي اصفهان"</f>
        <v>انبار قطعات و لوازم يدكي اصفهان</v>
      </c>
      <c r="E326" s="1" t="str">
        <f>"4314702453"</f>
        <v>4314702453</v>
      </c>
      <c r="F326" s="1" t="str">
        <f>"insulator"</f>
        <v>insulator</v>
      </c>
      <c r="G326" s="1" t="str">
        <f>"عدد"</f>
        <v>عدد</v>
      </c>
      <c r="H326" s="1">
        <v>22</v>
      </c>
      <c r="I326" s="1">
        <v>3534960</v>
      </c>
      <c r="J326" s="1">
        <v>0</v>
      </c>
      <c r="K326" s="1">
        <v>0</v>
      </c>
      <c r="L326" s="1">
        <v>1</v>
      </c>
      <c r="M326" s="1">
        <v>160680</v>
      </c>
      <c r="O326" s="1">
        <v>97</v>
      </c>
      <c r="P326" s="4">
        <f t="shared" si="15"/>
        <v>3374280</v>
      </c>
      <c r="Q326" s="4">
        <f t="shared" si="16"/>
        <v>21</v>
      </c>
      <c r="R326" s="4">
        <f t="shared" si="17"/>
        <v>160680</v>
      </c>
    </row>
    <row r="327" spans="1:18">
      <c r="A327" s="1">
        <v>2</v>
      </c>
      <c r="B327" s="1" t="str">
        <f>"قطعات و لوازم يدكي"</f>
        <v>قطعات و لوازم يدكي</v>
      </c>
      <c r="C327" s="1">
        <v>101</v>
      </c>
      <c r="D327" s="1" t="str">
        <f>"انبار قطعات و لوازم يدكي اصفهان"</f>
        <v>انبار قطعات و لوازم يدكي اصفهان</v>
      </c>
      <c r="E327" s="1" t="str">
        <f>"4355418552"</f>
        <v>4355418552</v>
      </c>
      <c r="F327" s="1" t="str">
        <f>"مو تور فن بلور سايز 13.19.27"</f>
        <v>مو تور فن بلور سايز 13.19.27</v>
      </c>
      <c r="G327" s="1" t="str">
        <f>"عدد"</f>
        <v>عدد</v>
      </c>
      <c r="H327" s="1">
        <v>5</v>
      </c>
      <c r="I327" s="1">
        <v>2900000</v>
      </c>
      <c r="J327" s="1">
        <v>0</v>
      </c>
      <c r="K327" s="1">
        <v>0</v>
      </c>
      <c r="L327" s="1">
        <v>0</v>
      </c>
      <c r="M327" s="1">
        <v>0</v>
      </c>
      <c r="O327" s="1">
        <v>97</v>
      </c>
      <c r="P327" s="4">
        <f t="shared" si="15"/>
        <v>2900000</v>
      </c>
      <c r="Q327" s="4">
        <f t="shared" si="16"/>
        <v>5</v>
      </c>
      <c r="R327" s="4">
        <f t="shared" si="17"/>
        <v>580000</v>
      </c>
    </row>
    <row r="328" spans="1:18">
      <c r="A328" s="1">
        <v>2</v>
      </c>
      <c r="B328" s="1" t="str">
        <f>"قطعات و لوازم يدكي"</f>
        <v>قطعات و لوازم يدكي</v>
      </c>
      <c r="C328" s="1">
        <v>101</v>
      </c>
      <c r="D328" s="1" t="str">
        <f>"انبار قطعات و لوازم يدكي اصفهان"</f>
        <v>انبار قطعات و لوازم يدكي اصفهان</v>
      </c>
      <c r="E328" s="1" t="str">
        <f>"5800146182"</f>
        <v>5800146182</v>
      </c>
      <c r="F328" s="1" t="str">
        <f>"بال بيرينگ  6318"</f>
        <v>بال بيرينگ  6318</v>
      </c>
      <c r="G328" s="1" t="str">
        <f>"عدد"</f>
        <v>عدد</v>
      </c>
      <c r="H328" s="1">
        <v>17</v>
      </c>
      <c r="I328" s="1">
        <v>13263400</v>
      </c>
      <c r="J328" s="1">
        <v>0</v>
      </c>
      <c r="K328" s="1">
        <v>0</v>
      </c>
      <c r="L328" s="1">
        <v>0</v>
      </c>
      <c r="M328" s="1">
        <v>0</v>
      </c>
      <c r="O328" s="1">
        <v>97</v>
      </c>
      <c r="P328" s="4">
        <f t="shared" si="15"/>
        <v>13263400</v>
      </c>
      <c r="Q328" s="4">
        <f t="shared" si="16"/>
        <v>17</v>
      </c>
      <c r="R328" s="4">
        <f t="shared" si="17"/>
        <v>780200</v>
      </c>
    </row>
    <row r="329" spans="1:18">
      <c r="A329" s="1">
        <v>2</v>
      </c>
      <c r="B329" s="1" t="str">
        <f>"قطعات و لوازم يدكي"</f>
        <v>قطعات و لوازم يدكي</v>
      </c>
      <c r="C329" s="1">
        <v>101</v>
      </c>
      <c r="D329" s="1" t="str">
        <f>"انبار قطعات و لوازم يدكي اصفهان"</f>
        <v>انبار قطعات و لوازم يدكي اصفهان</v>
      </c>
      <c r="E329" s="1" t="str">
        <f>"5800168102"</f>
        <v>5800168102</v>
      </c>
      <c r="F329" s="1" t="str">
        <f>"بال بيرينگ  6310zz"</f>
        <v>بال بيرينگ  6310zz</v>
      </c>
      <c r="G329" s="1" t="str">
        <f>"عدد"</f>
        <v>عدد</v>
      </c>
      <c r="H329" s="1">
        <v>19</v>
      </c>
      <c r="I329" s="1">
        <v>3135000</v>
      </c>
      <c r="J329" s="1">
        <v>0</v>
      </c>
      <c r="K329" s="1">
        <v>0</v>
      </c>
      <c r="L329" s="1">
        <v>0</v>
      </c>
      <c r="M329" s="1">
        <v>0</v>
      </c>
      <c r="O329" s="1">
        <v>97</v>
      </c>
      <c r="P329" s="4">
        <f t="shared" si="15"/>
        <v>3135000</v>
      </c>
      <c r="Q329" s="4">
        <f t="shared" si="16"/>
        <v>19</v>
      </c>
      <c r="R329" s="4">
        <f t="shared" si="17"/>
        <v>165000</v>
      </c>
    </row>
    <row r="330" spans="1:18">
      <c r="A330" s="1">
        <v>2</v>
      </c>
      <c r="B330" s="1" t="str">
        <f>"قطعات و لوازم يدكي"</f>
        <v>قطعات و لوازم يدكي</v>
      </c>
      <c r="C330" s="1">
        <v>101</v>
      </c>
      <c r="D330" s="1" t="str">
        <f>"انبار قطعات و لوازم يدكي اصفهان"</f>
        <v>انبار قطعات و لوازم يدكي اصفهان</v>
      </c>
      <c r="E330" s="1" t="str">
        <f>"5806204032"</f>
        <v>5806204032</v>
      </c>
      <c r="F330" s="1" t="str">
        <f>"بال بيرينگ NU2203E"</f>
        <v>بال بيرينگ NU2203E</v>
      </c>
      <c r="G330" s="1" t="str">
        <f>"عدد"</f>
        <v>عدد</v>
      </c>
      <c r="H330" s="1">
        <v>4</v>
      </c>
      <c r="I330" s="1">
        <v>3920000</v>
      </c>
      <c r="J330" s="1">
        <v>0</v>
      </c>
      <c r="K330" s="1">
        <v>0</v>
      </c>
      <c r="L330" s="1">
        <v>0</v>
      </c>
      <c r="M330" s="1">
        <v>0</v>
      </c>
      <c r="O330" s="1">
        <v>97</v>
      </c>
      <c r="P330" s="4">
        <f t="shared" si="15"/>
        <v>3920000</v>
      </c>
      <c r="Q330" s="4">
        <f t="shared" si="16"/>
        <v>4</v>
      </c>
      <c r="R330" s="4">
        <f t="shared" si="17"/>
        <v>980000</v>
      </c>
    </row>
    <row r="331" spans="1:18">
      <c r="A331" s="1">
        <v>2</v>
      </c>
      <c r="B331" s="1" t="str">
        <f>"قطعات و لوازم يدكي"</f>
        <v>قطعات و لوازم يدكي</v>
      </c>
      <c r="C331" s="1">
        <v>101</v>
      </c>
      <c r="D331" s="1" t="str">
        <f>"انبار قطعات و لوازم يدكي اصفهان"</f>
        <v>انبار قطعات و لوازم يدكي اصفهان</v>
      </c>
      <c r="E331" s="1" t="str">
        <f>"5870277142"</f>
        <v>5870277142</v>
      </c>
      <c r="F331" s="1" t="str">
        <f>"کارتريج سفيد استوني"</f>
        <v>کارتريج سفيد استوني</v>
      </c>
      <c r="G331" s="1" t="str">
        <f>"عدد"</f>
        <v>عدد</v>
      </c>
      <c r="H331" s="1">
        <v>142</v>
      </c>
      <c r="I331" s="1">
        <v>517656012</v>
      </c>
      <c r="J331" s="1">
        <v>250</v>
      </c>
      <c r="K331" s="1">
        <v>1487500000</v>
      </c>
      <c r="L331" s="1">
        <v>330</v>
      </c>
      <c r="M331" s="1">
        <v>1642800188</v>
      </c>
      <c r="O331" s="1">
        <v>97</v>
      </c>
      <c r="P331" s="4">
        <f t="shared" si="15"/>
        <v>362355824</v>
      </c>
      <c r="Q331" s="4">
        <f t="shared" si="16"/>
        <v>62</v>
      </c>
      <c r="R331" s="4">
        <f t="shared" si="17"/>
        <v>5844448.7741935486</v>
      </c>
    </row>
    <row r="332" spans="1:18">
      <c r="A332" s="1">
        <v>2</v>
      </c>
      <c r="B332" s="1" t="str">
        <f>"قطعات و لوازم يدكي"</f>
        <v>قطعات و لوازم يدكي</v>
      </c>
      <c r="C332" s="1">
        <v>101</v>
      </c>
      <c r="D332" s="1" t="str">
        <f>"انبار قطعات و لوازم يدكي اصفهان"</f>
        <v>انبار قطعات و لوازم يدكي اصفهان</v>
      </c>
      <c r="E332" s="1" t="str">
        <f>"5870277172"</f>
        <v>5870277172</v>
      </c>
      <c r="F332" s="1" t="str">
        <f>"پين استوانه اي شماره 3"</f>
        <v>پين استوانه اي شماره 3</v>
      </c>
      <c r="G332" s="1" t="str">
        <f>"عدد"</f>
        <v>عدد</v>
      </c>
      <c r="H332" s="1">
        <v>20</v>
      </c>
      <c r="I332" s="1">
        <v>840000</v>
      </c>
      <c r="J332" s="1">
        <v>0</v>
      </c>
      <c r="K332" s="1">
        <v>0</v>
      </c>
      <c r="L332" s="1">
        <v>0</v>
      </c>
      <c r="M332" s="1">
        <v>0</v>
      </c>
      <c r="O332" s="1">
        <v>97</v>
      </c>
      <c r="P332" s="4">
        <f t="shared" si="15"/>
        <v>840000</v>
      </c>
      <c r="Q332" s="4">
        <f t="shared" si="16"/>
        <v>20</v>
      </c>
      <c r="R332" s="4">
        <f t="shared" si="17"/>
        <v>42000</v>
      </c>
    </row>
    <row r="333" spans="1:18" hidden="1">
      <c r="A333" s="1">
        <v>1</v>
      </c>
      <c r="B333" s="1" t="str">
        <f>"انواع محصول قير"</f>
        <v>انواع محصول قير</v>
      </c>
      <c r="C333" s="1">
        <v>100</v>
      </c>
      <c r="D333" s="1" t="str">
        <f>"مخازن قير اصفهان"</f>
        <v>مخازن قير اصفهان</v>
      </c>
      <c r="E333" s="1" t="str">
        <f>"0000000088"</f>
        <v>0000000088</v>
      </c>
      <c r="F333" s="1" t="str">
        <f>"قير  PG58-22"</f>
        <v>قير  PG58-22</v>
      </c>
      <c r="G333" s="1" t="str">
        <f>"كيلوگرم"</f>
        <v>كيلوگرم</v>
      </c>
      <c r="H333" s="1">
        <v>0</v>
      </c>
      <c r="I333" s="1">
        <v>0</v>
      </c>
      <c r="J333" s="1">
        <v>15926680</v>
      </c>
      <c r="K333" s="1">
        <v>289205518734</v>
      </c>
      <c r="L333" s="1">
        <v>15926680</v>
      </c>
      <c r="M333" s="1">
        <v>289205518734</v>
      </c>
      <c r="O333" s="1">
        <v>97</v>
      </c>
      <c r="P333" s="1">
        <f t="shared" si="15"/>
        <v>0</v>
      </c>
      <c r="Q333" s="1">
        <f t="shared" si="16"/>
        <v>0</v>
      </c>
      <c r="R333" s="1" t="e">
        <f t="shared" si="17"/>
        <v>#DIV/0!</v>
      </c>
    </row>
    <row r="334" spans="1:18">
      <c r="A334" s="1">
        <v>1</v>
      </c>
      <c r="B334" s="1" t="str">
        <f>"انواع محصول قير"</f>
        <v>انواع محصول قير</v>
      </c>
      <c r="C334" s="1">
        <v>100</v>
      </c>
      <c r="D334" s="1" t="str">
        <f>"مخازن قير اصفهان"</f>
        <v>مخازن قير اصفهان</v>
      </c>
      <c r="E334" s="1" t="str">
        <f>"0000000101"</f>
        <v>0000000101</v>
      </c>
      <c r="F334" s="1" t="str">
        <f>"قير VG30 - فله"</f>
        <v>قير VG30 - فله</v>
      </c>
      <c r="G334" s="1" t="str">
        <f>"كيلوگرم"</f>
        <v>كيلوگرم</v>
      </c>
      <c r="H334" s="1">
        <v>0</v>
      </c>
      <c r="I334" s="1">
        <v>0</v>
      </c>
      <c r="J334" s="1">
        <v>4772999</v>
      </c>
      <c r="K334" s="1">
        <v>86670772045</v>
      </c>
      <c r="L334" s="1">
        <v>1594920</v>
      </c>
      <c r="M334" s="1">
        <v>28961444943</v>
      </c>
      <c r="O334" s="1">
        <v>97</v>
      </c>
      <c r="P334" s="4">
        <f t="shared" si="15"/>
        <v>57709327102</v>
      </c>
      <c r="Q334" s="4">
        <f t="shared" si="16"/>
        <v>3178079</v>
      </c>
      <c r="R334" s="4">
        <f t="shared" si="17"/>
        <v>18158.556505989938</v>
      </c>
    </row>
    <row r="335" spans="1:18">
      <c r="A335" s="1">
        <v>1</v>
      </c>
      <c r="B335" s="1" t="str">
        <f>"انواع محصول قير"</f>
        <v>انواع محصول قير</v>
      </c>
      <c r="C335" s="1">
        <v>100</v>
      </c>
      <c r="D335" s="1" t="str">
        <f>"مخازن قير اصفهان"</f>
        <v>مخازن قير اصفهان</v>
      </c>
      <c r="E335" s="1" t="str">
        <f>"0000000110"</f>
        <v>0000000110</v>
      </c>
      <c r="F335" s="1" t="str">
        <f>"قير VG10 - بشكه 180 كيلوگرمي"</f>
        <v>قير VG10 - بشكه 180 كيلوگرمي</v>
      </c>
      <c r="G335" s="1" t="str">
        <f>"كيلوگرم"</f>
        <v>كيلوگرم</v>
      </c>
      <c r="H335" s="1">
        <v>4094</v>
      </c>
      <c r="I335" s="1">
        <v>43558880</v>
      </c>
      <c r="J335" s="1">
        <v>0</v>
      </c>
      <c r="K335" s="1">
        <v>0</v>
      </c>
      <c r="L335" s="1">
        <v>0</v>
      </c>
      <c r="M335" s="1">
        <v>0</v>
      </c>
      <c r="O335" s="1">
        <v>97</v>
      </c>
      <c r="P335" s="4">
        <f t="shared" si="15"/>
        <v>43558880</v>
      </c>
      <c r="Q335" s="4">
        <f t="shared" si="16"/>
        <v>4094</v>
      </c>
      <c r="R335" s="4">
        <f t="shared" si="17"/>
        <v>10639.687347337567</v>
      </c>
    </row>
    <row r="336" spans="1:18">
      <c r="A336" s="1">
        <v>1</v>
      </c>
      <c r="B336" s="1" t="str">
        <f>"انواع محصول قير"</f>
        <v>انواع محصول قير</v>
      </c>
      <c r="C336" s="1">
        <v>100</v>
      </c>
      <c r="D336" s="1" t="str">
        <f>"مخازن قير اصفهان"</f>
        <v>مخازن قير اصفهان</v>
      </c>
      <c r="E336" s="1" t="str">
        <f>"0000000114"</f>
        <v>0000000114</v>
      </c>
      <c r="F336" s="1" t="str">
        <f>"قير 60/70 - بشكه 230 كيلوگرمي"</f>
        <v>قير 60/70 - بشكه 230 كيلوگرمي</v>
      </c>
      <c r="G336" s="1" t="str">
        <f>"كيلوگرم"</f>
        <v>كيلوگرم</v>
      </c>
      <c r="H336" s="1">
        <v>2165117</v>
      </c>
      <c r="I336" s="1">
        <v>22879709771</v>
      </c>
      <c r="J336" s="1">
        <v>3787190</v>
      </c>
      <c r="K336" s="1">
        <v>79764040303</v>
      </c>
      <c r="L336" s="1">
        <v>5939128</v>
      </c>
      <c r="M336" s="1">
        <v>102366197028</v>
      </c>
      <c r="O336" s="1">
        <v>97</v>
      </c>
      <c r="P336" s="4">
        <f t="shared" si="15"/>
        <v>277553046</v>
      </c>
      <c r="Q336" s="4">
        <f t="shared" si="16"/>
        <v>13179</v>
      </c>
      <c r="R336" s="4">
        <f t="shared" si="17"/>
        <v>21060.250853630776</v>
      </c>
    </row>
    <row r="337" spans="1:18">
      <c r="A337" s="1">
        <v>2</v>
      </c>
      <c r="B337" s="1" t="str">
        <f>"قطعات و لوازم يدكي"</f>
        <v>قطعات و لوازم يدكي</v>
      </c>
      <c r="C337" s="1">
        <v>101</v>
      </c>
      <c r="D337" s="1" t="str">
        <f>"انبار قطعات و لوازم يدكي اصفهان"</f>
        <v>انبار قطعات و لوازم يدكي اصفهان</v>
      </c>
      <c r="E337" s="1" t="str">
        <f>"2201020023"</f>
        <v>2201020023</v>
      </c>
      <c r="F337" s="1" t="str">
        <f>"SEAL AIR CV2 S1"</f>
        <v>SEAL AIR CV2 S1</v>
      </c>
      <c r="G337" s="1" t="str">
        <f>"عدد"</f>
        <v>عدد</v>
      </c>
      <c r="H337" s="1">
        <v>4</v>
      </c>
      <c r="I337" s="1">
        <v>491356800</v>
      </c>
      <c r="J337" s="1">
        <v>0</v>
      </c>
      <c r="K337" s="1">
        <v>0</v>
      </c>
      <c r="L337" s="1">
        <v>0</v>
      </c>
      <c r="M337" s="1">
        <v>0</v>
      </c>
      <c r="O337" s="1">
        <v>97</v>
      </c>
      <c r="P337" s="4">
        <f t="shared" si="15"/>
        <v>491356800</v>
      </c>
      <c r="Q337" s="4">
        <f t="shared" si="16"/>
        <v>4</v>
      </c>
      <c r="R337" s="4">
        <f t="shared" si="17"/>
        <v>122839200</v>
      </c>
    </row>
    <row r="338" spans="1:18">
      <c r="A338" s="1">
        <v>2</v>
      </c>
      <c r="B338" s="1" t="str">
        <f>"قطعات و لوازم يدكي"</f>
        <v>قطعات و لوازم يدكي</v>
      </c>
      <c r="C338" s="1">
        <v>101</v>
      </c>
      <c r="D338" s="1" t="str">
        <f>"انبار قطعات و لوازم يدكي اصفهان"</f>
        <v>انبار قطعات و لوازم يدكي اصفهان</v>
      </c>
      <c r="E338" s="1" t="str">
        <f>"2201070023"</f>
        <v>2201070023</v>
      </c>
      <c r="F338" s="1" t="str">
        <f>"PRESSURE  TRNSD. AIR"</f>
        <v>PRESSURE  TRNSD. AIR</v>
      </c>
      <c r="G338" s="1" t="str">
        <f>"عدد"</f>
        <v>عدد</v>
      </c>
      <c r="H338" s="1">
        <v>7</v>
      </c>
      <c r="I338" s="1">
        <v>62347320</v>
      </c>
      <c r="J338" s="1">
        <v>0</v>
      </c>
      <c r="K338" s="1">
        <v>0</v>
      </c>
      <c r="L338" s="1">
        <v>0</v>
      </c>
      <c r="M338" s="1">
        <v>0</v>
      </c>
      <c r="O338" s="1">
        <v>97</v>
      </c>
      <c r="P338" s="4">
        <f t="shared" si="15"/>
        <v>62347320</v>
      </c>
      <c r="Q338" s="4">
        <f t="shared" si="16"/>
        <v>7</v>
      </c>
      <c r="R338" s="4">
        <f t="shared" si="17"/>
        <v>8906760</v>
      </c>
    </row>
    <row r="339" spans="1:18">
      <c r="A339" s="1">
        <v>2</v>
      </c>
      <c r="B339" s="1" t="str">
        <f>"قطعات و لوازم يدكي"</f>
        <v>قطعات و لوازم يدكي</v>
      </c>
      <c r="C339" s="1">
        <v>101</v>
      </c>
      <c r="D339" s="1" t="str">
        <f>"انبار قطعات و لوازم يدكي اصفهان"</f>
        <v>انبار قطعات و لوازم يدكي اصفهان</v>
      </c>
      <c r="E339" s="1" t="str">
        <f>"2201110033"</f>
        <v>2201110033</v>
      </c>
      <c r="F339" s="1" t="str">
        <f>"اورينگ سيليکون کمپرسور برونويد بشکه سازي"</f>
        <v>اورينگ سيليکون کمپرسور برونويد بشکه سازي</v>
      </c>
      <c r="G339" s="1" t="str">
        <f>"عدد"</f>
        <v>عدد</v>
      </c>
      <c r="H339" s="1">
        <v>10</v>
      </c>
      <c r="I339" s="1">
        <v>1000000</v>
      </c>
      <c r="J339" s="1">
        <v>0</v>
      </c>
      <c r="K339" s="1">
        <v>0</v>
      </c>
      <c r="L339" s="1">
        <v>0</v>
      </c>
      <c r="M339" s="1">
        <v>0</v>
      </c>
      <c r="O339" s="1">
        <v>97</v>
      </c>
      <c r="P339" s="4">
        <f t="shared" si="15"/>
        <v>1000000</v>
      </c>
      <c r="Q339" s="4">
        <f t="shared" si="16"/>
        <v>10</v>
      </c>
      <c r="R339" s="4">
        <f t="shared" si="17"/>
        <v>100000</v>
      </c>
    </row>
    <row r="340" spans="1:18">
      <c r="A340" s="1">
        <v>2</v>
      </c>
      <c r="B340" s="1" t="str">
        <f>"قطعات و لوازم يدكي"</f>
        <v>قطعات و لوازم يدكي</v>
      </c>
      <c r="C340" s="1">
        <v>101</v>
      </c>
      <c r="D340" s="1" t="str">
        <f>"انبار قطعات و لوازم يدكي اصفهان"</f>
        <v>انبار قطعات و لوازم يدكي اصفهان</v>
      </c>
      <c r="E340" s="1" t="str">
        <f>"2202030023"</f>
        <v>2202030023</v>
      </c>
      <c r="F340" s="1" t="str">
        <f>"Filter inlt Element 2nd-CST71002-02C-1002A/B"</f>
        <v>Filter inlt Element 2nd-CST71002-02C-1002A/B</v>
      </c>
      <c r="G340" s="1" t="str">
        <f>"عدد"</f>
        <v>عدد</v>
      </c>
      <c r="H340" s="1">
        <v>10</v>
      </c>
      <c r="I340" s="1">
        <v>137550000</v>
      </c>
      <c r="J340" s="1">
        <v>0</v>
      </c>
      <c r="K340" s="1">
        <v>0</v>
      </c>
      <c r="L340" s="1">
        <v>0</v>
      </c>
      <c r="M340" s="1">
        <v>0</v>
      </c>
      <c r="O340" s="1">
        <v>97</v>
      </c>
      <c r="P340" s="4">
        <f t="shared" si="15"/>
        <v>137550000</v>
      </c>
      <c r="Q340" s="4">
        <f t="shared" si="16"/>
        <v>10</v>
      </c>
      <c r="R340" s="4">
        <f t="shared" si="17"/>
        <v>13755000</v>
      </c>
    </row>
    <row r="341" spans="1:18">
      <c r="A341" s="1">
        <v>2</v>
      </c>
      <c r="B341" s="1" t="str">
        <f>"قطعات و لوازم يدكي"</f>
        <v>قطعات و لوازم يدكي</v>
      </c>
      <c r="C341" s="1">
        <v>101</v>
      </c>
      <c r="D341" s="1" t="str">
        <f>"انبار قطعات و لوازم يدكي اصفهان"</f>
        <v>انبار قطعات و لوازم يدكي اصفهان</v>
      </c>
      <c r="E341" s="1" t="str">
        <f>"2202030063"</f>
        <v>2202030063</v>
      </c>
      <c r="F341" s="1" t="str">
        <f>"Oil Mist Filter. Filter Element C-1002A/B"</f>
        <v>Oil Mist Filter. Filter Element C-1002A/B</v>
      </c>
      <c r="G341" s="1" t="str">
        <f>"عدد"</f>
        <v>عدد</v>
      </c>
      <c r="H341" s="1">
        <v>4</v>
      </c>
      <c r="I341" s="1">
        <v>63000000</v>
      </c>
      <c r="J341" s="1">
        <v>1</v>
      </c>
      <c r="K341" s="1">
        <v>15750000</v>
      </c>
      <c r="L341" s="1">
        <v>2</v>
      </c>
      <c r="M341" s="1">
        <v>31500000</v>
      </c>
      <c r="O341" s="1">
        <v>97</v>
      </c>
      <c r="P341" s="4">
        <f t="shared" si="15"/>
        <v>47250000</v>
      </c>
      <c r="Q341" s="4">
        <f t="shared" si="16"/>
        <v>3</v>
      </c>
      <c r="R341" s="4">
        <f t="shared" si="17"/>
        <v>15750000</v>
      </c>
    </row>
    <row r="342" spans="1:18" hidden="1">
      <c r="A342" s="1">
        <v>2</v>
      </c>
      <c r="B342" s="1" t="str">
        <f>"قطعات و لوازم يدكي"</f>
        <v>قطعات و لوازم يدكي</v>
      </c>
      <c r="C342" s="1">
        <v>101</v>
      </c>
      <c r="D342" s="1" t="str">
        <f>"انبار قطعات و لوازم يدكي اصفهان"</f>
        <v>انبار قطعات و لوازم يدكي اصفهان</v>
      </c>
      <c r="E342" s="1" t="str">
        <f>"2202875313"</f>
        <v>2202875313</v>
      </c>
      <c r="F342" s="1" t="str">
        <f>"سرويس كيت    OL"</f>
        <v>سرويس كيت    OL</v>
      </c>
      <c r="G342" s="1" t="str">
        <f>"عدد"</f>
        <v>عدد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O342" s="1">
        <v>97</v>
      </c>
      <c r="P342" s="1">
        <f t="shared" si="15"/>
        <v>0</v>
      </c>
      <c r="Q342" s="1">
        <f t="shared" si="16"/>
        <v>0</v>
      </c>
      <c r="R342" s="1" t="e">
        <f t="shared" si="17"/>
        <v>#DIV/0!</v>
      </c>
    </row>
    <row r="343" spans="1:18" hidden="1">
      <c r="A343" s="1">
        <v>2</v>
      </c>
      <c r="B343" s="1" t="str">
        <f>"قطعات و لوازم يدكي"</f>
        <v>قطعات و لوازم يدكي</v>
      </c>
      <c r="C343" s="1">
        <v>101</v>
      </c>
      <c r="D343" s="1" t="str">
        <f>"انبار قطعات و لوازم يدكي اصفهان"</f>
        <v>انبار قطعات و لوازم يدكي اصفهان</v>
      </c>
      <c r="E343" s="1" t="str">
        <f>"2202875323"</f>
        <v>2202875323</v>
      </c>
      <c r="F343" s="1" t="str">
        <f>"گرويل 0770-2102"</f>
        <v>گرويل 0770-2102</v>
      </c>
      <c r="G343" s="1" t="str">
        <f>"عدد"</f>
        <v>عدد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O343" s="1">
        <v>97</v>
      </c>
      <c r="P343" s="1">
        <f t="shared" si="15"/>
        <v>0</v>
      </c>
      <c r="Q343" s="1">
        <f t="shared" si="16"/>
        <v>0</v>
      </c>
      <c r="R343" s="1" t="e">
        <f t="shared" si="17"/>
        <v>#DIV/0!</v>
      </c>
    </row>
    <row r="344" spans="1:18" hidden="1">
      <c r="A344" s="1">
        <v>2</v>
      </c>
      <c r="B344" s="1" t="str">
        <f>"قطعات و لوازم يدكي"</f>
        <v>قطعات و لوازم يدكي</v>
      </c>
      <c r="C344" s="1">
        <v>101</v>
      </c>
      <c r="D344" s="1" t="str">
        <f>"انبار قطعات و لوازم يدكي اصفهان"</f>
        <v>انبار قطعات و لوازم يدكي اصفهان</v>
      </c>
      <c r="E344" s="1" t="str">
        <f>"2202875413"</f>
        <v>2202875413</v>
      </c>
      <c r="F344" s="1" t="str">
        <f>"سرويس كيت اويل پمپ."</f>
        <v>سرويس كيت اويل پمپ.</v>
      </c>
      <c r="G344" s="1" t="str">
        <f>"عدد"</f>
        <v>عدد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O344" s="1">
        <v>97</v>
      </c>
      <c r="P344" s="1">
        <f t="shared" si="15"/>
        <v>0</v>
      </c>
      <c r="Q344" s="1">
        <f t="shared" si="16"/>
        <v>0</v>
      </c>
      <c r="R344" s="1" t="e">
        <f t="shared" si="17"/>
        <v>#DIV/0!</v>
      </c>
    </row>
    <row r="345" spans="1:18" hidden="1">
      <c r="A345" s="1">
        <v>2</v>
      </c>
      <c r="B345" s="1" t="str">
        <f>"قطعات و لوازم يدكي"</f>
        <v>قطعات و لوازم يدكي</v>
      </c>
      <c r="C345" s="1">
        <v>101</v>
      </c>
      <c r="D345" s="1" t="str">
        <f>"انبار قطعات و لوازم يدكي اصفهان"</f>
        <v>انبار قطعات و لوازم يدكي اصفهان</v>
      </c>
      <c r="E345" s="1" t="str">
        <f>"2202877373"</f>
        <v>2202877373</v>
      </c>
      <c r="F345" s="1" t="str">
        <f>"سل رينگ ميسكلانوس"</f>
        <v>سل رينگ ميسكلانوس</v>
      </c>
      <c r="G345" s="1" t="str">
        <f>"عدد"</f>
        <v>عدد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O345" s="1">
        <v>97</v>
      </c>
      <c r="P345" s="1">
        <f t="shared" si="15"/>
        <v>0</v>
      </c>
      <c r="Q345" s="1">
        <f t="shared" si="16"/>
        <v>0</v>
      </c>
      <c r="R345" s="1" t="e">
        <f t="shared" si="17"/>
        <v>#DIV/0!</v>
      </c>
    </row>
    <row r="346" spans="1:18" hidden="1">
      <c r="A346" s="1">
        <v>2</v>
      </c>
      <c r="B346" s="1" t="str">
        <f>"قطعات و لوازم يدكي"</f>
        <v>قطعات و لوازم يدكي</v>
      </c>
      <c r="C346" s="1">
        <v>101</v>
      </c>
      <c r="D346" s="1" t="str">
        <f>"انبار قطعات و لوازم يدكي اصفهان"</f>
        <v>انبار قطعات و لوازم يدكي اصفهان</v>
      </c>
      <c r="E346" s="1" t="str">
        <f>"2202879053"</f>
        <v>2202879053</v>
      </c>
      <c r="F346" s="1" t="str">
        <f>"اورينگ 2103-0663"</f>
        <v>اورينگ 2103-0663</v>
      </c>
      <c r="G346" s="1" t="str">
        <f>"عدد"</f>
        <v>عدد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O346" s="1">
        <v>97</v>
      </c>
      <c r="P346" s="1">
        <f t="shared" si="15"/>
        <v>0</v>
      </c>
      <c r="Q346" s="1">
        <f t="shared" si="16"/>
        <v>0</v>
      </c>
      <c r="R346" s="1" t="e">
        <f t="shared" si="17"/>
        <v>#DIV/0!</v>
      </c>
    </row>
    <row r="347" spans="1:18" hidden="1">
      <c r="A347" s="1">
        <v>2</v>
      </c>
      <c r="B347" s="1" t="str">
        <f>"قطعات و لوازم يدكي"</f>
        <v>قطعات و لوازم يدكي</v>
      </c>
      <c r="C347" s="1">
        <v>101</v>
      </c>
      <c r="D347" s="1" t="str">
        <f>"انبار قطعات و لوازم يدكي اصفهان"</f>
        <v>انبار قطعات و لوازم يدكي اصفهان</v>
      </c>
      <c r="E347" s="1" t="str">
        <f>"2202879123"</f>
        <v>2202879123</v>
      </c>
      <c r="F347" s="1" t="str">
        <f>"كاسكت 6180-1613"</f>
        <v>كاسكت 6180-1613</v>
      </c>
      <c r="G347" s="1" t="str">
        <f>"عدد"</f>
        <v>عدد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O347" s="1">
        <v>97</v>
      </c>
      <c r="P347" s="1">
        <f t="shared" si="15"/>
        <v>0</v>
      </c>
      <c r="Q347" s="1">
        <f t="shared" si="16"/>
        <v>0</v>
      </c>
      <c r="R347" s="1" t="e">
        <f t="shared" si="17"/>
        <v>#DIV/0!</v>
      </c>
    </row>
    <row r="348" spans="1:18" hidden="1">
      <c r="A348" s="1">
        <v>2</v>
      </c>
      <c r="B348" s="1" t="str">
        <f>"قطعات و لوازم يدكي"</f>
        <v>قطعات و لوازم يدكي</v>
      </c>
      <c r="C348" s="1">
        <v>101</v>
      </c>
      <c r="D348" s="1" t="str">
        <f>"انبار قطعات و لوازم يدكي اصفهان"</f>
        <v>انبار قطعات و لوازم يدكي اصفهان</v>
      </c>
      <c r="E348" s="1" t="str">
        <f>"2202879303"</f>
        <v>2202879303</v>
      </c>
      <c r="F348" s="1" t="str">
        <f>"شافت 9195-2252"</f>
        <v>شافت 9195-2252</v>
      </c>
      <c r="G348" s="1" t="str">
        <f>"عدد"</f>
        <v>عدد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O348" s="1">
        <v>97</v>
      </c>
      <c r="P348" s="1">
        <f t="shared" si="15"/>
        <v>0</v>
      </c>
      <c r="Q348" s="1">
        <f t="shared" si="16"/>
        <v>0</v>
      </c>
      <c r="R348" s="1" t="e">
        <f t="shared" si="17"/>
        <v>#DIV/0!</v>
      </c>
    </row>
    <row r="349" spans="1:18" hidden="1">
      <c r="A349" s="1">
        <v>2</v>
      </c>
      <c r="B349" s="1" t="str">
        <f>"قطعات و لوازم يدكي"</f>
        <v>قطعات و لوازم يدكي</v>
      </c>
      <c r="C349" s="1">
        <v>101</v>
      </c>
      <c r="D349" s="1" t="str">
        <f>"انبار قطعات و لوازم يدكي اصفهان"</f>
        <v>انبار قطعات و لوازم يدكي اصفهان</v>
      </c>
      <c r="E349" s="1" t="str">
        <f>"2202899123"</f>
        <v>2202899123</v>
      </c>
      <c r="F349" s="1" t="str">
        <f>"تمپ سوئيچ(temp switch)"</f>
        <v>تمپ سوئيچ(temp switch)</v>
      </c>
      <c r="G349" s="1" t="str">
        <f>"عدد"</f>
        <v>عدد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O349" s="1">
        <v>97</v>
      </c>
      <c r="P349" s="1">
        <f t="shared" si="15"/>
        <v>0</v>
      </c>
      <c r="Q349" s="1">
        <f t="shared" si="16"/>
        <v>0</v>
      </c>
      <c r="R349" s="1" t="e">
        <f t="shared" si="17"/>
        <v>#DIV/0!</v>
      </c>
    </row>
    <row r="350" spans="1:18">
      <c r="A350" s="1">
        <v>2</v>
      </c>
      <c r="B350" s="1" t="str">
        <f>"قطعات و لوازم يدكي"</f>
        <v>قطعات و لوازم يدكي</v>
      </c>
      <c r="C350" s="1">
        <v>101</v>
      </c>
      <c r="D350" s="1" t="str">
        <f>"انبار قطعات و لوازم يدكي اصفهان"</f>
        <v>انبار قطعات و لوازم يدكي اصفهان</v>
      </c>
      <c r="E350" s="1" t="str">
        <f>"2301021103"</f>
        <v>2301021103</v>
      </c>
      <c r="F350" s="1" t="str">
        <f>"cst flowmeter-complete meter-promag 50p"</f>
        <v>cst flowmeter-complete meter-promag 50p</v>
      </c>
      <c r="G350" s="1" t="str">
        <f>"عدد"</f>
        <v>عدد</v>
      </c>
      <c r="H350" s="1">
        <v>1</v>
      </c>
      <c r="I350" s="1">
        <v>133136774</v>
      </c>
      <c r="J350" s="1">
        <v>0</v>
      </c>
      <c r="K350" s="1">
        <v>0</v>
      </c>
      <c r="L350" s="1">
        <v>0</v>
      </c>
      <c r="M350" s="1">
        <v>0</v>
      </c>
      <c r="O350" s="1">
        <v>97</v>
      </c>
      <c r="P350" s="4">
        <f t="shared" si="15"/>
        <v>133136774</v>
      </c>
      <c r="Q350" s="4">
        <f t="shared" si="16"/>
        <v>1</v>
      </c>
      <c r="R350" s="4">
        <f t="shared" si="17"/>
        <v>133136774</v>
      </c>
    </row>
    <row r="351" spans="1:18">
      <c r="A351" s="1">
        <v>2</v>
      </c>
      <c r="B351" s="1" t="str">
        <f>"قطعات و لوازم يدكي"</f>
        <v>قطعات و لوازم يدكي</v>
      </c>
      <c r="C351" s="1">
        <v>101</v>
      </c>
      <c r="D351" s="1" t="str">
        <f>"انبار قطعات و لوازم يدكي اصفهان"</f>
        <v>انبار قطعات و لوازم يدكي اصفهان</v>
      </c>
      <c r="E351" s="1" t="str">
        <f>"2301021123"</f>
        <v>2301021123</v>
      </c>
      <c r="F351" s="1" t="str">
        <f>"acid flowmeter-complete meter-"</f>
        <v>acid flowmeter-complete meter-</v>
      </c>
      <c r="G351" s="1" t="str">
        <f>"عدد"</f>
        <v>عدد</v>
      </c>
      <c r="H351" s="1">
        <v>1</v>
      </c>
      <c r="I351" s="1">
        <v>29272413</v>
      </c>
      <c r="J351" s="1">
        <v>0</v>
      </c>
      <c r="K351" s="1">
        <v>0</v>
      </c>
      <c r="L351" s="1">
        <v>0</v>
      </c>
      <c r="M351" s="1">
        <v>0</v>
      </c>
      <c r="O351" s="1">
        <v>97</v>
      </c>
      <c r="P351" s="4">
        <f t="shared" si="15"/>
        <v>29272413</v>
      </c>
      <c r="Q351" s="4">
        <f t="shared" si="16"/>
        <v>1</v>
      </c>
      <c r="R351" s="4">
        <f t="shared" si="17"/>
        <v>29272413</v>
      </c>
    </row>
    <row r="352" spans="1:18">
      <c r="A352" s="1">
        <v>2</v>
      </c>
      <c r="B352" s="1" t="str">
        <f>"قطعات و لوازم يدكي"</f>
        <v>قطعات و لوازم يدكي</v>
      </c>
      <c r="C352" s="1">
        <v>101</v>
      </c>
      <c r="D352" s="1" t="str">
        <f>"انبار قطعات و لوازم يدكي اصفهان"</f>
        <v>انبار قطعات و لوازم يدكي اصفهان</v>
      </c>
      <c r="E352" s="1" t="str">
        <f>"2441490803"</f>
        <v>2441490803</v>
      </c>
      <c r="F352" s="1" t="str">
        <f>"گرد اند شفت"</f>
        <v>گرد اند شفت</v>
      </c>
      <c r="G352" s="1" t="str">
        <f>"عدد"</f>
        <v>عدد</v>
      </c>
      <c r="H352" s="1">
        <v>1</v>
      </c>
      <c r="I352" s="1">
        <v>1367422</v>
      </c>
      <c r="J352" s="1">
        <v>0</v>
      </c>
      <c r="K352" s="1">
        <v>0</v>
      </c>
      <c r="L352" s="1">
        <v>0</v>
      </c>
      <c r="M352" s="1">
        <v>0</v>
      </c>
      <c r="O352" s="1">
        <v>97</v>
      </c>
      <c r="P352" s="4">
        <f t="shared" si="15"/>
        <v>1367422</v>
      </c>
      <c r="Q352" s="4">
        <f t="shared" si="16"/>
        <v>1</v>
      </c>
      <c r="R352" s="4">
        <f t="shared" si="17"/>
        <v>1367422</v>
      </c>
    </row>
    <row r="353" spans="1:18">
      <c r="A353" s="1">
        <v>2</v>
      </c>
      <c r="B353" s="1" t="str">
        <f>"قطعات و لوازم يدكي"</f>
        <v>قطعات و لوازم يدكي</v>
      </c>
      <c r="C353" s="1">
        <v>101</v>
      </c>
      <c r="D353" s="1" t="str">
        <f>"انبار قطعات و لوازم يدكي اصفهان"</f>
        <v>انبار قطعات و لوازم يدكي اصفهان</v>
      </c>
      <c r="E353" s="1" t="str">
        <f>"2441492563"</f>
        <v>2441492563</v>
      </c>
      <c r="F353" s="1" t="str">
        <f>"ريتاينيگ رينگ"</f>
        <v>ريتاينيگ رينگ</v>
      </c>
      <c r="G353" s="1" t="str">
        <f>"عدد"</f>
        <v>عدد</v>
      </c>
      <c r="H353" s="1">
        <v>2</v>
      </c>
      <c r="I353" s="1">
        <v>10920</v>
      </c>
      <c r="J353" s="1">
        <v>0</v>
      </c>
      <c r="K353" s="1">
        <v>0</v>
      </c>
      <c r="L353" s="1">
        <v>0</v>
      </c>
      <c r="M353" s="1">
        <v>0</v>
      </c>
      <c r="O353" s="1">
        <v>97</v>
      </c>
      <c r="P353" s="4">
        <f t="shared" si="15"/>
        <v>10920</v>
      </c>
      <c r="Q353" s="4">
        <f t="shared" si="16"/>
        <v>2</v>
      </c>
      <c r="R353" s="4">
        <f t="shared" si="17"/>
        <v>5460</v>
      </c>
    </row>
    <row r="354" spans="1:18">
      <c r="A354" s="1">
        <v>2</v>
      </c>
      <c r="B354" s="1" t="str">
        <f>"قطعات و لوازم يدكي"</f>
        <v>قطعات و لوازم يدكي</v>
      </c>
      <c r="C354" s="1">
        <v>101</v>
      </c>
      <c r="D354" s="1" t="str">
        <f>"انبار قطعات و لوازم يدكي اصفهان"</f>
        <v>انبار قطعات و لوازم يدكي اصفهان</v>
      </c>
      <c r="E354" s="1" t="str">
        <f>"2441492923"</f>
        <v>2441492923</v>
      </c>
      <c r="F354" s="1" t="str">
        <f>"ترموستاتيك والو 1/2-1"</f>
        <v>ترموستاتيك والو 1/2-1</v>
      </c>
      <c r="G354" s="1" t="str">
        <f>"عدد"</f>
        <v>عدد</v>
      </c>
      <c r="H354" s="1">
        <v>1</v>
      </c>
      <c r="I354" s="1">
        <v>50506</v>
      </c>
      <c r="J354" s="1">
        <v>0</v>
      </c>
      <c r="K354" s="1">
        <v>0</v>
      </c>
      <c r="L354" s="1">
        <v>0</v>
      </c>
      <c r="M354" s="1">
        <v>0</v>
      </c>
      <c r="O354" s="1">
        <v>97</v>
      </c>
      <c r="P354" s="4">
        <f t="shared" si="15"/>
        <v>50506</v>
      </c>
      <c r="Q354" s="4">
        <f t="shared" si="16"/>
        <v>1</v>
      </c>
      <c r="R354" s="4">
        <f t="shared" si="17"/>
        <v>50506</v>
      </c>
    </row>
    <row r="355" spans="1:18">
      <c r="A355" s="1">
        <v>2</v>
      </c>
      <c r="B355" s="1" t="str">
        <f>"قطعات و لوازم يدكي"</f>
        <v>قطعات و لوازم يدكي</v>
      </c>
      <c r="C355" s="1">
        <v>101</v>
      </c>
      <c r="D355" s="1" t="str">
        <f>"انبار قطعات و لوازم يدكي اصفهان"</f>
        <v>انبار قطعات و لوازم يدكي اصفهان</v>
      </c>
      <c r="E355" s="1" t="str">
        <f>"2441492933"</f>
        <v>2441492933</v>
      </c>
      <c r="F355" s="1" t="s">
        <v>15</v>
      </c>
      <c r="G355" s="1" t="str">
        <f>"عدد"</f>
        <v>عدد</v>
      </c>
      <c r="H355" s="1">
        <v>1</v>
      </c>
      <c r="I355" s="1">
        <v>50506</v>
      </c>
      <c r="J355" s="1">
        <v>0</v>
      </c>
      <c r="K355" s="1">
        <v>0</v>
      </c>
      <c r="L355" s="1">
        <v>0</v>
      </c>
      <c r="M355" s="1">
        <v>0</v>
      </c>
      <c r="O355" s="1">
        <v>97</v>
      </c>
      <c r="P355" s="4">
        <f t="shared" si="15"/>
        <v>50506</v>
      </c>
      <c r="Q355" s="4">
        <f t="shared" si="16"/>
        <v>1</v>
      </c>
      <c r="R355" s="4">
        <f t="shared" si="17"/>
        <v>50506</v>
      </c>
    </row>
    <row r="356" spans="1:18">
      <c r="A356" s="1">
        <v>2</v>
      </c>
      <c r="B356" s="1" t="str">
        <f>"قطعات و لوازم يدكي"</f>
        <v>قطعات و لوازم يدكي</v>
      </c>
      <c r="C356" s="1">
        <v>101</v>
      </c>
      <c r="D356" s="1" t="str">
        <f>"انبار قطعات و لوازم يدكي اصفهان"</f>
        <v>انبار قطعات و لوازم يدكي اصفهان</v>
      </c>
      <c r="E356" s="1" t="str">
        <f>"3001010052"</f>
        <v>3001010052</v>
      </c>
      <c r="F356" s="1" t="str">
        <f>"قوطي خالي 5 کيلويي"</f>
        <v>قوطي خالي 5 کيلويي</v>
      </c>
      <c r="G356" s="1" t="str">
        <f>"عدد"</f>
        <v>عدد</v>
      </c>
      <c r="H356" s="1">
        <v>100</v>
      </c>
      <c r="I356" s="1">
        <v>4300000</v>
      </c>
      <c r="J356" s="1">
        <v>6</v>
      </c>
      <c r="K356" s="1">
        <v>258000</v>
      </c>
      <c r="L356" s="1">
        <v>10</v>
      </c>
      <c r="M356" s="1">
        <v>430000</v>
      </c>
      <c r="O356" s="1">
        <v>97</v>
      </c>
      <c r="P356" s="4">
        <f t="shared" si="15"/>
        <v>4128000</v>
      </c>
      <c r="Q356" s="4">
        <f t="shared" si="16"/>
        <v>96</v>
      </c>
      <c r="R356" s="4">
        <f t="shared" si="17"/>
        <v>43000</v>
      </c>
    </row>
    <row r="357" spans="1:18">
      <c r="A357" s="1">
        <v>2</v>
      </c>
      <c r="B357" s="1" t="str">
        <f>"قطعات و لوازم يدكي"</f>
        <v>قطعات و لوازم يدكي</v>
      </c>
      <c r="C357" s="1">
        <v>101</v>
      </c>
      <c r="D357" s="1" t="str">
        <f>"انبار قطعات و لوازم يدكي اصفهان"</f>
        <v>انبار قطعات و لوازم يدكي اصفهان</v>
      </c>
      <c r="E357" s="1" t="str">
        <f>"3101100013"</f>
        <v>3101100013</v>
      </c>
      <c r="F357" s="1" t="str">
        <f>"MECHANICAL SEAL P-1601D"</f>
        <v>MECHANICAL SEAL P-1601D</v>
      </c>
      <c r="G357" s="1" t="str">
        <f>"عدد"</f>
        <v>عدد</v>
      </c>
      <c r="H357" s="1">
        <v>5</v>
      </c>
      <c r="I357" s="1">
        <v>291931111</v>
      </c>
      <c r="J357" s="1">
        <v>0</v>
      </c>
      <c r="K357" s="1">
        <v>0</v>
      </c>
      <c r="L357" s="1">
        <v>0</v>
      </c>
      <c r="M357" s="1">
        <v>0</v>
      </c>
      <c r="O357" s="1">
        <v>97</v>
      </c>
      <c r="P357" s="4">
        <f t="shared" si="15"/>
        <v>291931111</v>
      </c>
      <c r="Q357" s="4">
        <f t="shared" si="16"/>
        <v>5</v>
      </c>
      <c r="R357" s="4">
        <f t="shared" si="17"/>
        <v>58386222.200000003</v>
      </c>
    </row>
    <row r="358" spans="1:18">
      <c r="A358" s="1">
        <v>2</v>
      </c>
      <c r="B358" s="1" t="str">
        <f>"قطعات و لوازم يدكي"</f>
        <v>قطعات و لوازم يدكي</v>
      </c>
      <c r="C358" s="1">
        <v>101</v>
      </c>
      <c r="D358" s="1" t="str">
        <f>"انبار قطعات و لوازم يدكي اصفهان"</f>
        <v>انبار قطعات و لوازم يدكي اصفهان</v>
      </c>
      <c r="E358" s="1" t="str">
        <f>"3101100023"</f>
        <v>3101100023</v>
      </c>
      <c r="F358" s="1" t="str">
        <f>"SEAL RING P-1601D"</f>
        <v>SEAL RING P-1601D</v>
      </c>
      <c r="G358" s="1" t="str">
        <f>"عدد"</f>
        <v>عدد</v>
      </c>
      <c r="H358" s="1">
        <v>14</v>
      </c>
      <c r="I358" s="1">
        <v>70000000</v>
      </c>
      <c r="J358" s="1">
        <v>0</v>
      </c>
      <c r="K358" s="1">
        <v>0</v>
      </c>
      <c r="L358" s="1">
        <v>0</v>
      </c>
      <c r="M358" s="1">
        <v>0</v>
      </c>
      <c r="O358" s="1">
        <v>97</v>
      </c>
      <c r="P358" s="4">
        <f t="shared" si="15"/>
        <v>70000000</v>
      </c>
      <c r="Q358" s="4">
        <f t="shared" si="16"/>
        <v>14</v>
      </c>
      <c r="R358" s="4">
        <f t="shared" si="17"/>
        <v>5000000</v>
      </c>
    </row>
    <row r="359" spans="1:18">
      <c r="A359" s="1">
        <v>2</v>
      </c>
      <c r="B359" s="1" t="str">
        <f>"قطعات و لوازم يدكي"</f>
        <v>قطعات و لوازم يدكي</v>
      </c>
      <c r="C359" s="1">
        <v>101</v>
      </c>
      <c r="D359" s="1" t="str">
        <f>"انبار قطعات و لوازم يدكي اصفهان"</f>
        <v>انبار قطعات و لوازم يدكي اصفهان</v>
      </c>
      <c r="E359" s="1" t="str">
        <f>"3101140013"</f>
        <v>3101140013</v>
      </c>
      <c r="F359" s="1" t="str">
        <f>"رول بيرينگ NU 306(p-1605"</f>
        <v>رول بيرينگ NU 306(p-1605</v>
      </c>
      <c r="G359" s="1" t="str">
        <f>"عدد"</f>
        <v>عدد</v>
      </c>
      <c r="H359" s="1">
        <v>8</v>
      </c>
      <c r="I359" s="1">
        <v>6355000</v>
      </c>
      <c r="J359" s="1">
        <v>0</v>
      </c>
      <c r="K359" s="1">
        <v>0</v>
      </c>
      <c r="L359" s="1">
        <v>0</v>
      </c>
      <c r="M359" s="1">
        <v>0</v>
      </c>
      <c r="O359" s="1">
        <v>97</v>
      </c>
      <c r="P359" s="4">
        <f t="shared" si="15"/>
        <v>6355000</v>
      </c>
      <c r="Q359" s="4">
        <f t="shared" si="16"/>
        <v>8</v>
      </c>
      <c r="R359" s="4">
        <f t="shared" si="17"/>
        <v>794375</v>
      </c>
    </row>
    <row r="360" spans="1:18">
      <c r="A360" s="1">
        <v>2</v>
      </c>
      <c r="B360" s="1" t="str">
        <f>"قطعات و لوازم يدكي"</f>
        <v>قطعات و لوازم يدكي</v>
      </c>
      <c r="C360" s="1">
        <v>101</v>
      </c>
      <c r="D360" s="1" t="str">
        <f>"انبار قطعات و لوازم يدكي اصفهان"</f>
        <v>انبار قطعات و لوازم يدكي اصفهان</v>
      </c>
      <c r="E360" s="1" t="str">
        <f>"3103022563"</f>
        <v>3103022563</v>
      </c>
      <c r="F360" s="1" t="str">
        <f>"لاك نت كوچك"</f>
        <v>لاك نت كوچك</v>
      </c>
      <c r="G360" s="1" t="str">
        <f>"عدد"</f>
        <v>عدد</v>
      </c>
      <c r="H360" s="1">
        <v>7</v>
      </c>
      <c r="I360" s="1">
        <v>367500</v>
      </c>
      <c r="J360" s="1">
        <v>0</v>
      </c>
      <c r="K360" s="1">
        <v>0</v>
      </c>
      <c r="L360" s="1">
        <v>0</v>
      </c>
      <c r="M360" s="1">
        <v>0</v>
      </c>
      <c r="O360" s="1">
        <v>97</v>
      </c>
      <c r="P360" s="4">
        <f t="shared" si="15"/>
        <v>367500</v>
      </c>
      <c r="Q360" s="4">
        <f t="shared" si="16"/>
        <v>7</v>
      </c>
      <c r="R360" s="4">
        <f t="shared" si="17"/>
        <v>52500</v>
      </c>
    </row>
    <row r="361" spans="1:18" hidden="1">
      <c r="A361" s="1">
        <v>2</v>
      </c>
      <c r="B361" s="1" t="str">
        <f>"قطعات و لوازم يدكي"</f>
        <v>قطعات و لوازم يدكي</v>
      </c>
      <c r="C361" s="1">
        <v>101</v>
      </c>
      <c r="D361" s="1" t="str">
        <f>"انبار قطعات و لوازم يدكي اصفهان"</f>
        <v>انبار قطعات و لوازم يدكي اصفهان</v>
      </c>
      <c r="E361" s="1" t="str">
        <f>"3103022573"</f>
        <v>3103022573</v>
      </c>
      <c r="F361" s="1" t="str">
        <f>"لاك نت km7 بزرگ"</f>
        <v>لاك نت km7 بزرگ</v>
      </c>
      <c r="G361" s="1" t="str">
        <f>"عدد"</f>
        <v>عدد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O361" s="1">
        <v>97</v>
      </c>
      <c r="P361" s="1">
        <f t="shared" si="15"/>
        <v>0</v>
      </c>
      <c r="Q361" s="1">
        <f t="shared" si="16"/>
        <v>0</v>
      </c>
      <c r="R361" s="1" t="e">
        <f t="shared" si="17"/>
        <v>#DIV/0!</v>
      </c>
    </row>
    <row r="362" spans="1:18">
      <c r="A362" s="1">
        <v>2</v>
      </c>
      <c r="B362" s="1" t="str">
        <f>"قطعات و لوازم يدكي"</f>
        <v>قطعات و لوازم يدكي</v>
      </c>
      <c r="C362" s="1">
        <v>101</v>
      </c>
      <c r="D362" s="1" t="str">
        <f>"انبار قطعات و لوازم يدكي اصفهان"</f>
        <v>انبار قطعات و لوازم يدكي اصفهان</v>
      </c>
      <c r="E362" s="1" t="str">
        <f>"3103022583"</f>
        <v>3103022583</v>
      </c>
      <c r="F362" s="1" t="str">
        <f>"شفت اسليوز مت اس اس"</f>
        <v>شفت اسليوز مت اس اس</v>
      </c>
      <c r="G362" s="1" t="str">
        <f>"عدد"</f>
        <v>عدد</v>
      </c>
      <c r="H362" s="1">
        <v>1</v>
      </c>
      <c r="I362" s="1">
        <v>14000</v>
      </c>
      <c r="J362" s="1">
        <v>0</v>
      </c>
      <c r="K362" s="1">
        <v>0</v>
      </c>
      <c r="L362" s="1">
        <v>0</v>
      </c>
      <c r="M362" s="1">
        <v>0</v>
      </c>
      <c r="O362" s="1">
        <v>97</v>
      </c>
      <c r="P362" s="4">
        <f t="shared" si="15"/>
        <v>14000</v>
      </c>
      <c r="Q362" s="4">
        <f t="shared" si="16"/>
        <v>1</v>
      </c>
      <c r="R362" s="4">
        <f t="shared" si="17"/>
        <v>14000</v>
      </c>
    </row>
    <row r="363" spans="1:18">
      <c r="A363" s="1">
        <v>2</v>
      </c>
      <c r="B363" s="1" t="str">
        <f>"قطعات و لوازم يدكي"</f>
        <v>قطعات و لوازم يدكي</v>
      </c>
      <c r="C363" s="1">
        <v>101</v>
      </c>
      <c r="D363" s="1" t="str">
        <f>"انبار قطعات و لوازم يدكي اصفهان"</f>
        <v>انبار قطعات و لوازم يدكي اصفهان</v>
      </c>
      <c r="E363" s="1" t="str">
        <f>"3103023383"</f>
        <v>3103023383</v>
      </c>
      <c r="F363" s="1" t="str">
        <f>"ليپ سل 44ايكس 65ايكس 11دين 6503"</f>
        <v>ليپ سل 44ايكس 65ايكس 11دين 6503</v>
      </c>
      <c r="G363" s="1" t="str">
        <f>"عدد"</f>
        <v>عدد</v>
      </c>
      <c r="H363" s="1">
        <v>63</v>
      </c>
      <c r="I363" s="1">
        <v>20307844</v>
      </c>
      <c r="J363" s="1">
        <v>0</v>
      </c>
      <c r="K363" s="1">
        <v>0</v>
      </c>
      <c r="L363" s="1">
        <v>12</v>
      </c>
      <c r="M363" s="1">
        <v>3868161</v>
      </c>
      <c r="O363" s="1">
        <v>97</v>
      </c>
      <c r="P363" s="4">
        <f t="shared" si="15"/>
        <v>16439683</v>
      </c>
      <c r="Q363" s="4">
        <f t="shared" si="16"/>
        <v>51</v>
      </c>
      <c r="R363" s="4">
        <f t="shared" si="17"/>
        <v>322346.72549019608</v>
      </c>
    </row>
    <row r="364" spans="1:18">
      <c r="A364" s="1">
        <v>2</v>
      </c>
      <c r="B364" s="1" t="str">
        <f>"قطعات و لوازم يدكي"</f>
        <v>قطعات و لوازم يدكي</v>
      </c>
      <c r="C364" s="1">
        <v>101</v>
      </c>
      <c r="D364" s="1" t="str">
        <f>"انبار قطعات و لوازم يدكي اصفهان"</f>
        <v>انبار قطعات و لوازم يدكي اصفهان</v>
      </c>
      <c r="E364" s="1" t="str">
        <f>"3103023429"</f>
        <v>3103023429</v>
      </c>
      <c r="F364" s="1" t="str">
        <f>"STATIONARY SEAL RING"</f>
        <v>STATIONARY SEAL RING</v>
      </c>
      <c r="G364" s="1" t="str">
        <f>"عدد"</f>
        <v>عدد</v>
      </c>
      <c r="H364" s="1">
        <v>28</v>
      </c>
      <c r="I364" s="1">
        <v>214569754</v>
      </c>
      <c r="J364" s="1">
        <v>1</v>
      </c>
      <c r="K364" s="1">
        <v>7663206</v>
      </c>
      <c r="L364" s="1">
        <v>1</v>
      </c>
      <c r="M364" s="1">
        <v>7663206</v>
      </c>
      <c r="O364" s="1">
        <v>97</v>
      </c>
      <c r="P364" s="4">
        <f t="shared" si="15"/>
        <v>214569754</v>
      </c>
      <c r="Q364" s="4">
        <f t="shared" si="16"/>
        <v>28</v>
      </c>
      <c r="R364" s="4">
        <f t="shared" si="17"/>
        <v>7663205.5</v>
      </c>
    </row>
    <row r="365" spans="1:18">
      <c r="A365" s="1">
        <v>2</v>
      </c>
      <c r="B365" s="1" t="str">
        <f>"قطعات و لوازم يدكي"</f>
        <v>قطعات و لوازم يدكي</v>
      </c>
      <c r="C365" s="1">
        <v>101</v>
      </c>
      <c r="D365" s="1" t="str">
        <f>"انبار قطعات و لوازم يدكي اصفهان"</f>
        <v>انبار قطعات و لوازم يدكي اصفهان</v>
      </c>
      <c r="E365" s="1" t="str">
        <f>"3103040042"</f>
        <v>3103040042</v>
      </c>
      <c r="F365" s="1" t="str">
        <f>"پمپ مخصوص 1001"</f>
        <v>پمپ مخصوص 1001</v>
      </c>
      <c r="G365" s="1" t="str">
        <f>"دستگاه"</f>
        <v>دستگاه</v>
      </c>
      <c r="H365" s="1">
        <v>2</v>
      </c>
      <c r="I365" s="1">
        <v>470646667</v>
      </c>
      <c r="J365" s="1">
        <v>0</v>
      </c>
      <c r="K365" s="1">
        <v>0</v>
      </c>
      <c r="L365" s="1">
        <v>0</v>
      </c>
      <c r="M365" s="1">
        <v>0</v>
      </c>
      <c r="O365" s="1">
        <v>97</v>
      </c>
      <c r="P365" s="4">
        <f t="shared" si="15"/>
        <v>470646667</v>
      </c>
      <c r="Q365" s="4">
        <f t="shared" si="16"/>
        <v>2</v>
      </c>
      <c r="R365" s="4">
        <f t="shared" si="17"/>
        <v>235323333.5</v>
      </c>
    </row>
    <row r="366" spans="1:18">
      <c r="A366" s="1">
        <v>2</v>
      </c>
      <c r="B366" s="1" t="str">
        <f>"قطعات و لوازم يدكي"</f>
        <v>قطعات و لوازم يدكي</v>
      </c>
      <c r="C366" s="1">
        <v>101</v>
      </c>
      <c r="D366" s="1" t="str">
        <f>"انبار قطعات و لوازم يدكي اصفهان"</f>
        <v>انبار قطعات و لوازم يدكي اصفهان</v>
      </c>
      <c r="E366" s="1" t="str">
        <f>"3114810263"</f>
        <v>3114810263</v>
      </c>
      <c r="F366" s="1" t="str">
        <f>"گرر ويل 11-121081504"</f>
        <v>گرر ويل 11-121081504</v>
      </c>
      <c r="G366" s="1" t="str">
        <f>"عدد"</f>
        <v>عدد</v>
      </c>
      <c r="H366" s="1">
        <v>3</v>
      </c>
      <c r="I366" s="1">
        <v>37863</v>
      </c>
      <c r="J366" s="1">
        <v>0</v>
      </c>
      <c r="K366" s="1">
        <v>0</v>
      </c>
      <c r="L366" s="1">
        <v>0</v>
      </c>
      <c r="M366" s="1">
        <v>0</v>
      </c>
      <c r="O366" s="1">
        <v>97</v>
      </c>
      <c r="P366" s="4">
        <f t="shared" si="15"/>
        <v>37863</v>
      </c>
      <c r="Q366" s="4">
        <f t="shared" si="16"/>
        <v>3</v>
      </c>
      <c r="R366" s="4">
        <f t="shared" si="17"/>
        <v>12621</v>
      </c>
    </row>
    <row r="367" spans="1:18">
      <c r="A367" s="1">
        <v>2</v>
      </c>
      <c r="B367" s="1" t="str">
        <f>"قطعات و لوازم يدكي"</f>
        <v>قطعات و لوازم يدكي</v>
      </c>
      <c r="C367" s="1">
        <v>101</v>
      </c>
      <c r="D367" s="1" t="str">
        <f>"انبار قطعات و لوازم يدكي اصفهان"</f>
        <v>انبار قطعات و لوازم يدكي اصفهان</v>
      </c>
      <c r="E367" s="1" t="str">
        <f>"3114810483"</f>
        <v>3114810483</v>
      </c>
      <c r="F367" s="1" t="str">
        <f>"كاسكت  25-115071101"</f>
        <v>كاسكت  25-115071101</v>
      </c>
      <c r="G367" s="1" t="str">
        <f>"عدد"</f>
        <v>عدد</v>
      </c>
      <c r="H367" s="1">
        <v>17</v>
      </c>
      <c r="I367" s="1">
        <v>6112</v>
      </c>
      <c r="J367" s="1">
        <v>0</v>
      </c>
      <c r="K367" s="1">
        <v>0</v>
      </c>
      <c r="L367" s="1">
        <v>0</v>
      </c>
      <c r="M367" s="1">
        <v>0</v>
      </c>
      <c r="O367" s="1">
        <v>97</v>
      </c>
      <c r="P367" s="4">
        <f t="shared" si="15"/>
        <v>6112</v>
      </c>
      <c r="Q367" s="4">
        <f t="shared" si="16"/>
        <v>17</v>
      </c>
      <c r="R367" s="4">
        <f t="shared" si="17"/>
        <v>359.52941176470586</v>
      </c>
    </row>
    <row r="368" spans="1:18">
      <c r="A368" s="1">
        <v>2</v>
      </c>
      <c r="B368" s="1" t="str">
        <f>"قطعات و لوازم يدكي"</f>
        <v>قطعات و لوازم يدكي</v>
      </c>
      <c r="C368" s="1">
        <v>101</v>
      </c>
      <c r="D368" s="1" t="str">
        <f>"انبار قطعات و لوازم يدكي اصفهان"</f>
        <v>انبار قطعات و لوازم يدكي اصفهان</v>
      </c>
      <c r="E368" s="1" t="str">
        <f>"3114810613"</f>
        <v>3114810613</v>
      </c>
      <c r="F368" s="1" t="str">
        <f>"گروب اسكرو 81217510"</f>
        <v>گروب اسكرو 81217510</v>
      </c>
      <c r="G368" s="1" t="str">
        <f>"عدد"</f>
        <v>عدد</v>
      </c>
      <c r="H368" s="1">
        <v>5</v>
      </c>
      <c r="I368" s="1">
        <v>12500</v>
      </c>
      <c r="J368" s="1">
        <v>0</v>
      </c>
      <c r="K368" s="1">
        <v>0</v>
      </c>
      <c r="L368" s="1">
        <v>0</v>
      </c>
      <c r="M368" s="1">
        <v>0</v>
      </c>
      <c r="O368" s="1">
        <v>97</v>
      </c>
      <c r="P368" s="4">
        <f t="shared" si="15"/>
        <v>12500</v>
      </c>
      <c r="Q368" s="4">
        <f t="shared" si="16"/>
        <v>5</v>
      </c>
      <c r="R368" s="4">
        <f t="shared" si="17"/>
        <v>2500</v>
      </c>
    </row>
    <row r="369" spans="1:18" hidden="1">
      <c r="A369" s="1">
        <v>2</v>
      </c>
      <c r="B369" s="1" t="str">
        <f>"قطعات و لوازم يدكي"</f>
        <v>قطعات و لوازم يدكي</v>
      </c>
      <c r="C369" s="1">
        <v>101</v>
      </c>
      <c r="D369" s="1" t="str">
        <f>"انبار قطعات و لوازم يدكي اصفهان"</f>
        <v>انبار قطعات و لوازم يدكي اصفهان</v>
      </c>
      <c r="E369" s="1" t="str">
        <f>"3114812033"</f>
        <v>3114812033</v>
      </c>
      <c r="F369" s="1" t="str">
        <f>"درايوشيفت درج 30"</f>
        <v>درايوشيفت درج 30</v>
      </c>
      <c r="G369" s="1" t="str">
        <f>"عدد"</f>
        <v>عدد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O369" s="1">
        <v>97</v>
      </c>
      <c r="P369" s="1">
        <f t="shared" si="15"/>
        <v>0</v>
      </c>
      <c r="Q369" s="1">
        <f t="shared" si="16"/>
        <v>0</v>
      </c>
      <c r="R369" s="1" t="e">
        <f t="shared" si="17"/>
        <v>#DIV/0!</v>
      </c>
    </row>
    <row r="370" spans="1:18">
      <c r="A370" s="1">
        <v>2</v>
      </c>
      <c r="B370" s="1" t="str">
        <f>"قطعات و لوازم يدكي"</f>
        <v>قطعات و لوازم يدكي</v>
      </c>
      <c r="C370" s="1">
        <v>101</v>
      </c>
      <c r="D370" s="1" t="str">
        <f>"انبار قطعات و لوازم يدكي اصفهان"</f>
        <v>انبار قطعات و لوازم يدكي اصفهان</v>
      </c>
      <c r="E370" s="1" t="str">
        <f>"3101050013"</f>
        <v>3101050013</v>
      </c>
      <c r="F370" s="1" t="str">
        <f>"LOCK SCREW"</f>
        <v>LOCK SCREW</v>
      </c>
      <c r="G370" s="1" t="str">
        <f>"عدد"</f>
        <v>عدد</v>
      </c>
      <c r="H370" s="1">
        <v>12</v>
      </c>
      <c r="I370" s="1">
        <v>3467040</v>
      </c>
      <c r="J370" s="1">
        <v>0</v>
      </c>
      <c r="K370" s="1">
        <v>0</v>
      </c>
      <c r="L370" s="1">
        <v>0</v>
      </c>
      <c r="M370" s="1">
        <v>0</v>
      </c>
      <c r="O370" s="1">
        <v>97</v>
      </c>
      <c r="P370" s="4">
        <f t="shared" si="15"/>
        <v>3467040</v>
      </c>
      <c r="Q370" s="4">
        <f t="shared" si="16"/>
        <v>12</v>
      </c>
      <c r="R370" s="4">
        <f t="shared" si="17"/>
        <v>288920</v>
      </c>
    </row>
    <row r="371" spans="1:18">
      <c r="A371" s="1">
        <v>2</v>
      </c>
      <c r="B371" s="1" t="str">
        <f>"قطعات و لوازم يدكي"</f>
        <v>قطعات و لوازم يدكي</v>
      </c>
      <c r="C371" s="1">
        <v>101</v>
      </c>
      <c r="D371" s="1" t="str">
        <f>"انبار قطعات و لوازم يدكي اصفهان"</f>
        <v>انبار قطعات و لوازم يدكي اصفهان</v>
      </c>
      <c r="E371" s="1" t="str">
        <f>"3101050033"</f>
        <v>3101050033</v>
      </c>
      <c r="F371" s="1" t="str">
        <f>"HEZ-HEAD SCREW"</f>
        <v>HEZ-HEAD SCREW</v>
      </c>
      <c r="G371" s="1" t="str">
        <f>"عدد"</f>
        <v>عدد</v>
      </c>
      <c r="H371" s="1">
        <v>10</v>
      </c>
      <c r="I371" s="1">
        <v>699000</v>
      </c>
      <c r="J371" s="1">
        <v>0</v>
      </c>
      <c r="K371" s="1">
        <v>0</v>
      </c>
      <c r="L371" s="1">
        <v>0</v>
      </c>
      <c r="M371" s="1">
        <v>0</v>
      </c>
      <c r="O371" s="1">
        <v>97</v>
      </c>
      <c r="P371" s="4">
        <f t="shared" si="15"/>
        <v>699000</v>
      </c>
      <c r="Q371" s="4">
        <f t="shared" si="16"/>
        <v>10</v>
      </c>
      <c r="R371" s="4">
        <f t="shared" si="17"/>
        <v>69900</v>
      </c>
    </row>
    <row r="372" spans="1:18">
      <c r="A372" s="1">
        <v>2</v>
      </c>
      <c r="B372" s="1" t="str">
        <f>"قطعات و لوازم يدكي"</f>
        <v>قطعات و لوازم يدكي</v>
      </c>
      <c r="C372" s="1">
        <v>101</v>
      </c>
      <c r="D372" s="1" t="str">
        <f>"انبار قطعات و لوازم يدكي اصفهان"</f>
        <v>انبار قطعات و لوازم يدكي اصفهان</v>
      </c>
      <c r="E372" s="1" t="str">
        <f>"3101060023"</f>
        <v>3101060023</v>
      </c>
      <c r="F372" s="1" t="str">
        <f>"ORING P-1601D"</f>
        <v>ORING P-1601D</v>
      </c>
      <c r="G372" s="1" t="str">
        <f>"عدد"</f>
        <v>عدد</v>
      </c>
      <c r="H372" s="1">
        <v>2</v>
      </c>
      <c r="I372" s="1">
        <v>4000</v>
      </c>
      <c r="J372" s="1">
        <v>0</v>
      </c>
      <c r="K372" s="1">
        <v>0</v>
      </c>
      <c r="L372" s="1">
        <v>0</v>
      </c>
      <c r="M372" s="1">
        <v>0</v>
      </c>
      <c r="O372" s="1">
        <v>97</v>
      </c>
      <c r="P372" s="4">
        <f t="shared" si="15"/>
        <v>4000</v>
      </c>
      <c r="Q372" s="4">
        <f t="shared" si="16"/>
        <v>2</v>
      </c>
      <c r="R372" s="4">
        <f t="shared" si="17"/>
        <v>2000</v>
      </c>
    </row>
    <row r="373" spans="1:18">
      <c r="A373" s="1">
        <v>2</v>
      </c>
      <c r="B373" s="1" t="str">
        <f>"قطعات و لوازم يدكي"</f>
        <v>قطعات و لوازم يدكي</v>
      </c>
      <c r="C373" s="1">
        <v>101</v>
      </c>
      <c r="D373" s="1" t="str">
        <f>"انبار قطعات و لوازم يدكي اصفهان"</f>
        <v>انبار قطعات و لوازم يدكي اصفهان</v>
      </c>
      <c r="E373" s="1" t="str">
        <f>"3101080043"</f>
        <v>3101080043</v>
      </c>
      <c r="F373" s="1" t="str">
        <f>"PARALLEL PIN (بزرگ)"</f>
        <v>PARALLEL PIN (بزرگ)</v>
      </c>
      <c r="G373" s="1" t="str">
        <f>"عدد"</f>
        <v>عدد</v>
      </c>
      <c r="H373" s="1">
        <v>4</v>
      </c>
      <c r="I373" s="1">
        <v>559200</v>
      </c>
      <c r="J373" s="1">
        <v>0</v>
      </c>
      <c r="K373" s="1">
        <v>0</v>
      </c>
      <c r="L373" s="1">
        <v>0</v>
      </c>
      <c r="M373" s="1">
        <v>0</v>
      </c>
      <c r="O373" s="1">
        <v>97</v>
      </c>
      <c r="P373" s="4">
        <f t="shared" si="15"/>
        <v>559200</v>
      </c>
      <c r="Q373" s="4">
        <f t="shared" si="16"/>
        <v>4</v>
      </c>
      <c r="R373" s="4">
        <f t="shared" si="17"/>
        <v>139800</v>
      </c>
    </row>
    <row r="374" spans="1:18">
      <c r="A374" s="1">
        <v>2</v>
      </c>
      <c r="B374" s="1" t="str">
        <f>"قطعات و لوازم يدكي"</f>
        <v>قطعات و لوازم يدكي</v>
      </c>
      <c r="C374" s="1">
        <v>101</v>
      </c>
      <c r="D374" s="1" t="str">
        <f>"انبار قطعات و لوازم يدكي اصفهان"</f>
        <v>انبار قطعات و لوازم يدكي اصفهان</v>
      </c>
      <c r="E374" s="1" t="str">
        <f>"3101110033"</f>
        <v>3101110033</v>
      </c>
      <c r="F374" s="1" t="str">
        <f>"LIP SEAL 25-52-10  P-1605"</f>
        <v>LIP SEAL 25-52-10  P-1605</v>
      </c>
      <c r="G374" s="1" t="str">
        <f>"عدد"</f>
        <v>عدد</v>
      </c>
      <c r="H374" s="1">
        <v>13</v>
      </c>
      <c r="I374" s="1">
        <v>2663143</v>
      </c>
      <c r="J374" s="1">
        <v>0</v>
      </c>
      <c r="K374" s="1">
        <v>0</v>
      </c>
      <c r="L374" s="1">
        <v>0</v>
      </c>
      <c r="M374" s="1">
        <v>0</v>
      </c>
      <c r="O374" s="1">
        <v>97</v>
      </c>
      <c r="P374" s="4">
        <f t="shared" si="15"/>
        <v>2663143</v>
      </c>
      <c r="Q374" s="4">
        <f t="shared" si="16"/>
        <v>13</v>
      </c>
      <c r="R374" s="4">
        <f t="shared" si="17"/>
        <v>204857.15384615384</v>
      </c>
    </row>
    <row r="375" spans="1:18">
      <c r="A375" s="1">
        <v>2</v>
      </c>
      <c r="B375" s="1" t="str">
        <f>"قطعات و لوازم يدكي"</f>
        <v>قطعات و لوازم يدكي</v>
      </c>
      <c r="C375" s="1">
        <v>101</v>
      </c>
      <c r="D375" s="1" t="str">
        <f>"انبار قطعات و لوازم يدكي اصفهان"</f>
        <v>انبار قطعات و لوازم يدكي اصفهان</v>
      </c>
      <c r="E375" s="1" t="str">
        <f>"3103023419"</f>
        <v>3103023419</v>
      </c>
      <c r="F375" s="1" t="str">
        <f>"BELLOWS"</f>
        <v>BELLOWS</v>
      </c>
      <c r="G375" s="1" t="str">
        <f>"عدد"</f>
        <v>عدد</v>
      </c>
      <c r="H375" s="1">
        <v>14</v>
      </c>
      <c r="I375" s="1">
        <v>730209527</v>
      </c>
      <c r="J375" s="1">
        <v>0</v>
      </c>
      <c r="K375" s="1">
        <v>0</v>
      </c>
      <c r="L375" s="1">
        <v>12</v>
      </c>
      <c r="M375" s="1">
        <v>625893880</v>
      </c>
      <c r="O375" s="1">
        <v>97</v>
      </c>
      <c r="P375" s="4">
        <f t="shared" si="15"/>
        <v>104315647</v>
      </c>
      <c r="Q375" s="4">
        <f t="shared" si="16"/>
        <v>2</v>
      </c>
      <c r="R375" s="4">
        <f t="shared" si="17"/>
        <v>52157823.5</v>
      </c>
    </row>
    <row r="376" spans="1:18">
      <c r="A376" s="1">
        <v>2</v>
      </c>
      <c r="B376" s="1" t="str">
        <f>"قطعات و لوازم يدكي"</f>
        <v>قطعات و لوازم يدكي</v>
      </c>
      <c r="C376" s="1">
        <v>101</v>
      </c>
      <c r="D376" s="1" t="str">
        <f>"انبار قطعات و لوازم يدكي اصفهان"</f>
        <v>انبار قطعات و لوازم يدكي اصفهان</v>
      </c>
      <c r="E376" s="1" t="str">
        <f>"3103023863"</f>
        <v>3103023863</v>
      </c>
      <c r="F376" s="1" t="str">
        <f>"مچ شفت سل سايز 40"</f>
        <v>مچ شفت سل سايز 40</v>
      </c>
      <c r="G376" s="1" t="str">
        <f>"عدد"</f>
        <v>عدد</v>
      </c>
      <c r="H376" s="1">
        <v>4</v>
      </c>
      <c r="I376" s="1">
        <v>15956607</v>
      </c>
      <c r="J376" s="1">
        <v>0</v>
      </c>
      <c r="K376" s="1">
        <v>0</v>
      </c>
      <c r="L376" s="1">
        <v>0</v>
      </c>
      <c r="M376" s="1">
        <v>0</v>
      </c>
      <c r="O376" s="1">
        <v>97</v>
      </c>
      <c r="P376" s="4">
        <f t="shared" si="15"/>
        <v>15956607</v>
      </c>
      <c r="Q376" s="4">
        <f t="shared" si="16"/>
        <v>4</v>
      </c>
      <c r="R376" s="4">
        <f t="shared" si="17"/>
        <v>3989151.75</v>
      </c>
    </row>
    <row r="377" spans="1:18">
      <c r="A377" s="1">
        <v>2</v>
      </c>
      <c r="B377" s="1" t="str">
        <f>"قطعات و لوازم يدكي"</f>
        <v>قطعات و لوازم يدكي</v>
      </c>
      <c r="C377" s="1">
        <v>101</v>
      </c>
      <c r="D377" s="1" t="str">
        <f>"انبار قطعات و لوازم يدكي اصفهان"</f>
        <v>انبار قطعات و لوازم يدكي اصفهان</v>
      </c>
      <c r="E377" s="1" t="str">
        <f>"3112711543"</f>
        <v>3112711543</v>
      </c>
      <c r="F377" s="1" t="str">
        <f>"گسگت كيس تو كاور( gasket cace to cover)"</f>
        <v>گسگت كيس تو كاور( gasket cace to cover)</v>
      </c>
      <c r="G377" s="1" t="str">
        <f>"عدد"</f>
        <v>عدد</v>
      </c>
      <c r="H377" s="1">
        <v>4</v>
      </c>
      <c r="I377" s="1">
        <v>6079989</v>
      </c>
      <c r="J377" s="1">
        <v>0</v>
      </c>
      <c r="K377" s="1">
        <v>0</v>
      </c>
      <c r="L377" s="1">
        <v>0</v>
      </c>
      <c r="M377" s="1">
        <v>0</v>
      </c>
      <c r="O377" s="1">
        <v>97</v>
      </c>
      <c r="P377" s="4">
        <f t="shared" si="15"/>
        <v>6079989</v>
      </c>
      <c r="Q377" s="4">
        <f t="shared" si="16"/>
        <v>4</v>
      </c>
      <c r="R377" s="4">
        <f t="shared" si="17"/>
        <v>1519997.25</v>
      </c>
    </row>
    <row r="378" spans="1:18">
      <c r="A378" s="1">
        <v>2</v>
      </c>
      <c r="B378" s="1" t="str">
        <f>"قطعات و لوازم يدكي"</f>
        <v>قطعات و لوازم يدكي</v>
      </c>
      <c r="C378" s="1">
        <v>101</v>
      </c>
      <c r="D378" s="1" t="str">
        <f>"انبار قطعات و لوازم يدكي اصفهان"</f>
        <v>انبار قطعات و لوازم يدكي اصفهان</v>
      </c>
      <c r="E378" s="1" t="str">
        <f>"3112711553"</f>
        <v>3112711553</v>
      </c>
      <c r="F378" s="1" t="str">
        <f>"ايمپيلر فول سايز(impeller full size)"</f>
        <v>ايمپيلر فول سايز(impeller full size)</v>
      </c>
      <c r="G378" s="1" t="str">
        <f>"عدد"</f>
        <v>عدد</v>
      </c>
      <c r="H378" s="1">
        <v>1</v>
      </c>
      <c r="I378" s="1">
        <v>41392119</v>
      </c>
      <c r="J378" s="1">
        <v>0</v>
      </c>
      <c r="K378" s="1">
        <v>0</v>
      </c>
      <c r="L378" s="1">
        <v>0</v>
      </c>
      <c r="M378" s="1">
        <v>0</v>
      </c>
      <c r="O378" s="1">
        <v>97</v>
      </c>
      <c r="P378" s="4">
        <f t="shared" si="15"/>
        <v>41392119</v>
      </c>
      <c r="Q378" s="4">
        <f t="shared" si="16"/>
        <v>1</v>
      </c>
      <c r="R378" s="4">
        <f t="shared" si="17"/>
        <v>41392119</v>
      </c>
    </row>
    <row r="379" spans="1:18">
      <c r="A379" s="1">
        <v>2</v>
      </c>
      <c r="B379" s="1" t="str">
        <f>"قطعات و لوازم يدكي"</f>
        <v>قطعات و لوازم يدكي</v>
      </c>
      <c r="C379" s="1">
        <v>101</v>
      </c>
      <c r="D379" s="1" t="str">
        <f>"انبار قطعات و لوازم يدكي اصفهان"</f>
        <v>انبار قطعات و لوازم يدكي اصفهان</v>
      </c>
      <c r="E379" s="1" t="str">
        <f>"3114810123"</f>
        <v>3114810123</v>
      </c>
      <c r="F379" s="1" t="str">
        <f>"اسكرور ليفت مت"</f>
        <v>اسكرور ليفت مت</v>
      </c>
      <c r="G379" s="1" t="str">
        <f>"عدد"</f>
        <v>عدد</v>
      </c>
      <c r="H379" s="1">
        <v>4</v>
      </c>
      <c r="I379" s="1">
        <v>370360</v>
      </c>
      <c r="J379" s="1">
        <v>0</v>
      </c>
      <c r="K379" s="1">
        <v>0</v>
      </c>
      <c r="L379" s="1">
        <v>0</v>
      </c>
      <c r="M379" s="1">
        <v>0</v>
      </c>
      <c r="O379" s="1">
        <v>97</v>
      </c>
      <c r="P379" s="4">
        <f t="shared" si="15"/>
        <v>370360</v>
      </c>
      <c r="Q379" s="4">
        <f t="shared" si="16"/>
        <v>4</v>
      </c>
      <c r="R379" s="4">
        <f t="shared" si="17"/>
        <v>92590</v>
      </c>
    </row>
    <row r="380" spans="1:18">
      <c r="A380" s="1">
        <v>2</v>
      </c>
      <c r="B380" s="1" t="str">
        <f>"قطعات و لوازم يدكي"</f>
        <v>قطعات و لوازم يدكي</v>
      </c>
      <c r="C380" s="1">
        <v>101</v>
      </c>
      <c r="D380" s="1" t="str">
        <f>"انبار قطعات و لوازم يدكي اصفهان"</f>
        <v>انبار قطعات و لوازم يدكي اصفهان</v>
      </c>
      <c r="E380" s="1" t="str">
        <f>"3114810683"</f>
        <v>3114810683</v>
      </c>
      <c r="F380" s="1" t="str">
        <f>"سافت پاكينگ رينگ"</f>
        <v>سافت پاكينگ رينگ</v>
      </c>
      <c r="G380" s="1" t="str">
        <f>"عدد"</f>
        <v>عدد</v>
      </c>
      <c r="H380" s="1">
        <v>1</v>
      </c>
      <c r="I380" s="1">
        <v>10000</v>
      </c>
      <c r="J380" s="1">
        <v>0</v>
      </c>
      <c r="K380" s="1">
        <v>0</v>
      </c>
      <c r="L380" s="1">
        <v>0</v>
      </c>
      <c r="M380" s="1">
        <v>0</v>
      </c>
      <c r="O380" s="1">
        <v>97</v>
      </c>
      <c r="P380" s="4">
        <f t="shared" si="15"/>
        <v>10000</v>
      </c>
      <c r="Q380" s="4">
        <f t="shared" si="16"/>
        <v>1</v>
      </c>
      <c r="R380" s="4">
        <f t="shared" si="17"/>
        <v>10000</v>
      </c>
    </row>
    <row r="381" spans="1:18">
      <c r="A381" s="1">
        <v>2</v>
      </c>
      <c r="B381" s="1" t="str">
        <f>"قطعات و لوازم يدكي"</f>
        <v>قطعات و لوازم يدكي</v>
      </c>
      <c r="C381" s="1">
        <v>101</v>
      </c>
      <c r="D381" s="1" t="str">
        <f>"انبار قطعات و لوازم يدكي اصفهان"</f>
        <v>انبار قطعات و لوازم يدكي اصفهان</v>
      </c>
      <c r="E381" s="1" t="str">
        <f>"3114812063"</f>
        <v>3114812063</v>
      </c>
      <c r="F381" s="1" t="str">
        <f>"اسكرو ليفت درج 33"</f>
        <v>اسكرو ليفت درج 33</v>
      </c>
      <c r="G381" s="1" t="str">
        <f>"عدد"</f>
        <v>عدد</v>
      </c>
      <c r="H381" s="1">
        <v>1</v>
      </c>
      <c r="I381" s="1">
        <v>2016000</v>
      </c>
      <c r="J381" s="1">
        <v>0</v>
      </c>
      <c r="K381" s="1">
        <v>0</v>
      </c>
      <c r="L381" s="1">
        <v>0</v>
      </c>
      <c r="M381" s="1">
        <v>0</v>
      </c>
      <c r="O381" s="1">
        <v>97</v>
      </c>
      <c r="P381" s="4">
        <f t="shared" si="15"/>
        <v>2016000</v>
      </c>
      <c r="Q381" s="4">
        <f t="shared" si="16"/>
        <v>1</v>
      </c>
      <c r="R381" s="4">
        <f t="shared" si="17"/>
        <v>2016000</v>
      </c>
    </row>
    <row r="382" spans="1:18">
      <c r="A382" s="1">
        <v>2</v>
      </c>
      <c r="B382" s="1" t="str">
        <f>"قطعات و لوازم يدكي"</f>
        <v>قطعات و لوازم يدكي</v>
      </c>
      <c r="C382" s="1">
        <v>101</v>
      </c>
      <c r="D382" s="1" t="str">
        <f>"انبار قطعات و لوازم يدكي اصفهان"</f>
        <v>انبار قطعات و لوازم يدكي اصفهان</v>
      </c>
      <c r="E382" s="1" t="str">
        <f>"3114812503"</f>
        <v>3114812503</v>
      </c>
      <c r="F382" s="1" t="str">
        <f>"اسپرينگ واشر 115"</f>
        <v>اسپرينگ واشر 115</v>
      </c>
      <c r="G382" s="1" t="str">
        <f>"عدد"</f>
        <v>عدد</v>
      </c>
      <c r="H382" s="1">
        <v>6</v>
      </c>
      <c r="I382" s="1">
        <v>2400</v>
      </c>
      <c r="J382" s="1">
        <v>0</v>
      </c>
      <c r="K382" s="1">
        <v>0</v>
      </c>
      <c r="L382" s="1">
        <v>0</v>
      </c>
      <c r="M382" s="1">
        <v>0</v>
      </c>
      <c r="O382" s="1">
        <v>97</v>
      </c>
      <c r="P382" s="4">
        <f t="shared" si="15"/>
        <v>2400</v>
      </c>
      <c r="Q382" s="4">
        <f t="shared" si="16"/>
        <v>6</v>
      </c>
      <c r="R382" s="4">
        <f t="shared" si="17"/>
        <v>400</v>
      </c>
    </row>
    <row r="383" spans="1:18" hidden="1">
      <c r="A383" s="1">
        <v>2</v>
      </c>
      <c r="B383" s="1" t="str">
        <f>"قطعات و لوازم يدكي"</f>
        <v>قطعات و لوازم يدكي</v>
      </c>
      <c r="C383" s="1">
        <v>101</v>
      </c>
      <c r="D383" s="1" t="str">
        <f>"انبار قطعات و لوازم يدكي اصفهان"</f>
        <v>انبار قطعات و لوازم يدكي اصفهان</v>
      </c>
      <c r="E383" s="1" t="str">
        <f>"3114816333"</f>
        <v>3114816333</v>
      </c>
      <c r="F383" s="1" t="str">
        <f>"کاپلينگ اسپيسر p-1602,p-1003"</f>
        <v>کاپلينگ اسپيسر p-1602,p-1003</v>
      </c>
      <c r="G383" s="1" t="str">
        <f>"عدد"</f>
        <v>عدد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O383" s="1">
        <v>97</v>
      </c>
      <c r="P383" s="1">
        <f t="shared" si="15"/>
        <v>0</v>
      </c>
      <c r="Q383" s="1">
        <f t="shared" si="16"/>
        <v>0</v>
      </c>
      <c r="R383" s="1" t="e">
        <f t="shared" si="17"/>
        <v>#DIV/0!</v>
      </c>
    </row>
    <row r="384" spans="1:18">
      <c r="A384" s="1">
        <v>2</v>
      </c>
      <c r="B384" s="1" t="str">
        <f>"قطعات و لوازم يدكي"</f>
        <v>قطعات و لوازم يدكي</v>
      </c>
      <c r="C384" s="1">
        <v>101</v>
      </c>
      <c r="D384" s="1" t="str">
        <f>"انبار قطعات و لوازم يدكي اصفهان"</f>
        <v>انبار قطعات و لوازم يدكي اصفهان</v>
      </c>
      <c r="E384" s="1" t="str">
        <f>"3114816349"</f>
        <v>3114816349</v>
      </c>
      <c r="F384" s="1" t="str">
        <f>"مش سيل (mech seal)"</f>
        <v>مش سيل (mech seal)</v>
      </c>
      <c r="G384" s="1" t="str">
        <f>"عدد"</f>
        <v>عدد</v>
      </c>
      <c r="H384" s="1">
        <v>24</v>
      </c>
      <c r="I384" s="1">
        <v>509170834</v>
      </c>
      <c r="J384" s="1">
        <v>0</v>
      </c>
      <c r="K384" s="1">
        <v>0</v>
      </c>
      <c r="L384" s="1">
        <v>4</v>
      </c>
      <c r="M384" s="1">
        <v>84861806</v>
      </c>
      <c r="O384" s="1">
        <v>97</v>
      </c>
      <c r="P384" s="4">
        <f t="shared" si="15"/>
        <v>424309028</v>
      </c>
      <c r="Q384" s="4">
        <f t="shared" si="16"/>
        <v>20</v>
      </c>
      <c r="R384" s="4">
        <f t="shared" si="17"/>
        <v>21215451.399999999</v>
      </c>
    </row>
    <row r="385" spans="1:18">
      <c r="A385" s="1">
        <v>2</v>
      </c>
      <c r="B385" s="1" t="str">
        <f>"قطعات و لوازم يدكي"</f>
        <v>قطعات و لوازم يدكي</v>
      </c>
      <c r="C385" s="1">
        <v>101</v>
      </c>
      <c r="D385" s="1" t="str">
        <f>"انبار قطعات و لوازم يدكي اصفهان"</f>
        <v>انبار قطعات و لوازم يدكي اصفهان</v>
      </c>
      <c r="E385" s="1" t="str">
        <f>"3114816363"</f>
        <v>3114816363</v>
      </c>
      <c r="F385" s="1" t="str">
        <f>"واشر با سايز 50 P-1001 ,1002C,P-1602A/B/C"</f>
        <v>واشر با سايز 50 P-1001 ,1002C,P-1602A/B/C</v>
      </c>
      <c r="G385" s="1" t="str">
        <f>"عدد"</f>
        <v>عدد</v>
      </c>
      <c r="H385" s="1">
        <v>4</v>
      </c>
      <c r="I385" s="1">
        <v>600000</v>
      </c>
      <c r="J385" s="1">
        <v>0</v>
      </c>
      <c r="K385" s="1">
        <v>0</v>
      </c>
      <c r="L385" s="1">
        <v>0</v>
      </c>
      <c r="M385" s="1">
        <v>0</v>
      </c>
      <c r="O385" s="1">
        <v>97</v>
      </c>
      <c r="P385" s="4">
        <f t="shared" si="15"/>
        <v>600000</v>
      </c>
      <c r="Q385" s="4">
        <f t="shared" si="16"/>
        <v>4</v>
      </c>
      <c r="R385" s="4">
        <f t="shared" si="17"/>
        <v>150000</v>
      </c>
    </row>
    <row r="386" spans="1:18">
      <c r="A386" s="1">
        <v>2</v>
      </c>
      <c r="B386" s="1" t="str">
        <f>"قطعات و لوازم يدكي"</f>
        <v>قطعات و لوازم يدكي</v>
      </c>
      <c r="C386" s="1">
        <v>101</v>
      </c>
      <c r="D386" s="1" t="str">
        <f>"انبار قطعات و لوازم يدكي اصفهان"</f>
        <v>انبار قطعات و لوازم يدكي اصفهان</v>
      </c>
      <c r="E386" s="1" t="str">
        <f>"3300000013"</f>
        <v>3300000013</v>
      </c>
      <c r="F386" s="1" t="str">
        <f>"کليد شافت    p-1001A.B"</f>
        <v>کليد شافت    p-1001A.B</v>
      </c>
      <c r="G386" s="1" t="str">
        <f>"عدد"</f>
        <v>عدد</v>
      </c>
      <c r="H386" s="1">
        <v>4</v>
      </c>
      <c r="I386" s="1">
        <v>600000</v>
      </c>
      <c r="J386" s="1">
        <v>0</v>
      </c>
      <c r="K386" s="1">
        <v>0</v>
      </c>
      <c r="L386" s="1">
        <v>0</v>
      </c>
      <c r="M386" s="1">
        <v>0</v>
      </c>
      <c r="O386" s="1">
        <v>97</v>
      </c>
      <c r="P386" s="4">
        <f t="shared" si="15"/>
        <v>600000</v>
      </c>
      <c r="Q386" s="4">
        <f t="shared" si="16"/>
        <v>4</v>
      </c>
      <c r="R386" s="4">
        <f t="shared" si="17"/>
        <v>150000</v>
      </c>
    </row>
    <row r="387" spans="1:18">
      <c r="A387" s="1">
        <v>2</v>
      </c>
      <c r="B387" s="1" t="str">
        <f>"قطعات و لوازم يدكي"</f>
        <v>قطعات و لوازم يدكي</v>
      </c>
      <c r="C387" s="1">
        <v>101</v>
      </c>
      <c r="D387" s="1" t="str">
        <f>"انبار قطعات و لوازم يدكي اصفهان"</f>
        <v>انبار قطعات و لوازم يدكي اصفهان</v>
      </c>
      <c r="E387" s="1" t="str">
        <f>"3300000043"</f>
        <v>3300000043</v>
      </c>
      <c r="F387" s="1" t="str">
        <f>"پوسته پمپ"</f>
        <v>پوسته پمپ</v>
      </c>
      <c r="G387" s="1" t="str">
        <f>"عدد"</f>
        <v>عدد</v>
      </c>
      <c r="H387" s="1">
        <v>2</v>
      </c>
      <c r="I387" s="1">
        <v>210000000</v>
      </c>
      <c r="J387" s="1">
        <v>0</v>
      </c>
      <c r="K387" s="1">
        <v>0</v>
      </c>
      <c r="L387" s="1">
        <v>0</v>
      </c>
      <c r="M387" s="1">
        <v>0</v>
      </c>
      <c r="O387" s="1">
        <v>97</v>
      </c>
      <c r="P387" s="4">
        <f t="shared" ref="P387:P450" si="18">I387+K387-M387</f>
        <v>210000000</v>
      </c>
      <c r="Q387" s="4">
        <f t="shared" ref="Q387:Q450" si="19">H387+J387-L387</f>
        <v>2</v>
      </c>
      <c r="R387" s="4">
        <f t="shared" ref="R387:R450" si="20">P387/Q387</f>
        <v>105000000</v>
      </c>
    </row>
    <row r="388" spans="1:18">
      <c r="A388" s="1">
        <v>2</v>
      </c>
      <c r="B388" s="1" t="str">
        <f>"قطعات و لوازم يدكي"</f>
        <v>قطعات و لوازم يدكي</v>
      </c>
      <c r="C388" s="1">
        <v>101</v>
      </c>
      <c r="D388" s="1" t="str">
        <f>"انبار قطعات و لوازم يدكي اصفهان"</f>
        <v>انبار قطعات و لوازم يدكي اصفهان</v>
      </c>
      <c r="E388" s="1" t="str">
        <f>"3301020023"</f>
        <v>3301020023</v>
      </c>
      <c r="F388" s="1" t="str">
        <f>"پکينگ مترينگ P-1001A/B"</f>
        <v>پکينگ مترينگ P-1001A/B</v>
      </c>
      <c r="G388" s="1" t="str">
        <f>"عدد"</f>
        <v>عدد</v>
      </c>
      <c r="H388" s="1">
        <v>71</v>
      </c>
      <c r="I388" s="1">
        <v>21300000</v>
      </c>
      <c r="J388" s="1">
        <v>0</v>
      </c>
      <c r="K388" s="1">
        <v>0</v>
      </c>
      <c r="L388" s="1">
        <v>0</v>
      </c>
      <c r="M388" s="1">
        <v>0</v>
      </c>
      <c r="O388" s="1">
        <v>97</v>
      </c>
      <c r="P388" s="4">
        <f t="shared" si="18"/>
        <v>21300000</v>
      </c>
      <c r="Q388" s="4">
        <f t="shared" si="19"/>
        <v>71</v>
      </c>
      <c r="R388" s="4">
        <f t="shared" si="20"/>
        <v>300000</v>
      </c>
    </row>
    <row r="389" spans="1:18">
      <c r="A389" s="1">
        <v>2</v>
      </c>
      <c r="B389" s="1" t="str">
        <f>"قطعات و لوازم يدكي"</f>
        <v>قطعات و لوازم يدكي</v>
      </c>
      <c r="C389" s="1">
        <v>101</v>
      </c>
      <c r="D389" s="1" t="str">
        <f>"انبار قطعات و لوازم يدكي اصفهان"</f>
        <v>انبار قطعات و لوازم يدكي اصفهان</v>
      </c>
      <c r="E389" s="1" t="str">
        <f>"3371150023"</f>
        <v>3371150023</v>
      </c>
      <c r="F389" s="1" t="str">
        <f>"رول بيرينگ MIL27"</f>
        <v>رول بيرينگ MIL27</v>
      </c>
      <c r="G389" s="1" t="str">
        <f>"عدد"</f>
        <v>عدد</v>
      </c>
      <c r="H389" s="1">
        <v>4</v>
      </c>
      <c r="I389" s="1">
        <v>9800000</v>
      </c>
      <c r="J389" s="1">
        <v>0</v>
      </c>
      <c r="K389" s="1">
        <v>0</v>
      </c>
      <c r="L389" s="1">
        <v>0</v>
      </c>
      <c r="M389" s="1">
        <v>0</v>
      </c>
      <c r="O389" s="1">
        <v>97</v>
      </c>
      <c r="P389" s="4">
        <f t="shared" si="18"/>
        <v>9800000</v>
      </c>
      <c r="Q389" s="4">
        <f t="shared" si="19"/>
        <v>4</v>
      </c>
      <c r="R389" s="4">
        <f t="shared" si="20"/>
        <v>2450000</v>
      </c>
    </row>
    <row r="390" spans="1:18">
      <c r="A390" s="1">
        <v>2</v>
      </c>
      <c r="B390" s="1" t="str">
        <f>"قطعات و لوازم يدكي"</f>
        <v>قطعات و لوازم يدكي</v>
      </c>
      <c r="C390" s="1">
        <v>101</v>
      </c>
      <c r="D390" s="1" t="str">
        <f>"انبار قطعات و لوازم يدكي اصفهان"</f>
        <v>انبار قطعات و لوازم يدكي اصفهان</v>
      </c>
      <c r="E390" s="1" t="str">
        <f>"3371155183"</f>
        <v>3371155183</v>
      </c>
      <c r="F390" s="1" t="str">
        <f>"گي تامينگ گر"</f>
        <v>گي تامينگ گر</v>
      </c>
      <c r="G390" s="1" t="str">
        <f>"عدد"</f>
        <v>عدد</v>
      </c>
      <c r="H390" s="1">
        <v>8</v>
      </c>
      <c r="I390" s="1">
        <v>647960</v>
      </c>
      <c r="J390" s="1">
        <v>0</v>
      </c>
      <c r="K390" s="1">
        <v>0</v>
      </c>
      <c r="L390" s="1">
        <v>0</v>
      </c>
      <c r="M390" s="1">
        <v>0</v>
      </c>
      <c r="O390" s="1">
        <v>97</v>
      </c>
      <c r="P390" s="4">
        <f t="shared" si="18"/>
        <v>647960</v>
      </c>
      <c r="Q390" s="4">
        <f t="shared" si="19"/>
        <v>8</v>
      </c>
      <c r="R390" s="4">
        <f t="shared" si="20"/>
        <v>80995</v>
      </c>
    </row>
    <row r="391" spans="1:18">
      <c r="A391" s="1">
        <v>2</v>
      </c>
      <c r="B391" s="1" t="str">
        <f>"قطعات و لوازم يدكي"</f>
        <v>قطعات و لوازم يدكي</v>
      </c>
      <c r="C391" s="1">
        <v>101</v>
      </c>
      <c r="D391" s="1" t="str">
        <f>"انبار قطعات و لوازم يدكي اصفهان"</f>
        <v>انبار قطعات و لوازم يدكي اصفهان</v>
      </c>
      <c r="E391" s="1" t="str">
        <f>"3371205713"</f>
        <v>3371205713</v>
      </c>
      <c r="F391" s="1" t="str">
        <f>"اورينگ تايمتگ گر"</f>
        <v>اورينگ تايمتگ گر</v>
      </c>
      <c r="G391" s="1" t="str">
        <f>"عدد"</f>
        <v>عدد</v>
      </c>
      <c r="H391" s="1">
        <v>3</v>
      </c>
      <c r="I391" s="1">
        <v>30000</v>
      </c>
      <c r="J391" s="1">
        <v>0</v>
      </c>
      <c r="K391" s="1">
        <v>0</v>
      </c>
      <c r="L391" s="1">
        <v>0</v>
      </c>
      <c r="M391" s="1">
        <v>0</v>
      </c>
      <c r="O391" s="1">
        <v>97</v>
      </c>
      <c r="P391" s="4">
        <f t="shared" si="18"/>
        <v>30000</v>
      </c>
      <c r="Q391" s="4">
        <f t="shared" si="19"/>
        <v>3</v>
      </c>
      <c r="R391" s="4">
        <f t="shared" si="20"/>
        <v>10000</v>
      </c>
    </row>
    <row r="392" spans="1:18">
      <c r="A392" s="1">
        <v>2</v>
      </c>
      <c r="B392" s="1" t="str">
        <f>"قطعات و لوازم يدكي"</f>
        <v>قطعات و لوازم يدكي</v>
      </c>
      <c r="C392" s="1">
        <v>101</v>
      </c>
      <c r="D392" s="1" t="str">
        <f>"انبار قطعات و لوازم يدكي اصفهان"</f>
        <v>انبار قطعات و لوازم يدكي اصفهان</v>
      </c>
      <c r="E392" s="1" t="str">
        <f>"3456650073"</f>
        <v>3456650073</v>
      </c>
      <c r="F392" s="1" t="str">
        <f>"اسنپ رينگ فرنت براكت"</f>
        <v>اسنپ رينگ فرنت براكت</v>
      </c>
      <c r="G392" s="1" t="str">
        <f>"عدد"</f>
        <v>عدد</v>
      </c>
      <c r="H392" s="1">
        <v>1</v>
      </c>
      <c r="I392" s="1">
        <v>1056</v>
      </c>
      <c r="J392" s="1">
        <v>0</v>
      </c>
      <c r="K392" s="1">
        <v>0</v>
      </c>
      <c r="L392" s="1">
        <v>0</v>
      </c>
      <c r="M392" s="1">
        <v>0</v>
      </c>
      <c r="O392" s="1">
        <v>97</v>
      </c>
      <c r="P392" s="4">
        <f t="shared" si="18"/>
        <v>1056</v>
      </c>
      <c r="Q392" s="4">
        <f t="shared" si="19"/>
        <v>1</v>
      </c>
      <c r="R392" s="4">
        <f t="shared" si="20"/>
        <v>1056</v>
      </c>
    </row>
    <row r="393" spans="1:18">
      <c r="A393" s="1">
        <v>2</v>
      </c>
      <c r="B393" s="1" t="str">
        <f>"قطعات و لوازم يدكي"</f>
        <v>قطعات و لوازم يدكي</v>
      </c>
      <c r="C393" s="1">
        <v>101</v>
      </c>
      <c r="D393" s="1" t="str">
        <f>"انبار قطعات و لوازم يدكي اصفهان"</f>
        <v>انبار قطعات و لوازم يدكي اصفهان</v>
      </c>
      <c r="E393" s="1" t="str">
        <f>"3456650133"</f>
        <v>3456650133</v>
      </c>
      <c r="F393" s="1" t="str">
        <f>"اورينگ 4-65    p-1004"</f>
        <v>اورينگ 4-65    p-1004</v>
      </c>
      <c r="G393" s="1" t="str">
        <f>"عدد"</f>
        <v>عدد</v>
      </c>
      <c r="H393" s="1">
        <v>4</v>
      </c>
      <c r="I393" s="1">
        <v>12000</v>
      </c>
      <c r="J393" s="1">
        <v>0</v>
      </c>
      <c r="K393" s="1">
        <v>0</v>
      </c>
      <c r="L393" s="1">
        <v>0</v>
      </c>
      <c r="M393" s="1">
        <v>0</v>
      </c>
      <c r="O393" s="1">
        <v>97</v>
      </c>
      <c r="P393" s="4">
        <f t="shared" si="18"/>
        <v>12000</v>
      </c>
      <c r="Q393" s="4">
        <f t="shared" si="19"/>
        <v>4</v>
      </c>
      <c r="R393" s="4">
        <f t="shared" si="20"/>
        <v>3000</v>
      </c>
    </row>
    <row r="394" spans="1:18">
      <c r="A394" s="1">
        <v>2</v>
      </c>
      <c r="B394" s="1" t="str">
        <f>"قطعات و لوازم يدكي"</f>
        <v>قطعات و لوازم يدكي</v>
      </c>
      <c r="C394" s="1">
        <v>101</v>
      </c>
      <c r="D394" s="1" t="str">
        <f>"انبار قطعات و لوازم يدكي اصفهان"</f>
        <v>انبار قطعات و لوازم يدكي اصفهان</v>
      </c>
      <c r="E394" s="1" t="str">
        <f>"4301010042"</f>
        <v>4301010042</v>
      </c>
      <c r="F394" s="1" t="str">
        <f>"بال بيرينگ J2 32314"</f>
        <v>بال بيرينگ J2 32314</v>
      </c>
      <c r="G394" s="1" t="str">
        <f>"عدد"</f>
        <v>عدد</v>
      </c>
      <c r="H394" s="1">
        <v>3</v>
      </c>
      <c r="I394" s="1">
        <v>7500000</v>
      </c>
      <c r="J394" s="1">
        <v>0</v>
      </c>
      <c r="K394" s="1">
        <v>0</v>
      </c>
      <c r="L394" s="1">
        <v>0</v>
      </c>
      <c r="M394" s="1">
        <v>0</v>
      </c>
      <c r="O394" s="1">
        <v>97</v>
      </c>
      <c r="P394" s="4">
        <f t="shared" si="18"/>
        <v>7500000</v>
      </c>
      <c r="Q394" s="4">
        <f t="shared" si="19"/>
        <v>3</v>
      </c>
      <c r="R394" s="4">
        <f t="shared" si="20"/>
        <v>2500000</v>
      </c>
    </row>
    <row r="395" spans="1:18">
      <c r="A395" s="1">
        <v>2</v>
      </c>
      <c r="B395" s="1" t="str">
        <f>"قطعات و لوازم يدكي"</f>
        <v>قطعات و لوازم يدكي</v>
      </c>
      <c r="C395" s="1">
        <v>101</v>
      </c>
      <c r="D395" s="1" t="str">
        <f>"انبار قطعات و لوازم يدكي اصفهان"</f>
        <v>انبار قطعات و لوازم يدكي اصفهان</v>
      </c>
      <c r="E395" s="1" t="str">
        <f>"4301010123"</f>
        <v>4301010123</v>
      </c>
      <c r="F395" s="1" t="str">
        <f>"Main Lens for P2000"</f>
        <v>Main Lens for P2000</v>
      </c>
      <c r="G395" s="1" t="str">
        <f>"عدد"</f>
        <v>عدد</v>
      </c>
      <c r="H395" s="1">
        <v>1</v>
      </c>
      <c r="I395" s="1">
        <v>3732418</v>
      </c>
      <c r="J395" s="1">
        <v>0</v>
      </c>
      <c r="K395" s="1">
        <v>0</v>
      </c>
      <c r="L395" s="1">
        <v>0</v>
      </c>
      <c r="M395" s="1">
        <v>0</v>
      </c>
      <c r="O395" s="1">
        <v>97</v>
      </c>
      <c r="P395" s="4">
        <f t="shared" si="18"/>
        <v>3732418</v>
      </c>
      <c r="Q395" s="4">
        <f t="shared" si="19"/>
        <v>1</v>
      </c>
      <c r="R395" s="4">
        <f t="shared" si="20"/>
        <v>3732418</v>
      </c>
    </row>
    <row r="396" spans="1:18">
      <c r="A396" s="1">
        <v>2</v>
      </c>
      <c r="B396" s="1" t="str">
        <f>"قطعات و لوازم يدكي"</f>
        <v>قطعات و لوازم يدكي</v>
      </c>
      <c r="C396" s="1">
        <v>101</v>
      </c>
      <c r="D396" s="1" t="str">
        <f>"انبار قطعات و لوازم يدكي اصفهان"</f>
        <v>انبار قطعات و لوازم يدكي اصفهان</v>
      </c>
      <c r="E396" s="1" t="str">
        <f>"4301020022"</f>
        <v>4301020022</v>
      </c>
      <c r="F396" s="1" t="str">
        <f>"BALL BEARING SL 182934 B-XL"</f>
        <v>BALL BEARING SL 182934 B-XL</v>
      </c>
      <c r="G396" s="1" t="str">
        <f>"عدد"</f>
        <v>عدد</v>
      </c>
      <c r="H396" s="1">
        <v>7</v>
      </c>
      <c r="I396" s="1">
        <v>145188240</v>
      </c>
      <c r="J396" s="1">
        <v>0</v>
      </c>
      <c r="K396" s="1">
        <v>0</v>
      </c>
      <c r="L396" s="1">
        <v>0</v>
      </c>
      <c r="M396" s="1">
        <v>0</v>
      </c>
      <c r="O396" s="1">
        <v>97</v>
      </c>
      <c r="P396" s="4">
        <f t="shared" si="18"/>
        <v>145188240</v>
      </c>
      <c r="Q396" s="4">
        <f t="shared" si="19"/>
        <v>7</v>
      </c>
      <c r="R396" s="4">
        <f t="shared" si="20"/>
        <v>20741177.142857142</v>
      </c>
    </row>
    <row r="397" spans="1:18">
      <c r="A397" s="1">
        <v>2</v>
      </c>
      <c r="B397" s="1" t="str">
        <f>"قطعات و لوازم يدكي"</f>
        <v>قطعات و لوازم يدكي</v>
      </c>
      <c r="C397" s="1">
        <v>101</v>
      </c>
      <c r="D397" s="1" t="str">
        <f>"انبار قطعات و لوازم يدكي اصفهان"</f>
        <v>انبار قطعات و لوازم يدكي اصفهان</v>
      </c>
      <c r="E397" s="1" t="str">
        <f>"4301020032"</f>
        <v>4301020032</v>
      </c>
      <c r="F397" s="1" t="str">
        <f>"BALL BEARING GS81134"</f>
        <v>BALL BEARING GS81134</v>
      </c>
      <c r="G397" s="1" t="str">
        <f>"عدد"</f>
        <v>عدد</v>
      </c>
      <c r="H397" s="1">
        <v>4</v>
      </c>
      <c r="I397" s="1">
        <v>79000000</v>
      </c>
      <c r="J397" s="1">
        <v>0</v>
      </c>
      <c r="K397" s="1">
        <v>0</v>
      </c>
      <c r="L397" s="1">
        <v>0</v>
      </c>
      <c r="M397" s="1">
        <v>0</v>
      </c>
      <c r="O397" s="1">
        <v>97</v>
      </c>
      <c r="P397" s="4">
        <f t="shared" si="18"/>
        <v>79000000</v>
      </c>
      <c r="Q397" s="4">
        <f t="shared" si="19"/>
        <v>4</v>
      </c>
      <c r="R397" s="4">
        <f t="shared" si="20"/>
        <v>19750000</v>
      </c>
    </row>
    <row r="398" spans="1:18" hidden="1">
      <c r="A398" s="1">
        <v>2</v>
      </c>
      <c r="B398" s="1" t="str">
        <f>"قطعات و لوازم يدكي"</f>
        <v>قطعات و لوازم يدكي</v>
      </c>
      <c r="C398" s="1">
        <v>101</v>
      </c>
      <c r="D398" s="1" t="str">
        <f>"انبار قطعات و لوازم يدكي اصفهان"</f>
        <v>انبار قطعات و لوازم يدكي اصفهان</v>
      </c>
      <c r="E398" s="1" t="str">
        <f>"4304021018"</f>
        <v>4304021018</v>
      </c>
      <c r="F398" s="1" t="str">
        <f>"گيربکس تعميري"</f>
        <v>گيربکس تعميري</v>
      </c>
      <c r="G398" s="1" t="str">
        <f>"عدد"</f>
        <v>عدد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O398" s="1">
        <v>97</v>
      </c>
      <c r="P398" s="1">
        <f t="shared" si="18"/>
        <v>0</v>
      </c>
      <c r="Q398" s="1">
        <f t="shared" si="19"/>
        <v>0</v>
      </c>
      <c r="R398" s="1" t="e">
        <f t="shared" si="20"/>
        <v>#DIV/0!</v>
      </c>
    </row>
    <row r="399" spans="1:18">
      <c r="A399" s="1">
        <v>2</v>
      </c>
      <c r="B399" s="1" t="str">
        <f>"قطعات و لوازم يدكي"</f>
        <v>قطعات و لوازم يدكي</v>
      </c>
      <c r="C399" s="1">
        <v>101</v>
      </c>
      <c r="D399" s="1" t="str">
        <f>"انبار قطعات و لوازم يدكي اصفهان"</f>
        <v>انبار قطعات و لوازم يدكي اصفهان</v>
      </c>
      <c r="E399" s="1" t="str">
        <f>"4304021033"</f>
        <v>4304021033</v>
      </c>
      <c r="F399" s="1" t="str">
        <f>"اينترمديت فلنج"</f>
        <v>اينترمديت فلنج</v>
      </c>
      <c r="G399" s="1" t="str">
        <f>"عدد"</f>
        <v>عدد</v>
      </c>
      <c r="H399" s="1">
        <v>2</v>
      </c>
      <c r="I399" s="1">
        <v>11749707</v>
      </c>
      <c r="J399" s="1">
        <v>0</v>
      </c>
      <c r="K399" s="1">
        <v>0</v>
      </c>
      <c r="L399" s="1">
        <v>0</v>
      </c>
      <c r="M399" s="1">
        <v>0</v>
      </c>
      <c r="O399" s="1">
        <v>97</v>
      </c>
      <c r="P399" s="4">
        <f t="shared" si="18"/>
        <v>11749707</v>
      </c>
      <c r="Q399" s="4">
        <f t="shared" si="19"/>
        <v>2</v>
      </c>
      <c r="R399" s="4">
        <f t="shared" si="20"/>
        <v>5874853.5</v>
      </c>
    </row>
    <row r="400" spans="1:18">
      <c r="A400" s="1">
        <v>2</v>
      </c>
      <c r="B400" s="1" t="str">
        <f>"قطعات و لوازم يدكي"</f>
        <v>قطعات و لوازم يدكي</v>
      </c>
      <c r="C400" s="1">
        <v>101</v>
      </c>
      <c r="D400" s="1" t="str">
        <f>"انبار قطعات و لوازم يدكي اصفهان"</f>
        <v>انبار قطعات و لوازم يدكي اصفهان</v>
      </c>
      <c r="E400" s="1" t="str">
        <f>"4304021093"</f>
        <v>4304021093</v>
      </c>
      <c r="F400" s="1" t="str">
        <f>"ساپرتينگ ديسك"</f>
        <v>ساپرتينگ ديسك</v>
      </c>
      <c r="G400" s="1" t="str">
        <f>"عدد"</f>
        <v>عدد</v>
      </c>
      <c r="H400" s="1">
        <v>2</v>
      </c>
      <c r="I400" s="1">
        <v>655600</v>
      </c>
      <c r="J400" s="1">
        <v>0</v>
      </c>
      <c r="K400" s="1">
        <v>0</v>
      </c>
      <c r="L400" s="1">
        <v>0</v>
      </c>
      <c r="M400" s="1">
        <v>0</v>
      </c>
      <c r="O400" s="1">
        <v>97</v>
      </c>
      <c r="P400" s="4">
        <f t="shared" si="18"/>
        <v>655600</v>
      </c>
      <c r="Q400" s="4">
        <f t="shared" si="19"/>
        <v>2</v>
      </c>
      <c r="R400" s="4">
        <f t="shared" si="20"/>
        <v>327800</v>
      </c>
    </row>
    <row r="401" spans="1:18">
      <c r="A401" s="1">
        <v>2</v>
      </c>
      <c r="B401" s="1" t="str">
        <f>"قطعات و لوازم يدكي"</f>
        <v>قطعات و لوازم يدكي</v>
      </c>
      <c r="C401" s="1">
        <v>101</v>
      </c>
      <c r="D401" s="1" t="str">
        <f>"انبار قطعات و لوازم يدكي اصفهان"</f>
        <v>انبار قطعات و لوازم يدكي اصفهان</v>
      </c>
      <c r="E401" s="1" t="str">
        <f>"4304021173"</f>
        <v>4304021173</v>
      </c>
      <c r="F401" s="1" t="str">
        <f>"سلينگ رينگ 057-580"</f>
        <v>سلينگ رينگ 057-580</v>
      </c>
      <c r="G401" s="1" t="str">
        <f>"عدد"</f>
        <v>عدد</v>
      </c>
      <c r="H401" s="1">
        <v>9</v>
      </c>
      <c r="I401" s="1">
        <v>25543</v>
      </c>
      <c r="J401" s="1">
        <v>0</v>
      </c>
      <c r="K401" s="1">
        <v>0</v>
      </c>
      <c r="L401" s="1">
        <v>0</v>
      </c>
      <c r="M401" s="1">
        <v>0</v>
      </c>
      <c r="O401" s="1">
        <v>97</v>
      </c>
      <c r="P401" s="4">
        <f t="shared" si="18"/>
        <v>25543</v>
      </c>
      <c r="Q401" s="4">
        <f t="shared" si="19"/>
        <v>9</v>
      </c>
      <c r="R401" s="4">
        <f t="shared" si="20"/>
        <v>2838.1111111111113</v>
      </c>
    </row>
    <row r="402" spans="1:18">
      <c r="A402" s="1">
        <v>2</v>
      </c>
      <c r="B402" s="1" t="str">
        <f>"قطعات و لوازم يدكي"</f>
        <v>قطعات و لوازم يدكي</v>
      </c>
      <c r="C402" s="1">
        <v>101</v>
      </c>
      <c r="D402" s="1" t="str">
        <f>"انبار قطعات و لوازم يدكي اصفهان"</f>
        <v>انبار قطعات و لوازم يدكي اصفهان</v>
      </c>
      <c r="E402" s="1" t="str">
        <f>"4346491522"</f>
        <v>4346491522</v>
      </c>
      <c r="F402" s="1" t="str">
        <f>"فيلتر مخصوص ليفتراك 10  تني"</f>
        <v>فيلتر مخصوص ليفتراك 10  تني</v>
      </c>
      <c r="G402" s="1" t="str">
        <f>"عدد"</f>
        <v>عدد</v>
      </c>
      <c r="H402" s="1">
        <v>1</v>
      </c>
      <c r="I402" s="1">
        <v>200000</v>
      </c>
      <c r="J402" s="1">
        <v>0</v>
      </c>
      <c r="K402" s="1">
        <v>0</v>
      </c>
      <c r="L402" s="1">
        <v>0</v>
      </c>
      <c r="M402" s="1">
        <v>0</v>
      </c>
      <c r="O402" s="1">
        <v>97</v>
      </c>
      <c r="P402" s="4">
        <f t="shared" si="18"/>
        <v>200000</v>
      </c>
      <c r="Q402" s="4">
        <f t="shared" si="19"/>
        <v>1</v>
      </c>
      <c r="R402" s="4">
        <f t="shared" si="20"/>
        <v>200000</v>
      </c>
    </row>
    <row r="403" spans="1:18">
      <c r="A403" s="1">
        <v>2</v>
      </c>
      <c r="B403" s="1" t="str">
        <f>"قطعات و لوازم يدكي"</f>
        <v>قطعات و لوازم يدكي</v>
      </c>
      <c r="C403" s="1">
        <v>101</v>
      </c>
      <c r="D403" s="1" t="str">
        <f>"انبار قطعات و لوازم يدكي اصفهان"</f>
        <v>انبار قطعات و لوازم يدكي اصفهان</v>
      </c>
      <c r="E403" s="1" t="str">
        <f>"5800062242"</f>
        <v>5800062242</v>
      </c>
      <c r="F403" s="1" t="str">
        <f>"بال بيرينگ 6024"</f>
        <v>بال بيرينگ 6024</v>
      </c>
      <c r="G403" s="1" t="str">
        <f>"عدد"</f>
        <v>عدد</v>
      </c>
      <c r="H403" s="1">
        <v>1</v>
      </c>
      <c r="I403" s="1">
        <v>4800000</v>
      </c>
      <c r="J403" s="1">
        <v>1</v>
      </c>
      <c r="K403" s="1">
        <v>4800000</v>
      </c>
      <c r="L403" s="1">
        <v>1</v>
      </c>
      <c r="M403" s="1">
        <v>4800000</v>
      </c>
      <c r="O403" s="1">
        <v>97</v>
      </c>
      <c r="P403" s="4">
        <f t="shared" si="18"/>
        <v>4800000</v>
      </c>
      <c r="Q403" s="4">
        <f t="shared" si="19"/>
        <v>1</v>
      </c>
      <c r="R403" s="4">
        <f t="shared" si="20"/>
        <v>4800000</v>
      </c>
    </row>
    <row r="404" spans="1:18" hidden="1">
      <c r="A404" s="1">
        <v>2</v>
      </c>
      <c r="B404" s="1" t="str">
        <f>"قطعات و لوازم يدكي"</f>
        <v>قطعات و لوازم يدكي</v>
      </c>
      <c r="C404" s="1">
        <v>101</v>
      </c>
      <c r="D404" s="1" t="str">
        <f>"انبار قطعات و لوازم يدكي اصفهان"</f>
        <v>انبار قطعات و لوازم يدكي اصفهان</v>
      </c>
      <c r="E404" s="1" t="str">
        <f>"5800083072"</f>
        <v>5800083072</v>
      </c>
      <c r="F404" s="1" t="str">
        <f>"BALL BEARING 6207 2z"</f>
        <v>BALL BEARING 6207 2z</v>
      </c>
      <c r="G404" s="1" t="str">
        <f>"عدد"</f>
        <v>عدد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O404" s="1">
        <v>97</v>
      </c>
      <c r="P404" s="1">
        <f t="shared" si="18"/>
        <v>0</v>
      </c>
      <c r="Q404" s="1">
        <f t="shared" si="19"/>
        <v>0</v>
      </c>
      <c r="R404" s="1" t="e">
        <f t="shared" si="20"/>
        <v>#DIV/0!</v>
      </c>
    </row>
    <row r="405" spans="1:18">
      <c r="A405" s="1">
        <v>2</v>
      </c>
      <c r="B405" s="1" t="str">
        <f>"قطعات و لوازم يدكي"</f>
        <v>قطعات و لوازم يدكي</v>
      </c>
      <c r="C405" s="1">
        <v>101</v>
      </c>
      <c r="D405" s="1" t="str">
        <f>"انبار قطعات و لوازم يدكي اصفهان"</f>
        <v>انبار قطعات و لوازم يدكي اصفهان</v>
      </c>
      <c r="E405" s="1" t="str">
        <f>"5800146202"</f>
        <v>5800146202</v>
      </c>
      <c r="F405" s="1" t="str">
        <f>"بال بيرينگ 6320-C4"</f>
        <v>بال بيرينگ 6320-C4</v>
      </c>
      <c r="G405" s="1" t="str">
        <f>"عدد"</f>
        <v>عدد</v>
      </c>
      <c r="H405" s="1">
        <v>2</v>
      </c>
      <c r="I405" s="1">
        <v>3500000</v>
      </c>
      <c r="J405" s="1">
        <v>0</v>
      </c>
      <c r="K405" s="1">
        <v>0</v>
      </c>
      <c r="L405" s="1">
        <v>0</v>
      </c>
      <c r="M405" s="1">
        <v>0</v>
      </c>
      <c r="O405" s="1">
        <v>97</v>
      </c>
      <c r="P405" s="4">
        <f t="shared" si="18"/>
        <v>3500000</v>
      </c>
      <c r="Q405" s="4">
        <f t="shared" si="19"/>
        <v>2</v>
      </c>
      <c r="R405" s="4">
        <f t="shared" si="20"/>
        <v>1750000</v>
      </c>
    </row>
    <row r="406" spans="1:18">
      <c r="A406" s="1">
        <v>2</v>
      </c>
      <c r="B406" s="1" t="str">
        <f>"قطعات و لوازم يدكي"</f>
        <v>قطعات و لوازم يدكي</v>
      </c>
      <c r="C406" s="1">
        <v>101</v>
      </c>
      <c r="D406" s="1" t="str">
        <f>"انبار قطعات و لوازم يدكي اصفهان"</f>
        <v>انبار قطعات و لوازم يدكي اصفهان</v>
      </c>
      <c r="E406" s="1" t="str">
        <f>"5800453102"</f>
        <v>5800453102</v>
      </c>
      <c r="F406" s="1" t="str">
        <f>"بال بيرينگ 3310"</f>
        <v>بال بيرينگ 3310</v>
      </c>
      <c r="G406" s="1" t="str">
        <f>"عدد"</f>
        <v>عدد</v>
      </c>
      <c r="H406" s="1">
        <v>3</v>
      </c>
      <c r="I406" s="1">
        <v>2838000</v>
      </c>
      <c r="J406" s="1">
        <v>0</v>
      </c>
      <c r="K406" s="1">
        <v>0</v>
      </c>
      <c r="L406" s="1">
        <v>0</v>
      </c>
      <c r="M406" s="1">
        <v>0</v>
      </c>
      <c r="O406" s="1">
        <v>97</v>
      </c>
      <c r="P406" s="4">
        <f t="shared" si="18"/>
        <v>2838000</v>
      </c>
      <c r="Q406" s="4">
        <f t="shared" si="19"/>
        <v>3</v>
      </c>
      <c r="R406" s="4">
        <f t="shared" si="20"/>
        <v>946000</v>
      </c>
    </row>
    <row r="407" spans="1:18">
      <c r="A407" s="1">
        <v>2</v>
      </c>
      <c r="B407" s="1" t="str">
        <f>"قطعات و لوازم يدكي"</f>
        <v>قطعات و لوازم يدكي</v>
      </c>
      <c r="C407" s="1">
        <v>101</v>
      </c>
      <c r="D407" s="1" t="str">
        <f>"انبار قطعات و لوازم يدكي اصفهان"</f>
        <v>انبار قطعات و لوازم يدكي اصفهان</v>
      </c>
      <c r="E407" s="1" t="str">
        <f>"5923763423"</f>
        <v>5923763423</v>
      </c>
      <c r="F407" s="1" t="str">
        <f>"ست رينگ كاسكت"</f>
        <v>ست رينگ كاسكت</v>
      </c>
      <c r="G407" s="1" t="str">
        <f>"عدد"</f>
        <v>عدد</v>
      </c>
      <c r="H407" s="1">
        <v>11</v>
      </c>
      <c r="I407" s="1">
        <v>2360813</v>
      </c>
      <c r="J407" s="1">
        <v>0</v>
      </c>
      <c r="K407" s="1">
        <v>0</v>
      </c>
      <c r="L407" s="1">
        <v>0</v>
      </c>
      <c r="M407" s="1">
        <v>0</v>
      </c>
      <c r="O407" s="1">
        <v>97</v>
      </c>
      <c r="P407" s="4">
        <f t="shared" si="18"/>
        <v>2360813</v>
      </c>
      <c r="Q407" s="4">
        <f t="shared" si="19"/>
        <v>11</v>
      </c>
      <c r="R407" s="4">
        <f t="shared" si="20"/>
        <v>214619.36363636365</v>
      </c>
    </row>
    <row r="408" spans="1:18">
      <c r="A408" s="1">
        <v>2</v>
      </c>
      <c r="B408" s="1" t="str">
        <f>"قطعات و لوازم يدكي"</f>
        <v>قطعات و لوازم يدكي</v>
      </c>
      <c r="C408" s="1">
        <v>101</v>
      </c>
      <c r="D408" s="1" t="str">
        <f>"انبار قطعات و لوازم يدكي اصفهان"</f>
        <v>انبار قطعات و لوازم يدكي اصفهان</v>
      </c>
      <c r="E408" s="1" t="str">
        <f>"5923774713"</f>
        <v>5923774713</v>
      </c>
      <c r="F408" s="1" t="str">
        <f>"كاسكت ا.اس.بي"</f>
        <v>كاسكت ا.اس.بي</v>
      </c>
      <c r="G408" s="1" t="str">
        <f>"عدد"</f>
        <v>عدد</v>
      </c>
      <c r="H408" s="1">
        <v>11</v>
      </c>
      <c r="I408" s="1">
        <v>1627264</v>
      </c>
      <c r="J408" s="1">
        <v>0</v>
      </c>
      <c r="K408" s="1">
        <v>0</v>
      </c>
      <c r="L408" s="1">
        <v>0</v>
      </c>
      <c r="M408" s="1">
        <v>0</v>
      </c>
      <c r="O408" s="1">
        <v>97</v>
      </c>
      <c r="P408" s="4">
        <f t="shared" si="18"/>
        <v>1627264</v>
      </c>
      <c r="Q408" s="4">
        <f t="shared" si="19"/>
        <v>11</v>
      </c>
      <c r="R408" s="4">
        <f t="shared" si="20"/>
        <v>147933.09090909091</v>
      </c>
    </row>
    <row r="409" spans="1:18">
      <c r="A409" s="1">
        <v>2</v>
      </c>
      <c r="B409" s="1" t="str">
        <f>"قطعات و لوازم يدكي"</f>
        <v>قطعات و لوازم يدكي</v>
      </c>
      <c r="C409" s="1">
        <v>101</v>
      </c>
      <c r="D409" s="1" t="str">
        <f>"انبار قطعات و لوازم يدكي اصفهان"</f>
        <v>انبار قطعات و لوازم يدكي اصفهان</v>
      </c>
      <c r="E409" s="1" t="str">
        <f>"5923916023"</f>
        <v>5923916023</v>
      </c>
      <c r="F409" s="1" t="str">
        <f>"سيل 9X012"</f>
        <v>سيل 9X012</v>
      </c>
      <c r="G409" s="1" t="str">
        <f>"عدد"</f>
        <v>عدد</v>
      </c>
      <c r="H409" s="1">
        <v>3</v>
      </c>
      <c r="I409" s="1">
        <v>2835</v>
      </c>
      <c r="J409" s="1">
        <v>0</v>
      </c>
      <c r="K409" s="1">
        <v>0</v>
      </c>
      <c r="L409" s="1">
        <v>0</v>
      </c>
      <c r="M409" s="1">
        <v>0</v>
      </c>
      <c r="O409" s="1">
        <v>97</v>
      </c>
      <c r="P409" s="4">
        <f t="shared" si="18"/>
        <v>2835</v>
      </c>
      <c r="Q409" s="4">
        <f t="shared" si="19"/>
        <v>3</v>
      </c>
      <c r="R409" s="4">
        <f t="shared" si="20"/>
        <v>945</v>
      </c>
    </row>
    <row r="410" spans="1:18">
      <c r="A410" s="1">
        <v>2</v>
      </c>
      <c r="B410" s="1" t="str">
        <f>"قطعات و لوازم يدكي"</f>
        <v>قطعات و لوازم يدكي</v>
      </c>
      <c r="C410" s="1">
        <v>101</v>
      </c>
      <c r="D410" s="1" t="str">
        <f>"انبار قطعات و لوازم يدكي اصفهان"</f>
        <v>انبار قطعات و لوازم يدكي اصفهان</v>
      </c>
      <c r="E410" s="1" t="str">
        <f>"5923916843"</f>
        <v>5923916843</v>
      </c>
      <c r="F410" s="1" t="str">
        <f>"درايو شيفت 1X012"</f>
        <v>درايو شيفت 1X012</v>
      </c>
      <c r="G410" s="1" t="str">
        <f>"عدد"</f>
        <v>عدد</v>
      </c>
      <c r="H410" s="1">
        <v>1</v>
      </c>
      <c r="I410" s="1">
        <v>49924</v>
      </c>
      <c r="J410" s="1">
        <v>0</v>
      </c>
      <c r="K410" s="1">
        <v>0</v>
      </c>
      <c r="L410" s="1">
        <v>0</v>
      </c>
      <c r="M410" s="1">
        <v>0</v>
      </c>
      <c r="O410" s="1">
        <v>97</v>
      </c>
      <c r="P410" s="4">
        <f t="shared" si="18"/>
        <v>49924</v>
      </c>
      <c r="Q410" s="4">
        <f t="shared" si="19"/>
        <v>1</v>
      </c>
      <c r="R410" s="4">
        <f t="shared" si="20"/>
        <v>49924</v>
      </c>
    </row>
    <row r="411" spans="1:18">
      <c r="A411" s="1">
        <v>2</v>
      </c>
      <c r="B411" s="1" t="str">
        <f>"قطعات و لوازم يدكي"</f>
        <v>قطعات و لوازم يدكي</v>
      </c>
      <c r="C411" s="1">
        <v>101</v>
      </c>
      <c r="D411" s="1" t="str">
        <f>"انبار قطعات و لوازم يدكي اصفهان"</f>
        <v>انبار قطعات و لوازم يدكي اصفهان</v>
      </c>
      <c r="E411" s="1" t="str">
        <f>"5923916853"</f>
        <v>5923916853</v>
      </c>
      <c r="F411" s="1" t="str">
        <f>"بال"</f>
        <v>بال</v>
      </c>
      <c r="G411" s="1" t="str">
        <f>"عدد"</f>
        <v>عدد</v>
      </c>
      <c r="H411" s="1">
        <v>4</v>
      </c>
      <c r="I411" s="1">
        <v>35096968</v>
      </c>
      <c r="J411" s="1">
        <v>0</v>
      </c>
      <c r="K411" s="1">
        <v>0</v>
      </c>
      <c r="L411" s="1">
        <v>0</v>
      </c>
      <c r="M411" s="1">
        <v>0</v>
      </c>
      <c r="O411" s="1">
        <v>97</v>
      </c>
      <c r="P411" s="4">
        <f t="shared" si="18"/>
        <v>35096968</v>
      </c>
      <c r="Q411" s="4">
        <f t="shared" si="19"/>
        <v>4</v>
      </c>
      <c r="R411" s="4">
        <f t="shared" si="20"/>
        <v>8774242</v>
      </c>
    </row>
    <row r="412" spans="1:18">
      <c r="A412" s="1">
        <v>2</v>
      </c>
      <c r="B412" s="1" t="str">
        <f>"قطعات و لوازم يدكي"</f>
        <v>قطعات و لوازم يدكي</v>
      </c>
      <c r="C412" s="1">
        <v>101</v>
      </c>
      <c r="D412" s="1" t="str">
        <f>"انبار قطعات و لوازم يدكي اصفهان"</f>
        <v>انبار قطعات و لوازم يدكي اصفهان</v>
      </c>
      <c r="E412" s="1" t="str">
        <f>"5940252363"</f>
        <v>5940252363</v>
      </c>
      <c r="F412" s="1" t="str">
        <f>"گيج گلاس  17*34*320"</f>
        <v>گيج گلاس  17*34*320</v>
      </c>
      <c r="G412" s="1" t="str">
        <f>"عدد"</f>
        <v>عدد</v>
      </c>
      <c r="H412" s="1">
        <v>2</v>
      </c>
      <c r="I412" s="1">
        <v>1107000</v>
      </c>
      <c r="J412" s="1">
        <v>0</v>
      </c>
      <c r="K412" s="1">
        <v>0</v>
      </c>
      <c r="L412" s="1">
        <v>0</v>
      </c>
      <c r="M412" s="1">
        <v>0</v>
      </c>
      <c r="O412" s="1">
        <v>97</v>
      </c>
      <c r="P412" s="4">
        <f t="shared" si="18"/>
        <v>1107000</v>
      </c>
      <c r="Q412" s="4">
        <f t="shared" si="19"/>
        <v>2</v>
      </c>
      <c r="R412" s="4">
        <f t="shared" si="20"/>
        <v>553500</v>
      </c>
    </row>
    <row r="413" spans="1:18">
      <c r="A413" s="1">
        <v>2</v>
      </c>
      <c r="B413" s="1" t="str">
        <f>"قطعات و لوازم يدكي"</f>
        <v>قطعات و لوازم يدكي</v>
      </c>
      <c r="C413" s="1">
        <v>101</v>
      </c>
      <c r="D413" s="1" t="str">
        <f>"انبار قطعات و لوازم يدكي اصفهان"</f>
        <v>انبار قطعات و لوازم يدكي اصفهان</v>
      </c>
      <c r="E413" s="1" t="str">
        <f>"5947762013"</f>
        <v>5947762013</v>
      </c>
      <c r="F413" s="1" t="str">
        <f>"مگنتيك سوييچ 300"</f>
        <v>مگنتيك سوييچ 300</v>
      </c>
      <c r="G413" s="1" t="str">
        <f>"عدد"</f>
        <v>عدد</v>
      </c>
      <c r="H413" s="1">
        <v>2</v>
      </c>
      <c r="I413" s="1">
        <v>8421180</v>
      </c>
      <c r="J413" s="1">
        <v>0</v>
      </c>
      <c r="K413" s="1">
        <v>0</v>
      </c>
      <c r="L413" s="1">
        <v>0</v>
      </c>
      <c r="M413" s="1">
        <v>0</v>
      </c>
      <c r="O413" s="1">
        <v>97</v>
      </c>
      <c r="P413" s="4">
        <f t="shared" si="18"/>
        <v>8421180</v>
      </c>
      <c r="Q413" s="4">
        <f t="shared" si="19"/>
        <v>2</v>
      </c>
      <c r="R413" s="4">
        <f t="shared" si="20"/>
        <v>4210590</v>
      </c>
    </row>
    <row r="414" spans="1:18">
      <c r="A414" s="1">
        <v>2</v>
      </c>
      <c r="B414" s="1" t="str">
        <f>"قطعات و لوازم يدكي"</f>
        <v>قطعات و لوازم يدكي</v>
      </c>
      <c r="C414" s="1">
        <v>101</v>
      </c>
      <c r="D414" s="1" t="str">
        <f>"انبار قطعات و لوازم يدكي اصفهان"</f>
        <v>انبار قطعات و لوازم يدكي اصفهان</v>
      </c>
      <c r="E414" s="1" t="str">
        <f>"5996270073"</f>
        <v>5996270073</v>
      </c>
      <c r="F414" s="1" t="str">
        <f>"امپلي فاير اسي YF102"</f>
        <v>امپلي فاير اسي YF102</v>
      </c>
      <c r="G414" s="1" t="str">
        <f>"عدد"</f>
        <v>عدد</v>
      </c>
      <c r="H414" s="1">
        <v>2</v>
      </c>
      <c r="I414" s="1">
        <v>526320</v>
      </c>
      <c r="J414" s="1">
        <v>0</v>
      </c>
      <c r="K414" s="1">
        <v>0</v>
      </c>
      <c r="L414" s="1">
        <v>0</v>
      </c>
      <c r="M414" s="1">
        <v>0</v>
      </c>
      <c r="O414" s="1">
        <v>97</v>
      </c>
      <c r="P414" s="4">
        <f t="shared" si="18"/>
        <v>526320</v>
      </c>
      <c r="Q414" s="4">
        <f t="shared" si="19"/>
        <v>2</v>
      </c>
      <c r="R414" s="4">
        <f t="shared" si="20"/>
        <v>263160</v>
      </c>
    </row>
    <row r="415" spans="1:18">
      <c r="A415" s="1">
        <v>2</v>
      </c>
      <c r="B415" s="1" t="str">
        <f>"قطعات و لوازم يدكي"</f>
        <v>قطعات و لوازم يدكي</v>
      </c>
      <c r="C415" s="1">
        <v>101</v>
      </c>
      <c r="D415" s="1" t="str">
        <f>"انبار قطعات و لوازم يدكي اصفهان"</f>
        <v>انبار قطعات و لوازم يدكي اصفهان</v>
      </c>
      <c r="E415" s="1" t="str">
        <f>"6000000063"</f>
        <v>6000000063</v>
      </c>
      <c r="F415" s="1" t="str">
        <f>"كنترلر DR22105"</f>
        <v>كنترلر DR22105</v>
      </c>
      <c r="G415" s="1" t="str">
        <f>"دستگاه"</f>
        <v>دستگاه</v>
      </c>
      <c r="H415" s="1">
        <v>1</v>
      </c>
      <c r="I415" s="1">
        <v>16150000</v>
      </c>
      <c r="J415" s="1">
        <v>0</v>
      </c>
      <c r="K415" s="1">
        <v>0</v>
      </c>
      <c r="L415" s="1">
        <v>0</v>
      </c>
      <c r="M415" s="1">
        <v>0</v>
      </c>
      <c r="O415" s="1">
        <v>97</v>
      </c>
      <c r="P415" s="4">
        <f t="shared" si="18"/>
        <v>16150000</v>
      </c>
      <c r="Q415" s="4">
        <f t="shared" si="19"/>
        <v>1</v>
      </c>
      <c r="R415" s="4">
        <f t="shared" si="20"/>
        <v>16150000</v>
      </c>
    </row>
    <row r="416" spans="1:18">
      <c r="A416" s="1">
        <v>2</v>
      </c>
      <c r="B416" s="1" t="str">
        <f>"قطعات و لوازم يدكي"</f>
        <v>قطعات و لوازم يدكي</v>
      </c>
      <c r="C416" s="1">
        <v>101</v>
      </c>
      <c r="D416" s="1" t="str">
        <f>"انبار قطعات و لوازم يدكي اصفهان"</f>
        <v>انبار قطعات و لوازم يدكي اصفهان</v>
      </c>
      <c r="E416" s="1" t="str">
        <f>"6000000083"</f>
        <v>6000000083</v>
      </c>
      <c r="F416" s="1" t="str">
        <f>"پکينگ گرد گيردار"</f>
        <v>پکينگ گرد گيردار</v>
      </c>
      <c r="G416" s="1" t="str">
        <f>"عدد"</f>
        <v>عدد</v>
      </c>
      <c r="H416" s="1">
        <v>10</v>
      </c>
      <c r="I416" s="1">
        <v>250000</v>
      </c>
      <c r="J416" s="1">
        <v>0</v>
      </c>
      <c r="K416" s="1">
        <v>0</v>
      </c>
      <c r="L416" s="1">
        <v>0</v>
      </c>
      <c r="M416" s="1">
        <v>0</v>
      </c>
      <c r="O416" s="1">
        <v>97</v>
      </c>
      <c r="P416" s="4">
        <f t="shared" si="18"/>
        <v>250000</v>
      </c>
      <c r="Q416" s="4">
        <f t="shared" si="19"/>
        <v>10</v>
      </c>
      <c r="R416" s="4">
        <f t="shared" si="20"/>
        <v>25000</v>
      </c>
    </row>
    <row r="417" spans="1:18">
      <c r="A417" s="1">
        <v>2</v>
      </c>
      <c r="B417" s="1" t="str">
        <f>"قطعات و لوازم يدكي"</f>
        <v>قطعات و لوازم يدكي</v>
      </c>
      <c r="C417" s="1">
        <v>101</v>
      </c>
      <c r="D417" s="1" t="str">
        <f>"انبار قطعات و لوازم يدكي اصفهان"</f>
        <v>انبار قطعات و لوازم يدكي اصفهان</v>
      </c>
      <c r="E417" s="1" t="str">
        <f>"6014542103"</f>
        <v>6014542103</v>
      </c>
      <c r="F417" s="1" t="str">
        <f>"پن اسي رد ستيل(قلم ركوردرقرمز)"</f>
        <v>پن اسي رد ستيل(قلم ركوردرقرمز)</v>
      </c>
      <c r="G417" s="1" t="str">
        <f>"عدد"</f>
        <v>عدد</v>
      </c>
      <c r="H417" s="1">
        <v>21</v>
      </c>
      <c r="I417" s="1">
        <v>3068827</v>
      </c>
      <c r="J417" s="1">
        <v>0</v>
      </c>
      <c r="K417" s="1">
        <v>0</v>
      </c>
      <c r="L417" s="1">
        <v>0</v>
      </c>
      <c r="M417" s="1">
        <v>0</v>
      </c>
      <c r="O417" s="1">
        <v>97</v>
      </c>
      <c r="P417" s="4">
        <f t="shared" si="18"/>
        <v>3068827</v>
      </c>
      <c r="Q417" s="4">
        <f t="shared" si="19"/>
        <v>21</v>
      </c>
      <c r="R417" s="4">
        <f t="shared" si="20"/>
        <v>146134.61904761905</v>
      </c>
    </row>
    <row r="418" spans="1:18">
      <c r="A418" s="1">
        <v>2</v>
      </c>
      <c r="B418" s="1" t="str">
        <f>"قطعات و لوازم يدكي"</f>
        <v>قطعات و لوازم يدكي</v>
      </c>
      <c r="C418" s="1">
        <v>101</v>
      </c>
      <c r="D418" s="1" t="str">
        <f>"انبار قطعات و لوازم يدكي اصفهان"</f>
        <v>انبار قطعات و لوازم يدكي اصفهان</v>
      </c>
      <c r="E418" s="1" t="str">
        <f>"6018953753"</f>
        <v>6018953753</v>
      </c>
      <c r="F418" s="1" t="str">
        <f>"ترانسيستور"</f>
        <v>ترانسيستور</v>
      </c>
      <c r="G418" s="1" t="str">
        <f>"عدد"</f>
        <v>عدد</v>
      </c>
      <c r="H418" s="1">
        <v>2</v>
      </c>
      <c r="I418" s="1">
        <v>127825</v>
      </c>
      <c r="J418" s="1">
        <v>0</v>
      </c>
      <c r="K418" s="1">
        <v>0</v>
      </c>
      <c r="L418" s="1">
        <v>0</v>
      </c>
      <c r="M418" s="1">
        <v>0</v>
      </c>
      <c r="O418" s="1">
        <v>97</v>
      </c>
      <c r="P418" s="4">
        <f t="shared" si="18"/>
        <v>127825</v>
      </c>
      <c r="Q418" s="4">
        <f t="shared" si="19"/>
        <v>2</v>
      </c>
      <c r="R418" s="4">
        <f t="shared" si="20"/>
        <v>63912.5</v>
      </c>
    </row>
    <row r="419" spans="1:18">
      <c r="A419" s="1">
        <v>2</v>
      </c>
      <c r="B419" s="1" t="str">
        <f>"قطعات و لوازم يدكي"</f>
        <v>قطعات و لوازم يدكي</v>
      </c>
      <c r="C419" s="1">
        <v>101</v>
      </c>
      <c r="D419" s="1" t="str">
        <f>"انبار قطعات و لوازم يدكي اصفهان"</f>
        <v>انبار قطعات و لوازم يدكي اصفهان</v>
      </c>
      <c r="E419" s="1" t="str">
        <f>"6018954003"</f>
        <v>6018954003</v>
      </c>
      <c r="F419" s="1" t="str">
        <f>"كنترل مودل 2AC"</f>
        <v>كنترل مودل 2AC</v>
      </c>
      <c r="G419" s="1" t="str">
        <f>"عدد"</f>
        <v>عدد</v>
      </c>
      <c r="H419" s="1">
        <v>1</v>
      </c>
      <c r="I419" s="1">
        <v>4707838</v>
      </c>
      <c r="J419" s="1">
        <v>0</v>
      </c>
      <c r="K419" s="1">
        <v>0</v>
      </c>
      <c r="L419" s="1">
        <v>0</v>
      </c>
      <c r="M419" s="1">
        <v>0</v>
      </c>
      <c r="O419" s="1">
        <v>97</v>
      </c>
      <c r="P419" s="4">
        <f t="shared" si="18"/>
        <v>4707838</v>
      </c>
      <c r="Q419" s="4">
        <f t="shared" si="19"/>
        <v>1</v>
      </c>
      <c r="R419" s="4">
        <f t="shared" si="20"/>
        <v>4707838</v>
      </c>
    </row>
    <row r="420" spans="1:18">
      <c r="A420" s="1">
        <v>2</v>
      </c>
      <c r="B420" s="1" t="str">
        <f>"قطعات و لوازم يدكي"</f>
        <v>قطعات و لوازم يدكي</v>
      </c>
      <c r="C420" s="1">
        <v>101</v>
      </c>
      <c r="D420" s="1" t="str">
        <f>"انبار قطعات و لوازم يدكي اصفهان"</f>
        <v>انبار قطعات و لوازم يدكي اصفهان</v>
      </c>
      <c r="E420" s="1" t="str">
        <f>"6044151693"</f>
        <v>6044151693</v>
      </c>
      <c r="F420" s="1" t="str">
        <f>"ريگلاتور 0-125"</f>
        <v>ريگلاتور 0-125</v>
      </c>
      <c r="G420" s="1" t="str">
        <f>"عدد"</f>
        <v>عدد</v>
      </c>
      <c r="H420" s="1">
        <v>1</v>
      </c>
      <c r="I420" s="1">
        <v>850000</v>
      </c>
      <c r="J420" s="1">
        <v>0</v>
      </c>
      <c r="K420" s="1">
        <v>0</v>
      </c>
      <c r="L420" s="1">
        <v>0</v>
      </c>
      <c r="M420" s="1">
        <v>0</v>
      </c>
      <c r="O420" s="1">
        <v>97</v>
      </c>
      <c r="P420" s="4">
        <f t="shared" si="18"/>
        <v>850000</v>
      </c>
      <c r="Q420" s="4">
        <f t="shared" si="19"/>
        <v>1</v>
      </c>
      <c r="R420" s="4">
        <f t="shared" si="20"/>
        <v>850000</v>
      </c>
    </row>
    <row r="421" spans="1:18">
      <c r="A421" s="1">
        <v>2</v>
      </c>
      <c r="B421" s="1" t="str">
        <f>"قطعات و لوازم يدكي"</f>
        <v>قطعات و لوازم يدكي</v>
      </c>
      <c r="C421" s="1">
        <v>101</v>
      </c>
      <c r="D421" s="1" t="str">
        <f>"انبار قطعات و لوازم يدكي اصفهان"</f>
        <v>انبار قطعات و لوازم يدكي اصفهان</v>
      </c>
      <c r="E421" s="1" t="str">
        <f>"6044511043"</f>
        <v>6044511043</v>
      </c>
      <c r="F421" s="1" t="str">
        <f>"شيركنترل"</f>
        <v>شيركنترل</v>
      </c>
      <c r="G421" s="1" t="str">
        <f>"عدد"</f>
        <v>عدد</v>
      </c>
      <c r="H421" s="1">
        <v>1</v>
      </c>
      <c r="I421" s="1">
        <v>500000</v>
      </c>
      <c r="J421" s="1">
        <v>0</v>
      </c>
      <c r="K421" s="1">
        <v>0</v>
      </c>
      <c r="L421" s="1">
        <v>0</v>
      </c>
      <c r="M421" s="1">
        <v>0</v>
      </c>
      <c r="O421" s="1">
        <v>97</v>
      </c>
      <c r="P421" s="4">
        <f t="shared" si="18"/>
        <v>500000</v>
      </c>
      <c r="Q421" s="4">
        <f t="shared" si="19"/>
        <v>1</v>
      </c>
      <c r="R421" s="4">
        <f t="shared" si="20"/>
        <v>500000</v>
      </c>
    </row>
    <row r="422" spans="1:18">
      <c r="A422" s="1">
        <v>2</v>
      </c>
      <c r="B422" s="1" t="str">
        <f>"قطعات و لوازم يدكي"</f>
        <v>قطعات و لوازم يدكي</v>
      </c>
      <c r="C422" s="1">
        <v>101</v>
      </c>
      <c r="D422" s="1" t="str">
        <f>"انبار قطعات و لوازم يدكي اصفهان"</f>
        <v>انبار قطعات و لوازم يدكي اصفهان</v>
      </c>
      <c r="E422" s="1" t="str">
        <f>"6049020813"</f>
        <v>6049020813</v>
      </c>
      <c r="F422" s="1" t="str">
        <f>"chart barton 0-100   unit MC"</f>
        <v>chart barton 0-100   unit MC</v>
      </c>
      <c r="G422" s="1" t="str">
        <f>"عدد"</f>
        <v>عدد</v>
      </c>
      <c r="H422" s="1">
        <v>9</v>
      </c>
      <c r="I422" s="1">
        <v>310500</v>
      </c>
      <c r="J422" s="1">
        <v>30</v>
      </c>
      <c r="K422" s="1">
        <v>5850000</v>
      </c>
      <c r="L422" s="1">
        <v>3</v>
      </c>
      <c r="M422" s="1">
        <v>103500</v>
      </c>
      <c r="O422" s="1">
        <v>97</v>
      </c>
      <c r="P422" s="4">
        <f t="shared" si="18"/>
        <v>6057000</v>
      </c>
      <c r="Q422" s="4">
        <f t="shared" si="19"/>
        <v>36</v>
      </c>
      <c r="R422" s="4">
        <f t="shared" si="20"/>
        <v>168250</v>
      </c>
    </row>
    <row r="423" spans="1:18">
      <c r="A423" s="1">
        <v>2</v>
      </c>
      <c r="B423" s="1" t="str">
        <f>"قطعات و لوازم يدكي"</f>
        <v>قطعات و لوازم يدكي</v>
      </c>
      <c r="C423" s="1">
        <v>101</v>
      </c>
      <c r="D423" s="1" t="str">
        <f>"انبار قطعات و لوازم يدكي اصفهان"</f>
        <v>انبار قطعات و لوازم يدكي اصفهان</v>
      </c>
      <c r="E423" s="1" t="str">
        <f>"6050548222"</f>
        <v>6050548222</v>
      </c>
      <c r="F423" s="1" t="str">
        <f>"فشار سنج 16-0 با ديافراگم"</f>
        <v>فشار سنج 16-0 با ديافراگم</v>
      </c>
      <c r="G423" s="1" t="str">
        <f>"دست"</f>
        <v>دست</v>
      </c>
      <c r="H423" s="1">
        <v>6</v>
      </c>
      <c r="I423" s="1">
        <v>23400000</v>
      </c>
      <c r="J423" s="1">
        <v>0</v>
      </c>
      <c r="K423" s="1">
        <v>0</v>
      </c>
      <c r="L423" s="1">
        <v>1</v>
      </c>
      <c r="M423" s="1">
        <v>3900000</v>
      </c>
      <c r="O423" s="1">
        <v>97</v>
      </c>
      <c r="P423" s="4">
        <f t="shared" si="18"/>
        <v>19500000</v>
      </c>
      <c r="Q423" s="4">
        <f t="shared" si="19"/>
        <v>5</v>
      </c>
      <c r="R423" s="4">
        <f t="shared" si="20"/>
        <v>3900000</v>
      </c>
    </row>
    <row r="424" spans="1:18">
      <c r="A424" s="1">
        <v>2</v>
      </c>
      <c r="B424" s="1" t="str">
        <f>"قطعات و لوازم يدكي"</f>
        <v>قطعات و لوازم يدكي</v>
      </c>
      <c r="C424" s="1">
        <v>101</v>
      </c>
      <c r="D424" s="1" t="str">
        <f>"انبار قطعات و لوازم يدكي اصفهان"</f>
        <v>انبار قطعات و لوازم يدكي اصفهان</v>
      </c>
      <c r="E424" s="1" t="str">
        <f>"6088764022"</f>
        <v>6088764022</v>
      </c>
      <c r="F424" s="1" t="s">
        <v>16</v>
      </c>
      <c r="G424" s="1" t="str">
        <f>"عدد"</f>
        <v>عدد</v>
      </c>
      <c r="H424" s="1">
        <v>1</v>
      </c>
      <c r="I424" s="1">
        <v>980000</v>
      </c>
      <c r="J424" s="1">
        <v>0</v>
      </c>
      <c r="K424" s="1">
        <v>0</v>
      </c>
      <c r="L424" s="1">
        <v>0</v>
      </c>
      <c r="M424" s="1">
        <v>0</v>
      </c>
      <c r="O424" s="1">
        <v>97</v>
      </c>
      <c r="P424" s="4">
        <f t="shared" si="18"/>
        <v>980000</v>
      </c>
      <c r="Q424" s="4">
        <f t="shared" si="19"/>
        <v>1</v>
      </c>
      <c r="R424" s="4">
        <f t="shared" si="20"/>
        <v>980000</v>
      </c>
    </row>
    <row r="425" spans="1:18">
      <c r="A425" s="1">
        <v>2</v>
      </c>
      <c r="B425" s="1" t="str">
        <f>"قطعات و لوازم يدكي"</f>
        <v>قطعات و لوازم يدكي</v>
      </c>
      <c r="C425" s="1">
        <v>101</v>
      </c>
      <c r="D425" s="1" t="str">
        <f>"انبار قطعات و لوازم يدكي اصفهان"</f>
        <v>انبار قطعات و لوازم يدكي اصفهان</v>
      </c>
      <c r="E425" s="1" t="str">
        <f>"6088764083"</f>
        <v>6088764083</v>
      </c>
      <c r="F425" s="1" t="str">
        <f>"ترموکوپل 6 ميلمتر 50طول سانتي متر"</f>
        <v>ترموکوپل 6 ميلمتر 50طول سانتي متر</v>
      </c>
      <c r="G425" s="1" t="str">
        <f>"عدد"</f>
        <v>عدد</v>
      </c>
      <c r="H425" s="1">
        <v>3</v>
      </c>
      <c r="I425" s="1">
        <v>8100000</v>
      </c>
      <c r="J425" s="1">
        <v>0</v>
      </c>
      <c r="K425" s="1">
        <v>0</v>
      </c>
      <c r="L425" s="1">
        <v>0</v>
      </c>
      <c r="M425" s="1">
        <v>0</v>
      </c>
      <c r="O425" s="1">
        <v>97</v>
      </c>
      <c r="P425" s="4">
        <f t="shared" si="18"/>
        <v>8100000</v>
      </c>
      <c r="Q425" s="4">
        <f t="shared" si="19"/>
        <v>3</v>
      </c>
      <c r="R425" s="4">
        <f t="shared" si="20"/>
        <v>2700000</v>
      </c>
    </row>
    <row r="426" spans="1:18">
      <c r="A426" s="1">
        <v>2</v>
      </c>
      <c r="B426" s="1" t="str">
        <f>"قطعات و لوازم يدكي"</f>
        <v>قطعات و لوازم يدكي</v>
      </c>
      <c r="C426" s="1">
        <v>101</v>
      </c>
      <c r="D426" s="1" t="str">
        <f>"انبار قطعات و لوازم يدكي اصفهان"</f>
        <v>انبار قطعات و لوازم يدكي اصفهان</v>
      </c>
      <c r="E426" s="1" t="str">
        <f>"6088764153"</f>
        <v>6088764153</v>
      </c>
      <c r="F426" s="1" t="str">
        <f>"ترموول 25 اينچ استيل"</f>
        <v>ترموول 25 اينچ استيل</v>
      </c>
      <c r="G426" s="1" t="str">
        <f>"عدد"</f>
        <v>عدد</v>
      </c>
      <c r="H426" s="1">
        <v>4</v>
      </c>
      <c r="I426" s="1">
        <v>21800000</v>
      </c>
      <c r="J426" s="1">
        <v>0</v>
      </c>
      <c r="K426" s="1">
        <v>0</v>
      </c>
      <c r="L426" s="1">
        <v>0</v>
      </c>
      <c r="M426" s="1">
        <v>0</v>
      </c>
      <c r="O426" s="1">
        <v>97</v>
      </c>
      <c r="P426" s="4">
        <f t="shared" si="18"/>
        <v>21800000</v>
      </c>
      <c r="Q426" s="4">
        <f t="shared" si="19"/>
        <v>4</v>
      </c>
      <c r="R426" s="4">
        <f t="shared" si="20"/>
        <v>5450000</v>
      </c>
    </row>
    <row r="427" spans="1:18">
      <c r="A427" s="1">
        <v>2</v>
      </c>
      <c r="B427" s="1" t="str">
        <f>"قطعات و لوازم يدكي"</f>
        <v>قطعات و لوازم يدكي</v>
      </c>
      <c r="C427" s="1">
        <v>101</v>
      </c>
      <c r="D427" s="1" t="str">
        <f>"انبار قطعات و لوازم يدكي اصفهان"</f>
        <v>انبار قطعات و لوازم يدكي اصفهان</v>
      </c>
      <c r="E427" s="1" t="str">
        <f>"6088765162"</f>
        <v>6088765162</v>
      </c>
      <c r="F427" s="1" t="str">
        <f>"ترموكوپل فلكي"</f>
        <v>ترموكوپل فلكي</v>
      </c>
      <c r="G427" s="1" t="str">
        <f>"عدد"</f>
        <v>عدد</v>
      </c>
      <c r="H427" s="1">
        <v>3</v>
      </c>
      <c r="I427" s="1">
        <v>2807989</v>
      </c>
      <c r="J427" s="1">
        <v>0</v>
      </c>
      <c r="K427" s="1">
        <v>0</v>
      </c>
      <c r="L427" s="1">
        <v>0</v>
      </c>
      <c r="M427" s="1">
        <v>0</v>
      </c>
      <c r="O427" s="1">
        <v>97</v>
      </c>
      <c r="P427" s="4">
        <f t="shared" si="18"/>
        <v>2807989</v>
      </c>
      <c r="Q427" s="4">
        <f t="shared" si="19"/>
        <v>3</v>
      </c>
      <c r="R427" s="4">
        <f t="shared" si="20"/>
        <v>935996.33333333337</v>
      </c>
    </row>
    <row r="428" spans="1:18">
      <c r="A428" s="1">
        <v>2</v>
      </c>
      <c r="B428" s="1" t="str">
        <f>"قطعات و لوازم يدكي"</f>
        <v>قطعات و لوازم يدكي</v>
      </c>
      <c r="C428" s="1">
        <v>101</v>
      </c>
      <c r="D428" s="1" t="str">
        <f>"انبار قطعات و لوازم يدكي اصفهان"</f>
        <v>انبار قطعات و لوازم يدكي اصفهان</v>
      </c>
      <c r="E428" s="1" t="str">
        <f>"6097747773"</f>
        <v>6097747773</v>
      </c>
      <c r="F428" s="1" t="str">
        <f>"YEW FLOW TRANSMITTER"</f>
        <v>YEW FLOW TRANSMITTER</v>
      </c>
      <c r="G428" s="1" t="str">
        <f>"عدد"</f>
        <v>عدد</v>
      </c>
      <c r="H428" s="1">
        <v>1</v>
      </c>
      <c r="I428" s="1">
        <v>187200</v>
      </c>
      <c r="J428" s="1">
        <v>0</v>
      </c>
      <c r="K428" s="1">
        <v>0</v>
      </c>
      <c r="L428" s="1">
        <v>0</v>
      </c>
      <c r="M428" s="1">
        <v>0</v>
      </c>
      <c r="O428" s="1">
        <v>97</v>
      </c>
      <c r="P428" s="4">
        <f t="shared" si="18"/>
        <v>187200</v>
      </c>
      <c r="Q428" s="4">
        <f t="shared" si="19"/>
        <v>1</v>
      </c>
      <c r="R428" s="4">
        <f t="shared" si="20"/>
        <v>187200</v>
      </c>
    </row>
    <row r="429" spans="1:18" hidden="1">
      <c r="A429" s="1">
        <v>2</v>
      </c>
      <c r="B429" s="1" t="str">
        <f>"قطعات و لوازم يدكي"</f>
        <v>قطعات و لوازم يدكي</v>
      </c>
      <c r="C429" s="1">
        <v>101</v>
      </c>
      <c r="D429" s="1" t="str">
        <f>"انبار قطعات و لوازم يدكي اصفهان"</f>
        <v>انبار قطعات و لوازم يدكي اصفهان</v>
      </c>
      <c r="E429" s="1" t="str">
        <f>"6700000022"</f>
        <v>6700000022</v>
      </c>
      <c r="F429" s="1" t="str">
        <f>"تابلو برق کنترلي فن فيلتر باکس"</f>
        <v>تابلو برق کنترلي فن فيلتر باکس</v>
      </c>
      <c r="G429" s="1" t="str">
        <f>"دستگاه"</f>
        <v>دستگاه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O429" s="1">
        <v>97</v>
      </c>
      <c r="P429" s="1">
        <f t="shared" si="18"/>
        <v>0</v>
      </c>
      <c r="Q429" s="1">
        <f t="shared" si="19"/>
        <v>0</v>
      </c>
      <c r="R429" s="1" t="e">
        <f t="shared" si="20"/>
        <v>#DIV/0!</v>
      </c>
    </row>
    <row r="430" spans="1:18">
      <c r="A430" s="1">
        <v>2</v>
      </c>
      <c r="B430" s="1" t="str">
        <f>"قطعات و لوازم يدكي"</f>
        <v>قطعات و لوازم يدكي</v>
      </c>
      <c r="C430" s="1">
        <v>101</v>
      </c>
      <c r="D430" s="1" t="str">
        <f>"انبار قطعات و لوازم يدكي اصفهان"</f>
        <v>انبار قطعات و لوازم يدكي اصفهان</v>
      </c>
      <c r="E430" s="1" t="str">
        <f>"6711364482"</f>
        <v>6711364482</v>
      </c>
      <c r="F430" s="1" t="str">
        <f>"کليد مينياتوري سه فاز 25آمپر"</f>
        <v>کليد مينياتوري سه فاز 25آمپر</v>
      </c>
      <c r="G430" s="1" t="str">
        <f>"عدد"</f>
        <v>عدد</v>
      </c>
      <c r="H430" s="1">
        <v>5</v>
      </c>
      <c r="I430" s="1">
        <v>4414286</v>
      </c>
      <c r="J430" s="1">
        <v>0</v>
      </c>
      <c r="K430" s="1">
        <v>0</v>
      </c>
      <c r="L430" s="1">
        <v>0</v>
      </c>
      <c r="M430" s="1">
        <v>0</v>
      </c>
      <c r="O430" s="1">
        <v>97</v>
      </c>
      <c r="P430" s="4">
        <f t="shared" si="18"/>
        <v>4414286</v>
      </c>
      <c r="Q430" s="4">
        <f t="shared" si="19"/>
        <v>5</v>
      </c>
      <c r="R430" s="4">
        <f t="shared" si="20"/>
        <v>882857.2</v>
      </c>
    </row>
    <row r="431" spans="1:18">
      <c r="A431" s="1">
        <v>2</v>
      </c>
      <c r="B431" s="1" t="str">
        <f>"قطعات و لوازم يدكي"</f>
        <v>قطعات و لوازم يدكي</v>
      </c>
      <c r="C431" s="1">
        <v>101</v>
      </c>
      <c r="D431" s="1" t="str">
        <f>"انبار قطعات و لوازم يدكي اصفهان"</f>
        <v>انبار قطعات و لوازم يدكي اصفهان</v>
      </c>
      <c r="E431" s="1" t="str">
        <f>"6772500442"</f>
        <v>6772500442</v>
      </c>
      <c r="F431" s="1" t="str">
        <f>"ISOLATOR SOCOMEC 125A 660V"</f>
        <v>ISOLATOR SOCOMEC 125A 660V</v>
      </c>
      <c r="G431" s="1" t="str">
        <f>"عدد"</f>
        <v>عدد</v>
      </c>
      <c r="H431" s="1">
        <v>3</v>
      </c>
      <c r="I431" s="1">
        <v>13800000</v>
      </c>
      <c r="J431" s="1">
        <v>0</v>
      </c>
      <c r="K431" s="1">
        <v>0</v>
      </c>
      <c r="L431" s="1">
        <v>0</v>
      </c>
      <c r="M431" s="1">
        <v>0</v>
      </c>
      <c r="O431" s="1">
        <v>97</v>
      </c>
      <c r="P431" s="4">
        <f t="shared" si="18"/>
        <v>13800000</v>
      </c>
      <c r="Q431" s="4">
        <f t="shared" si="19"/>
        <v>3</v>
      </c>
      <c r="R431" s="4">
        <f t="shared" si="20"/>
        <v>4600000</v>
      </c>
    </row>
    <row r="432" spans="1:18">
      <c r="A432" s="1">
        <v>2</v>
      </c>
      <c r="B432" s="1" t="str">
        <f>"قطعات و لوازم يدكي"</f>
        <v>قطعات و لوازم يدكي</v>
      </c>
      <c r="C432" s="1">
        <v>101</v>
      </c>
      <c r="D432" s="1" t="str">
        <f>"انبار قطعات و لوازم يدكي اصفهان"</f>
        <v>انبار قطعات و لوازم يدكي اصفهان</v>
      </c>
      <c r="E432" s="1" t="str">
        <f>"6772500462"</f>
        <v>6772500462</v>
      </c>
      <c r="F432" s="1" t="str">
        <f>"كليد گردان  A160"</f>
        <v>كليد گردان  A160</v>
      </c>
      <c r="G432" s="1" t="str">
        <f>"عدد"</f>
        <v>عدد</v>
      </c>
      <c r="H432" s="1">
        <v>2</v>
      </c>
      <c r="I432" s="1">
        <v>2500000</v>
      </c>
      <c r="J432" s="1">
        <v>0</v>
      </c>
      <c r="K432" s="1">
        <v>0</v>
      </c>
      <c r="L432" s="1">
        <v>0</v>
      </c>
      <c r="M432" s="1">
        <v>0</v>
      </c>
      <c r="O432" s="1">
        <v>97</v>
      </c>
      <c r="P432" s="4">
        <f t="shared" si="18"/>
        <v>2500000</v>
      </c>
      <c r="Q432" s="4">
        <f t="shared" si="19"/>
        <v>2</v>
      </c>
      <c r="R432" s="4">
        <f t="shared" si="20"/>
        <v>1250000</v>
      </c>
    </row>
    <row r="433" spans="1:18">
      <c r="A433" s="1">
        <v>2</v>
      </c>
      <c r="B433" s="1" t="str">
        <f>"قطعات و لوازم يدكي"</f>
        <v>قطعات و لوازم يدكي</v>
      </c>
      <c r="C433" s="1">
        <v>101</v>
      </c>
      <c r="D433" s="1" t="str">
        <f>"انبار قطعات و لوازم يدكي اصفهان"</f>
        <v>انبار قطعات و لوازم يدكي اصفهان</v>
      </c>
      <c r="E433" s="1" t="str">
        <f>"6772902023"</f>
        <v>6772902023</v>
      </c>
      <c r="F433" s="1" t="str">
        <f>"CONTROL COMPARTMENT"</f>
        <v>CONTROL COMPARTMENT</v>
      </c>
      <c r="G433" s="1" t="str">
        <f>"عدد"</f>
        <v>عدد</v>
      </c>
      <c r="H433" s="1">
        <v>21</v>
      </c>
      <c r="I433" s="1">
        <v>22540616</v>
      </c>
      <c r="J433" s="1">
        <v>0</v>
      </c>
      <c r="K433" s="1">
        <v>0</v>
      </c>
      <c r="L433" s="1">
        <v>0</v>
      </c>
      <c r="M433" s="1">
        <v>0</v>
      </c>
      <c r="O433" s="1">
        <v>97</v>
      </c>
      <c r="P433" s="4">
        <f t="shared" si="18"/>
        <v>22540616</v>
      </c>
      <c r="Q433" s="4">
        <f t="shared" si="19"/>
        <v>21</v>
      </c>
      <c r="R433" s="4">
        <f t="shared" si="20"/>
        <v>1073362.6666666667</v>
      </c>
    </row>
    <row r="434" spans="1:18" hidden="1">
      <c r="A434" s="1">
        <v>2</v>
      </c>
      <c r="B434" s="1" t="str">
        <f>"قطعات و لوازم يدكي"</f>
        <v>قطعات و لوازم يدكي</v>
      </c>
      <c r="C434" s="1">
        <v>101</v>
      </c>
      <c r="D434" s="1" t="str">
        <f>"انبار قطعات و لوازم يدكي اصفهان"</f>
        <v>انبار قطعات و لوازم يدكي اصفهان</v>
      </c>
      <c r="E434" s="1" t="str">
        <f>"6800000032"</f>
        <v>6800000032</v>
      </c>
      <c r="F434" s="1" t="str">
        <f>"کابلشوي 150"</f>
        <v>کابلشوي 150</v>
      </c>
      <c r="G434" s="1" t="str">
        <f>"عدد"</f>
        <v>عدد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O434" s="1">
        <v>97</v>
      </c>
      <c r="P434" s="1">
        <f t="shared" si="18"/>
        <v>0</v>
      </c>
      <c r="Q434" s="1">
        <f t="shared" si="19"/>
        <v>0</v>
      </c>
      <c r="R434" s="1" t="e">
        <f t="shared" si="20"/>
        <v>#DIV/0!</v>
      </c>
    </row>
    <row r="435" spans="1:18" hidden="1">
      <c r="A435" s="1">
        <v>2</v>
      </c>
      <c r="B435" s="1" t="str">
        <f>"قطعات و لوازم يدكي"</f>
        <v>قطعات و لوازم يدكي</v>
      </c>
      <c r="C435" s="1">
        <v>101</v>
      </c>
      <c r="D435" s="1" t="str">
        <f>"انبار قطعات و لوازم يدكي اصفهان"</f>
        <v>انبار قطعات و لوازم يدكي اصفهان</v>
      </c>
      <c r="E435" s="1" t="str">
        <f>"6800000152"</f>
        <v>6800000152</v>
      </c>
      <c r="F435" s="1" t="str">
        <f>"سر سيم نمره 4 سوزني"</f>
        <v>سر سيم نمره 4 سوزني</v>
      </c>
      <c r="G435" s="1" t="str">
        <f>"بسته"</f>
        <v>بسته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O435" s="1">
        <v>97</v>
      </c>
      <c r="P435" s="1">
        <f t="shared" si="18"/>
        <v>0</v>
      </c>
      <c r="Q435" s="1">
        <f t="shared" si="19"/>
        <v>0</v>
      </c>
      <c r="R435" s="1" t="e">
        <f t="shared" si="20"/>
        <v>#DIV/0!</v>
      </c>
    </row>
    <row r="436" spans="1:18" hidden="1">
      <c r="A436" s="1">
        <v>2</v>
      </c>
      <c r="B436" s="1" t="str">
        <f>"قطعات و لوازم يدكي"</f>
        <v>قطعات و لوازم يدكي</v>
      </c>
      <c r="C436" s="1">
        <v>101</v>
      </c>
      <c r="D436" s="1" t="str">
        <f>"انبار قطعات و لوازم يدكي اصفهان"</f>
        <v>انبار قطعات و لوازم يدكي اصفهان</v>
      </c>
      <c r="E436" s="1" t="str">
        <f>"6800000232"</f>
        <v>6800000232</v>
      </c>
      <c r="F436" s="1" t="str">
        <f>"کابل  فيبر نوري"</f>
        <v>کابل  فيبر نوري</v>
      </c>
      <c r="G436" s="1" t="str">
        <f>"متر"</f>
        <v>متر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O436" s="1">
        <v>97</v>
      </c>
      <c r="P436" s="1">
        <f t="shared" si="18"/>
        <v>0</v>
      </c>
      <c r="Q436" s="1">
        <f t="shared" si="19"/>
        <v>0</v>
      </c>
      <c r="R436" s="1" t="e">
        <f t="shared" si="20"/>
        <v>#DIV/0!</v>
      </c>
    </row>
    <row r="437" spans="1:18" hidden="1">
      <c r="A437" s="1">
        <v>2</v>
      </c>
      <c r="B437" s="1" t="str">
        <f>"قطعات و لوازم يدكي"</f>
        <v>قطعات و لوازم يدكي</v>
      </c>
      <c r="C437" s="1">
        <v>101</v>
      </c>
      <c r="D437" s="1" t="str">
        <f>"انبار قطعات و لوازم يدكي اصفهان"</f>
        <v>انبار قطعات و لوازم يدكي اصفهان</v>
      </c>
      <c r="E437" s="1" t="str">
        <f>"6800000242"</f>
        <v>6800000242</v>
      </c>
      <c r="F437" s="1" t="str">
        <f>"چراغ  مازي نوردل MH 250 بدنه متال"</f>
        <v>چراغ  مازي نوردل MH 250 بدنه متال</v>
      </c>
      <c r="G437" s="1" t="str">
        <f>"عدد"</f>
        <v>عدد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O437" s="1">
        <v>97</v>
      </c>
      <c r="P437" s="1">
        <f t="shared" si="18"/>
        <v>0</v>
      </c>
      <c r="Q437" s="1">
        <f t="shared" si="19"/>
        <v>0</v>
      </c>
      <c r="R437" s="1" t="e">
        <f t="shared" si="20"/>
        <v>#DIV/0!</v>
      </c>
    </row>
    <row r="438" spans="1:18" hidden="1">
      <c r="A438" s="1">
        <v>2</v>
      </c>
      <c r="B438" s="1" t="str">
        <f>"قطعات و لوازم يدكي"</f>
        <v>قطعات و لوازم يدكي</v>
      </c>
      <c r="C438" s="1">
        <v>101</v>
      </c>
      <c r="D438" s="1" t="str">
        <f>"انبار قطعات و لوازم يدكي اصفهان"</f>
        <v>انبار قطعات و لوازم يدكي اصفهان</v>
      </c>
      <c r="E438" s="1" t="str">
        <f>"6800000392"</f>
        <v>6800000392</v>
      </c>
      <c r="F438" s="1" t="str">
        <f>"وايرشو نمره 1/5"</f>
        <v>وايرشو نمره 1/5</v>
      </c>
      <c r="G438" s="1" t="str">
        <f>"عدد"</f>
        <v>عدد</v>
      </c>
      <c r="H438" s="1">
        <v>0</v>
      </c>
      <c r="I438" s="1">
        <v>0</v>
      </c>
      <c r="J438" s="1">
        <v>100</v>
      </c>
      <c r="K438" s="1">
        <v>54000</v>
      </c>
      <c r="L438" s="1">
        <v>100</v>
      </c>
      <c r="M438" s="1">
        <v>54000</v>
      </c>
      <c r="O438" s="1">
        <v>97</v>
      </c>
      <c r="P438" s="1">
        <f t="shared" si="18"/>
        <v>0</v>
      </c>
      <c r="Q438" s="1">
        <f t="shared" si="19"/>
        <v>0</v>
      </c>
      <c r="R438" s="1" t="e">
        <f t="shared" si="20"/>
        <v>#DIV/0!</v>
      </c>
    </row>
    <row r="439" spans="1:18">
      <c r="A439" s="1">
        <v>2</v>
      </c>
      <c r="B439" s="1" t="str">
        <f>"قطعات و لوازم يدكي"</f>
        <v>قطعات و لوازم يدكي</v>
      </c>
      <c r="C439" s="1">
        <v>101</v>
      </c>
      <c r="D439" s="1" t="str">
        <f>"انبار قطعات و لوازم يدكي اصفهان"</f>
        <v>انبار قطعات و لوازم يدكي اصفهان</v>
      </c>
      <c r="E439" s="1" t="str">
        <f>"6801010232"</f>
        <v>6801010232</v>
      </c>
      <c r="F439" s="1" t="str">
        <f>"دوشاخه آبي دهنه 4"</f>
        <v>دوشاخه آبي دهنه 4</v>
      </c>
      <c r="G439" s="1" t="str">
        <f>"عدد"</f>
        <v>عدد</v>
      </c>
      <c r="H439" s="1">
        <v>50</v>
      </c>
      <c r="I439" s="1">
        <v>21500</v>
      </c>
      <c r="J439" s="1">
        <v>0</v>
      </c>
      <c r="K439" s="1">
        <v>0</v>
      </c>
      <c r="L439" s="1">
        <v>0</v>
      </c>
      <c r="M439" s="1">
        <v>0</v>
      </c>
      <c r="O439" s="1">
        <v>97</v>
      </c>
      <c r="P439" s="4">
        <f t="shared" si="18"/>
        <v>21500</v>
      </c>
      <c r="Q439" s="4">
        <f t="shared" si="19"/>
        <v>50</v>
      </c>
      <c r="R439" s="4">
        <f t="shared" si="20"/>
        <v>430</v>
      </c>
    </row>
    <row r="440" spans="1:18">
      <c r="A440" s="1">
        <v>2</v>
      </c>
      <c r="B440" s="1" t="str">
        <f>"قطعات و لوازم يدكي"</f>
        <v>قطعات و لوازم يدكي</v>
      </c>
      <c r="C440" s="1">
        <v>101</v>
      </c>
      <c r="D440" s="1" t="str">
        <f>"انبار قطعات و لوازم يدكي اصفهان"</f>
        <v>انبار قطعات و لوازم يدكي اصفهان</v>
      </c>
      <c r="E440" s="1" t="str">
        <f>"6801010332"</f>
        <v>6801010332</v>
      </c>
      <c r="F440" s="1" t="str">
        <f>"کابل 4*3"</f>
        <v>کابل 4*3</v>
      </c>
      <c r="G440" s="1" t="str">
        <f>"متر"</f>
        <v>متر</v>
      </c>
      <c r="H440" s="1">
        <v>0</v>
      </c>
      <c r="I440" s="1">
        <v>0</v>
      </c>
      <c r="J440" s="1">
        <v>100</v>
      </c>
      <c r="K440" s="1">
        <v>6250000</v>
      </c>
      <c r="L440" s="1">
        <v>1</v>
      </c>
      <c r="M440" s="1">
        <v>62500</v>
      </c>
      <c r="O440" s="1">
        <v>97</v>
      </c>
      <c r="P440" s="4">
        <f t="shared" si="18"/>
        <v>6187500</v>
      </c>
      <c r="Q440" s="4">
        <f t="shared" si="19"/>
        <v>99</v>
      </c>
      <c r="R440" s="4">
        <f t="shared" si="20"/>
        <v>62500</v>
      </c>
    </row>
    <row r="441" spans="1:18">
      <c r="A441" s="1">
        <v>2</v>
      </c>
      <c r="B441" s="1" t="str">
        <f>"قطعات و لوازم يدكي"</f>
        <v>قطعات و لوازم يدكي</v>
      </c>
      <c r="C441" s="1">
        <v>101</v>
      </c>
      <c r="D441" s="1" t="str">
        <f>"انبار قطعات و لوازم يدكي اصفهان"</f>
        <v>انبار قطعات و لوازم يدكي اصفهان</v>
      </c>
      <c r="E441" s="1" t="str">
        <f>"6818116882"</f>
        <v>6818116882</v>
      </c>
      <c r="F441" s="1" t="str">
        <f>"سيم افشان 1.5"</f>
        <v>سيم افشان 1.5</v>
      </c>
      <c r="G441" s="1" t="str">
        <f>"متر"</f>
        <v>متر</v>
      </c>
      <c r="H441" s="1">
        <v>67</v>
      </c>
      <c r="I441" s="1">
        <v>120600</v>
      </c>
      <c r="J441" s="1">
        <v>0</v>
      </c>
      <c r="K441" s="1">
        <v>0</v>
      </c>
      <c r="L441" s="1">
        <v>0</v>
      </c>
      <c r="M441" s="1">
        <v>0</v>
      </c>
      <c r="O441" s="1">
        <v>97</v>
      </c>
      <c r="P441" s="4">
        <f t="shared" si="18"/>
        <v>120600</v>
      </c>
      <c r="Q441" s="4">
        <f t="shared" si="19"/>
        <v>67</v>
      </c>
      <c r="R441" s="4">
        <f t="shared" si="20"/>
        <v>1800</v>
      </c>
    </row>
    <row r="442" spans="1:18" hidden="1">
      <c r="A442" s="1">
        <v>2</v>
      </c>
      <c r="B442" s="1" t="str">
        <f>"قطعات و لوازم يدكي"</f>
        <v>قطعات و لوازم يدكي</v>
      </c>
      <c r="C442" s="1">
        <v>101</v>
      </c>
      <c r="D442" s="1" t="str">
        <f>"انبار قطعات و لوازم يدكي اصفهان"</f>
        <v>انبار قطعات و لوازم يدكي اصفهان</v>
      </c>
      <c r="E442" s="1" t="str">
        <f>"6818117022"</f>
        <v>6818117022</v>
      </c>
      <c r="F442" s="1" t="str">
        <f>"کابل 1/5*3"</f>
        <v>کابل 1/5*3</v>
      </c>
      <c r="G442" s="1" t="str">
        <f>"متر"</f>
        <v>متر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O442" s="1">
        <v>97</v>
      </c>
      <c r="P442" s="1">
        <f t="shared" si="18"/>
        <v>0</v>
      </c>
      <c r="Q442" s="1">
        <f t="shared" si="19"/>
        <v>0</v>
      </c>
      <c r="R442" s="1" t="e">
        <f t="shared" si="20"/>
        <v>#DIV/0!</v>
      </c>
    </row>
    <row r="443" spans="1:18">
      <c r="A443" s="1">
        <v>2</v>
      </c>
      <c r="B443" s="1" t="str">
        <f>"قطعات و لوازم يدكي"</f>
        <v>قطعات و لوازم يدكي</v>
      </c>
      <c r="C443" s="1">
        <v>101</v>
      </c>
      <c r="D443" s="1" t="str">
        <f>"انبار قطعات و لوازم يدكي اصفهان"</f>
        <v>انبار قطعات و لوازم يدكي اصفهان</v>
      </c>
      <c r="E443" s="1" t="str">
        <f>"6885123992"</f>
        <v>6885123992</v>
      </c>
      <c r="F443" s="1" t="str">
        <f>"گلند  16 لوله خرطومي"</f>
        <v>گلند  16 لوله خرطومي</v>
      </c>
      <c r="G443" s="1" t="str">
        <f>"عدد"</f>
        <v>عدد</v>
      </c>
      <c r="H443" s="1">
        <v>3</v>
      </c>
      <c r="I443" s="1">
        <v>23400</v>
      </c>
      <c r="J443" s="1">
        <v>0</v>
      </c>
      <c r="K443" s="1">
        <v>0</v>
      </c>
      <c r="L443" s="1">
        <v>0</v>
      </c>
      <c r="M443" s="1">
        <v>0</v>
      </c>
      <c r="O443" s="1">
        <v>97</v>
      </c>
      <c r="P443" s="4">
        <f t="shared" si="18"/>
        <v>23400</v>
      </c>
      <c r="Q443" s="4">
        <f t="shared" si="19"/>
        <v>3</v>
      </c>
      <c r="R443" s="4">
        <f t="shared" si="20"/>
        <v>7800</v>
      </c>
    </row>
    <row r="444" spans="1:18">
      <c r="A444" s="1">
        <v>2</v>
      </c>
      <c r="B444" s="1" t="str">
        <f>"قطعات و لوازم يدكي"</f>
        <v>قطعات و لوازم يدكي</v>
      </c>
      <c r="C444" s="1">
        <v>101</v>
      </c>
      <c r="D444" s="1" t="str">
        <f>"انبار قطعات و لوازم يدكي اصفهان"</f>
        <v>انبار قطعات و لوازم يدكي اصفهان</v>
      </c>
      <c r="E444" s="1" t="str">
        <f>"6050548282"</f>
        <v>6050548282</v>
      </c>
      <c r="F444" s="1" t="str">
        <f>"PRESSURE GAUGES 0-2.5 BAR*60MM"</f>
        <v>PRESSURE GAUGES 0-2.5 BAR*60MM</v>
      </c>
      <c r="G444" s="1" t="str">
        <f>"عدد"</f>
        <v>عدد</v>
      </c>
      <c r="H444" s="1">
        <v>3</v>
      </c>
      <c r="I444" s="1">
        <v>180000</v>
      </c>
      <c r="J444" s="1">
        <v>20</v>
      </c>
      <c r="K444" s="1">
        <v>10000000</v>
      </c>
      <c r="L444" s="1">
        <v>3</v>
      </c>
      <c r="M444" s="1">
        <v>180000</v>
      </c>
      <c r="O444" s="1">
        <v>97</v>
      </c>
      <c r="P444" s="4">
        <f t="shared" si="18"/>
        <v>10000000</v>
      </c>
      <c r="Q444" s="4">
        <f t="shared" si="19"/>
        <v>20</v>
      </c>
      <c r="R444" s="4">
        <f t="shared" si="20"/>
        <v>500000</v>
      </c>
    </row>
    <row r="445" spans="1:18">
      <c r="A445" s="1">
        <v>2</v>
      </c>
      <c r="B445" s="1" t="str">
        <f>"قطعات و لوازم يدكي"</f>
        <v>قطعات و لوازم يدكي</v>
      </c>
      <c r="C445" s="1">
        <v>101</v>
      </c>
      <c r="D445" s="1" t="str">
        <f>"انبار قطعات و لوازم يدكي اصفهان"</f>
        <v>انبار قطعات و لوازم يدكي اصفهان</v>
      </c>
      <c r="E445" s="1" t="str">
        <f>"6050548302"</f>
        <v>6050548302</v>
      </c>
      <c r="F445" s="1" t="str">
        <f>"ترمومتر 200 تا0 طول 20cm قطر 6mm"</f>
        <v>ترمومتر 200 تا0 طول 20cm قطر 6mm</v>
      </c>
      <c r="G445" s="1" t="str">
        <f>"عدد"</f>
        <v>عدد</v>
      </c>
      <c r="H445" s="1">
        <v>1</v>
      </c>
      <c r="I445" s="1">
        <v>3300000</v>
      </c>
      <c r="J445" s="1">
        <v>0</v>
      </c>
      <c r="K445" s="1">
        <v>0</v>
      </c>
      <c r="L445" s="1">
        <v>0</v>
      </c>
      <c r="M445" s="1">
        <v>0</v>
      </c>
      <c r="O445" s="1">
        <v>97</v>
      </c>
      <c r="P445" s="4">
        <f t="shared" si="18"/>
        <v>3300000</v>
      </c>
      <c r="Q445" s="4">
        <f t="shared" si="19"/>
        <v>1</v>
      </c>
      <c r="R445" s="4">
        <f t="shared" si="20"/>
        <v>3300000</v>
      </c>
    </row>
    <row r="446" spans="1:18">
      <c r="A446" s="1">
        <v>2</v>
      </c>
      <c r="B446" s="1" t="str">
        <f>"قطعات و لوازم يدكي"</f>
        <v>قطعات و لوازم يدكي</v>
      </c>
      <c r="C446" s="1">
        <v>101</v>
      </c>
      <c r="D446" s="1" t="str">
        <f>"انبار قطعات و لوازم يدكي اصفهان"</f>
        <v>انبار قطعات و لوازم يدكي اصفهان</v>
      </c>
      <c r="E446" s="1" t="str">
        <f>"6088713583"</f>
        <v>6088713583</v>
      </c>
      <c r="F446" s="1" t="str">
        <f>"RUPTARE DISC10ديگ پاره شونده"</f>
        <v>RUPTARE DISC10ديگ پاره شونده</v>
      </c>
      <c r="G446" s="1" t="str">
        <f>"عدد"</f>
        <v>عدد</v>
      </c>
      <c r="H446" s="1">
        <v>10</v>
      </c>
      <c r="I446" s="1">
        <v>527442545</v>
      </c>
      <c r="J446" s="1">
        <v>0</v>
      </c>
      <c r="K446" s="1">
        <v>0</v>
      </c>
      <c r="L446" s="1">
        <v>0</v>
      </c>
      <c r="M446" s="1">
        <v>0</v>
      </c>
      <c r="O446" s="1">
        <v>97</v>
      </c>
      <c r="P446" s="4">
        <f t="shared" si="18"/>
        <v>527442545</v>
      </c>
      <c r="Q446" s="4">
        <f t="shared" si="19"/>
        <v>10</v>
      </c>
      <c r="R446" s="4">
        <f t="shared" si="20"/>
        <v>52744254.5</v>
      </c>
    </row>
    <row r="447" spans="1:18">
      <c r="A447" s="1">
        <v>2</v>
      </c>
      <c r="B447" s="1" t="str">
        <f>"قطعات و لوازم يدكي"</f>
        <v>قطعات و لوازم يدكي</v>
      </c>
      <c r="C447" s="1">
        <v>101</v>
      </c>
      <c r="D447" s="1" t="str">
        <f>"انبار قطعات و لوازم يدكي اصفهان"</f>
        <v>انبار قطعات و لوازم يدكي اصفهان</v>
      </c>
      <c r="E447" s="1" t="str">
        <f>"6772902013"</f>
        <v>6772902013</v>
      </c>
      <c r="F447" s="1" t="str">
        <f>"POWER SUPPLX"</f>
        <v>POWER SUPPLX</v>
      </c>
      <c r="G447" s="1" t="str">
        <f>"عدد"</f>
        <v>عدد</v>
      </c>
      <c r="H447" s="1">
        <v>4</v>
      </c>
      <c r="I447" s="1">
        <v>327863</v>
      </c>
      <c r="J447" s="1">
        <v>0</v>
      </c>
      <c r="K447" s="1">
        <v>0</v>
      </c>
      <c r="L447" s="1">
        <v>0</v>
      </c>
      <c r="M447" s="1">
        <v>0</v>
      </c>
      <c r="O447" s="1">
        <v>97</v>
      </c>
      <c r="P447" s="4">
        <f t="shared" si="18"/>
        <v>327863</v>
      </c>
      <c r="Q447" s="4">
        <f t="shared" si="19"/>
        <v>4</v>
      </c>
      <c r="R447" s="4">
        <f t="shared" si="20"/>
        <v>81965.75</v>
      </c>
    </row>
    <row r="448" spans="1:18">
      <c r="A448" s="1">
        <v>2</v>
      </c>
      <c r="B448" s="1" t="str">
        <f>"قطعات و لوازم يدكي"</f>
        <v>قطعات و لوازم يدكي</v>
      </c>
      <c r="C448" s="1">
        <v>101</v>
      </c>
      <c r="D448" s="1" t="str">
        <f>"انبار قطعات و لوازم يدكي اصفهان"</f>
        <v>انبار قطعات و لوازم يدكي اصفهان</v>
      </c>
      <c r="E448" s="1" t="str">
        <f>"6772902112"</f>
        <v>6772902112</v>
      </c>
      <c r="F448" s="1" t="str">
        <f>"LCD کنترلر CMC"</f>
        <v>LCD کنترلر CMC</v>
      </c>
      <c r="G448" s="1" t="str">
        <f>"عدد"</f>
        <v>عدد</v>
      </c>
      <c r="H448" s="1">
        <v>2</v>
      </c>
      <c r="I448" s="1">
        <v>16920000</v>
      </c>
      <c r="J448" s="1">
        <v>0</v>
      </c>
      <c r="K448" s="1">
        <v>0</v>
      </c>
      <c r="L448" s="1">
        <v>1</v>
      </c>
      <c r="M448" s="1">
        <v>8460000</v>
      </c>
      <c r="O448" s="1">
        <v>97</v>
      </c>
      <c r="P448" s="4">
        <f t="shared" si="18"/>
        <v>8460000</v>
      </c>
      <c r="Q448" s="4">
        <f t="shared" si="19"/>
        <v>1</v>
      </c>
      <c r="R448" s="4">
        <f t="shared" si="20"/>
        <v>8460000</v>
      </c>
    </row>
    <row r="449" spans="1:18" hidden="1">
      <c r="A449" s="1">
        <v>2</v>
      </c>
      <c r="B449" s="1" t="str">
        <f>"قطعات و لوازم يدكي"</f>
        <v>قطعات و لوازم يدكي</v>
      </c>
      <c r="C449" s="1">
        <v>101</v>
      </c>
      <c r="D449" s="1" t="str">
        <f>"انبار قطعات و لوازم يدكي اصفهان"</f>
        <v>انبار قطعات و لوازم يدكي اصفهان</v>
      </c>
      <c r="E449" s="1" t="str">
        <f>"6800000042"</f>
        <v>6800000042</v>
      </c>
      <c r="F449" s="1" t="str">
        <f>"کابلشوي 95"</f>
        <v>کابلشوي 95</v>
      </c>
      <c r="G449" s="1" t="str">
        <f>"عدد"</f>
        <v>عدد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O449" s="1">
        <v>97</v>
      </c>
      <c r="P449" s="1">
        <f t="shared" si="18"/>
        <v>0</v>
      </c>
      <c r="Q449" s="1">
        <f t="shared" si="19"/>
        <v>0</v>
      </c>
      <c r="R449" s="1" t="e">
        <f t="shared" si="20"/>
        <v>#DIV/0!</v>
      </c>
    </row>
    <row r="450" spans="1:18" hidden="1">
      <c r="A450" s="1">
        <v>2</v>
      </c>
      <c r="B450" s="1" t="str">
        <f>"قطعات و لوازم يدكي"</f>
        <v>قطعات و لوازم يدكي</v>
      </c>
      <c r="C450" s="1">
        <v>101</v>
      </c>
      <c r="D450" s="1" t="str">
        <f>"انبار قطعات و لوازم يدكي اصفهان"</f>
        <v>انبار قطعات و لوازم يدكي اصفهان</v>
      </c>
      <c r="E450" s="1" t="str">
        <f>"6800000072"</f>
        <v>6800000072</v>
      </c>
      <c r="F450" s="1" t="str">
        <f>"سر کابل 95*3 داخلي 20KV"</f>
        <v>سر کابل 95*3 داخلي 20KV</v>
      </c>
      <c r="G450" s="1" t="str">
        <f>"عدد"</f>
        <v>عدد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O450" s="1">
        <v>97</v>
      </c>
      <c r="P450" s="1">
        <f t="shared" si="18"/>
        <v>0</v>
      </c>
      <c r="Q450" s="1">
        <f t="shared" si="19"/>
        <v>0</v>
      </c>
      <c r="R450" s="1" t="e">
        <f t="shared" si="20"/>
        <v>#DIV/0!</v>
      </c>
    </row>
    <row r="451" spans="1:18" hidden="1">
      <c r="A451" s="1">
        <v>2</v>
      </c>
      <c r="B451" s="1" t="str">
        <f>"قطعات و لوازم يدكي"</f>
        <v>قطعات و لوازم يدكي</v>
      </c>
      <c r="C451" s="1">
        <v>101</v>
      </c>
      <c r="D451" s="1" t="str">
        <f>"انبار قطعات و لوازم يدكي اصفهان"</f>
        <v>انبار قطعات و لوازم يدكي اصفهان</v>
      </c>
      <c r="E451" s="1" t="str">
        <f>"6800000312"</f>
        <v>6800000312</v>
      </c>
      <c r="F451" s="1" t="str">
        <f>"بوشن گالوانيزه گرم PG21"</f>
        <v>بوشن گالوانيزه گرم PG21</v>
      </c>
      <c r="G451" s="1" t="str">
        <f>"عدد"</f>
        <v>عدد</v>
      </c>
      <c r="H451" s="1">
        <v>0</v>
      </c>
      <c r="I451" s="1">
        <v>0</v>
      </c>
      <c r="J451" s="1">
        <v>60</v>
      </c>
      <c r="K451" s="1">
        <v>810000</v>
      </c>
      <c r="L451" s="1">
        <v>60</v>
      </c>
      <c r="M451" s="1">
        <v>810000</v>
      </c>
      <c r="O451" s="1">
        <v>97</v>
      </c>
      <c r="P451" s="1">
        <f t="shared" ref="P451:P514" si="21">I451+K451-M451</f>
        <v>0</v>
      </c>
      <c r="Q451" s="1">
        <f t="shared" ref="Q451:Q514" si="22">H451+J451-L451</f>
        <v>0</v>
      </c>
      <c r="R451" s="1" t="e">
        <f t="shared" ref="R451:R514" si="23">P451/Q451</f>
        <v>#DIV/0!</v>
      </c>
    </row>
    <row r="452" spans="1:18" hidden="1">
      <c r="A452" s="1">
        <v>2</v>
      </c>
      <c r="B452" s="1" t="str">
        <f>"قطعات و لوازم يدكي"</f>
        <v>قطعات و لوازم يدكي</v>
      </c>
      <c r="C452" s="1">
        <v>101</v>
      </c>
      <c r="D452" s="1" t="str">
        <f>"انبار قطعات و لوازم يدكي اصفهان"</f>
        <v>انبار قطعات و لوازم يدكي اصفهان</v>
      </c>
      <c r="E452" s="1" t="str">
        <f>"6800000342"</f>
        <v>6800000342</v>
      </c>
      <c r="F452" s="1" t="str">
        <f>"بست دو پايه سايز 21"</f>
        <v>بست دو پايه سايز 21</v>
      </c>
      <c r="G452" s="1" t="str">
        <f>"عدد"</f>
        <v>عدد</v>
      </c>
      <c r="H452" s="1">
        <v>0</v>
      </c>
      <c r="I452" s="1">
        <v>0</v>
      </c>
      <c r="J452" s="1">
        <v>200</v>
      </c>
      <c r="K452" s="1">
        <v>3440000</v>
      </c>
      <c r="L452" s="1">
        <v>200</v>
      </c>
      <c r="M452" s="1">
        <v>3440000</v>
      </c>
      <c r="O452" s="1">
        <v>97</v>
      </c>
      <c r="P452" s="1">
        <f t="shared" si="21"/>
        <v>0</v>
      </c>
      <c r="Q452" s="1">
        <f t="shared" si="22"/>
        <v>0</v>
      </c>
      <c r="R452" s="1" t="e">
        <f t="shared" si="23"/>
        <v>#DIV/0!</v>
      </c>
    </row>
    <row r="453" spans="1:18">
      <c r="A453" s="1">
        <v>2</v>
      </c>
      <c r="B453" s="1" t="str">
        <f>"قطعات و لوازم يدكي"</f>
        <v>قطعات و لوازم يدكي</v>
      </c>
      <c r="C453" s="1">
        <v>101</v>
      </c>
      <c r="D453" s="1" t="str">
        <f>"انبار قطعات و لوازم يدكي اصفهان"</f>
        <v>انبار قطعات و لوازم يدكي اصفهان</v>
      </c>
      <c r="E453" s="1" t="str">
        <f>"6801010092"</f>
        <v>6801010092</v>
      </c>
      <c r="F453" s="1" t="str">
        <f>"کابلشو 8-16 KL"</f>
        <v>کابلشو 8-16 KL</v>
      </c>
      <c r="G453" s="1" t="str">
        <f>"عدد"</f>
        <v>عدد</v>
      </c>
      <c r="H453" s="1">
        <v>24</v>
      </c>
      <c r="I453" s="1">
        <v>115200</v>
      </c>
      <c r="J453" s="1">
        <v>0</v>
      </c>
      <c r="K453" s="1">
        <v>0</v>
      </c>
      <c r="L453" s="1">
        <v>12</v>
      </c>
      <c r="M453" s="1">
        <v>57600</v>
      </c>
      <c r="O453" s="1">
        <v>97</v>
      </c>
      <c r="P453" s="4">
        <f t="shared" si="21"/>
        <v>57600</v>
      </c>
      <c r="Q453" s="4">
        <f t="shared" si="22"/>
        <v>12</v>
      </c>
      <c r="R453" s="4">
        <f t="shared" si="23"/>
        <v>4800</v>
      </c>
    </row>
    <row r="454" spans="1:18">
      <c r="A454" s="1">
        <v>2</v>
      </c>
      <c r="B454" s="1" t="str">
        <f>"قطعات و لوازم يدكي"</f>
        <v>قطعات و لوازم يدكي</v>
      </c>
      <c r="C454" s="1">
        <v>101</v>
      </c>
      <c r="D454" s="1" t="str">
        <f>"انبار قطعات و لوازم يدكي اصفهان"</f>
        <v>انبار قطعات و لوازم يدكي اصفهان</v>
      </c>
      <c r="E454" s="1" t="str">
        <f>"6801010102"</f>
        <v>6801010102</v>
      </c>
      <c r="F454" s="1" t="str">
        <f>"کابلشو 10-25 KL"</f>
        <v>کابلشو 10-25 KL</v>
      </c>
      <c r="G454" s="1" t="str">
        <f>"عدد"</f>
        <v>عدد</v>
      </c>
      <c r="H454" s="1">
        <v>47</v>
      </c>
      <c r="I454" s="1">
        <v>352500</v>
      </c>
      <c r="J454" s="1">
        <v>0</v>
      </c>
      <c r="K454" s="1">
        <v>0</v>
      </c>
      <c r="L454" s="1">
        <v>14</v>
      </c>
      <c r="M454" s="1">
        <v>105000</v>
      </c>
      <c r="O454" s="1">
        <v>97</v>
      </c>
      <c r="P454" s="4">
        <f t="shared" si="21"/>
        <v>247500</v>
      </c>
      <c r="Q454" s="4">
        <f t="shared" si="22"/>
        <v>33</v>
      </c>
      <c r="R454" s="4">
        <f t="shared" si="23"/>
        <v>7500</v>
      </c>
    </row>
    <row r="455" spans="1:18">
      <c r="A455" s="1">
        <v>2</v>
      </c>
      <c r="B455" s="1" t="str">
        <f>"قطعات و لوازم يدكي"</f>
        <v>قطعات و لوازم يدكي</v>
      </c>
      <c r="C455" s="1">
        <v>101</v>
      </c>
      <c r="D455" s="1" t="str">
        <f>"انبار قطعات و لوازم يدكي اصفهان"</f>
        <v>انبار قطعات و لوازم يدكي اصفهان</v>
      </c>
      <c r="E455" s="1" t="str">
        <f>"6801010202"</f>
        <v>6801010202</v>
      </c>
      <c r="F455" s="1" t="str">
        <f>"دو شاخه قرمز دهنه 4"</f>
        <v>دو شاخه قرمز دهنه 4</v>
      </c>
      <c r="G455" s="1" t="str">
        <f>"عدد"</f>
        <v>عدد</v>
      </c>
      <c r="H455" s="1">
        <v>65</v>
      </c>
      <c r="I455" s="1">
        <v>22750</v>
      </c>
      <c r="J455" s="1">
        <v>0</v>
      </c>
      <c r="K455" s="1">
        <v>0</v>
      </c>
      <c r="L455" s="1">
        <v>1</v>
      </c>
      <c r="M455" s="1">
        <v>350</v>
      </c>
      <c r="O455" s="1">
        <v>97</v>
      </c>
      <c r="P455" s="4">
        <f t="shared" si="21"/>
        <v>22400</v>
      </c>
      <c r="Q455" s="4">
        <f t="shared" si="22"/>
        <v>64</v>
      </c>
      <c r="R455" s="4">
        <f t="shared" si="23"/>
        <v>350</v>
      </c>
    </row>
    <row r="456" spans="1:18">
      <c r="A456" s="1">
        <v>2</v>
      </c>
      <c r="B456" s="1" t="str">
        <f>"قطعات و لوازم يدكي"</f>
        <v>قطعات و لوازم يدكي</v>
      </c>
      <c r="C456" s="1">
        <v>101</v>
      </c>
      <c r="D456" s="1" t="str">
        <f>"انبار قطعات و لوازم يدكي اصفهان"</f>
        <v>انبار قطعات و لوازم يدكي اصفهان</v>
      </c>
      <c r="E456" s="1" t="str">
        <f>"6801010222"</f>
        <v>6801010222</v>
      </c>
      <c r="F456" s="1" t="str">
        <f>"دوشاخه  قرمز دهنه 6"</f>
        <v>دوشاخه  قرمز دهنه 6</v>
      </c>
      <c r="G456" s="1" t="str">
        <f>"عدد"</f>
        <v>عدد</v>
      </c>
      <c r="H456" s="1">
        <v>100</v>
      </c>
      <c r="I456" s="1">
        <v>40000</v>
      </c>
      <c r="J456" s="1">
        <v>0</v>
      </c>
      <c r="K456" s="1">
        <v>0</v>
      </c>
      <c r="L456" s="1">
        <v>0</v>
      </c>
      <c r="M456" s="1">
        <v>0</v>
      </c>
      <c r="O456" s="1">
        <v>97</v>
      </c>
      <c r="P456" s="4">
        <f t="shared" si="21"/>
        <v>40000</v>
      </c>
      <c r="Q456" s="4">
        <f t="shared" si="22"/>
        <v>100</v>
      </c>
      <c r="R456" s="4">
        <f t="shared" si="23"/>
        <v>400</v>
      </c>
    </row>
    <row r="457" spans="1:18">
      <c r="A457" s="1">
        <v>2</v>
      </c>
      <c r="B457" s="1" t="str">
        <f>"قطعات و لوازم يدكي"</f>
        <v>قطعات و لوازم يدكي</v>
      </c>
      <c r="C457" s="1">
        <v>101</v>
      </c>
      <c r="D457" s="1" t="str">
        <f>"انبار قطعات و لوازم يدكي اصفهان"</f>
        <v>انبار قطعات و لوازم يدكي اصفهان</v>
      </c>
      <c r="E457" s="1" t="str">
        <f>"6801010242"</f>
        <v>6801010242</v>
      </c>
      <c r="F457" s="1" t="str">
        <f>"دوشاخه مشکي دهنه 5"</f>
        <v>دوشاخه مشکي دهنه 5</v>
      </c>
      <c r="G457" s="1" t="str">
        <f>"عدد"</f>
        <v>عدد</v>
      </c>
      <c r="H457" s="1">
        <v>85</v>
      </c>
      <c r="I457" s="1">
        <v>40800</v>
      </c>
      <c r="J457" s="1">
        <v>0</v>
      </c>
      <c r="K457" s="1">
        <v>0</v>
      </c>
      <c r="L457" s="1">
        <v>0</v>
      </c>
      <c r="M457" s="1">
        <v>0</v>
      </c>
      <c r="O457" s="1">
        <v>97</v>
      </c>
      <c r="P457" s="4">
        <f t="shared" si="21"/>
        <v>40800</v>
      </c>
      <c r="Q457" s="4">
        <f t="shared" si="22"/>
        <v>85</v>
      </c>
      <c r="R457" s="4">
        <f t="shared" si="23"/>
        <v>480</v>
      </c>
    </row>
    <row r="458" spans="1:18">
      <c r="A458" s="1">
        <v>2</v>
      </c>
      <c r="B458" s="1" t="str">
        <f>"قطعات و لوازم يدكي"</f>
        <v>قطعات و لوازم يدكي</v>
      </c>
      <c r="C458" s="1">
        <v>101</v>
      </c>
      <c r="D458" s="1" t="str">
        <f>"انبار قطعات و لوازم يدكي اصفهان"</f>
        <v>انبار قطعات و لوازم يدكي اصفهان</v>
      </c>
      <c r="E458" s="1" t="str">
        <f>"6801010282"</f>
        <v>6801010282</v>
      </c>
      <c r="F458" s="1" t="str">
        <f>"کانکتور SP6"</f>
        <v>کانکتور SP6</v>
      </c>
      <c r="G458" s="1" t="str">
        <f>"عدد"</f>
        <v>عدد</v>
      </c>
      <c r="H458" s="1">
        <v>100</v>
      </c>
      <c r="I458" s="1">
        <v>100000</v>
      </c>
      <c r="J458" s="1">
        <v>0</v>
      </c>
      <c r="K458" s="1">
        <v>0</v>
      </c>
      <c r="L458" s="1">
        <v>0</v>
      </c>
      <c r="M458" s="1">
        <v>0</v>
      </c>
      <c r="O458" s="1">
        <v>97</v>
      </c>
      <c r="P458" s="4">
        <f t="shared" si="21"/>
        <v>100000</v>
      </c>
      <c r="Q458" s="4">
        <f t="shared" si="22"/>
        <v>100</v>
      </c>
      <c r="R458" s="4">
        <f t="shared" si="23"/>
        <v>1000</v>
      </c>
    </row>
    <row r="459" spans="1:18">
      <c r="A459" s="1">
        <v>2</v>
      </c>
      <c r="B459" s="1" t="str">
        <f>"قطعات و لوازم يدكي"</f>
        <v>قطعات و لوازم يدكي</v>
      </c>
      <c r="C459" s="1">
        <v>101</v>
      </c>
      <c r="D459" s="1" t="str">
        <f>"انبار قطعات و لوازم يدكي اصفهان"</f>
        <v>انبار قطعات و لوازم يدكي اصفهان</v>
      </c>
      <c r="E459" s="1" t="str">
        <f>"6901020212"</f>
        <v>6901020212</v>
      </c>
      <c r="F459" s="1" t="str">
        <f>"ترمينال 6 ريلي"</f>
        <v>ترمينال 6 ريلي</v>
      </c>
      <c r="G459" s="1" t="str">
        <f>"عدد"</f>
        <v>عدد</v>
      </c>
      <c r="H459" s="1">
        <v>0</v>
      </c>
      <c r="I459" s="1">
        <v>0</v>
      </c>
      <c r="J459" s="1">
        <v>50</v>
      </c>
      <c r="K459" s="1">
        <v>900000</v>
      </c>
      <c r="L459" s="1">
        <v>10</v>
      </c>
      <c r="M459" s="1">
        <v>180000</v>
      </c>
      <c r="O459" s="1">
        <v>97</v>
      </c>
      <c r="P459" s="4">
        <f t="shared" si="21"/>
        <v>720000</v>
      </c>
      <c r="Q459" s="4">
        <f t="shared" si="22"/>
        <v>40</v>
      </c>
      <c r="R459" s="4">
        <f t="shared" si="23"/>
        <v>18000</v>
      </c>
    </row>
    <row r="460" spans="1:18">
      <c r="A460" s="1">
        <v>2</v>
      </c>
      <c r="B460" s="1" t="str">
        <f>"قطعات و لوازم يدكي"</f>
        <v>قطعات و لوازم يدكي</v>
      </c>
      <c r="C460" s="1">
        <v>101</v>
      </c>
      <c r="D460" s="1" t="str">
        <f>"انبار قطعات و لوازم يدكي اصفهان"</f>
        <v>انبار قطعات و لوازم يدكي اصفهان</v>
      </c>
      <c r="E460" s="1" t="str">
        <f>"6901400212"</f>
        <v>6901400212</v>
      </c>
      <c r="F460" s="1" t="str">
        <f>"لامپ حبابي LED کم مصرف 18W"</f>
        <v>لامپ حبابي LED کم مصرف 18W</v>
      </c>
      <c r="G460" s="1" t="str">
        <f>"عدد"</f>
        <v>عدد</v>
      </c>
      <c r="H460" s="1">
        <v>0</v>
      </c>
      <c r="I460" s="1">
        <v>0</v>
      </c>
      <c r="J460" s="1">
        <v>55</v>
      </c>
      <c r="K460" s="1">
        <v>11550000</v>
      </c>
      <c r="L460" s="1">
        <v>14</v>
      </c>
      <c r="M460" s="1">
        <v>2940000</v>
      </c>
      <c r="O460" s="1">
        <v>97</v>
      </c>
      <c r="P460" s="4">
        <f t="shared" si="21"/>
        <v>8610000</v>
      </c>
      <c r="Q460" s="4">
        <f t="shared" si="22"/>
        <v>41</v>
      </c>
      <c r="R460" s="4">
        <f t="shared" si="23"/>
        <v>210000</v>
      </c>
    </row>
    <row r="461" spans="1:18">
      <c r="A461" s="1">
        <v>2</v>
      </c>
      <c r="B461" s="1" t="str">
        <f>"قطعات و لوازم يدكي"</f>
        <v>قطعات و لوازم يدكي</v>
      </c>
      <c r="C461" s="1">
        <v>101</v>
      </c>
      <c r="D461" s="1" t="str">
        <f>"انبار قطعات و لوازم يدكي اصفهان"</f>
        <v>انبار قطعات و لوازم يدكي اصفهان</v>
      </c>
      <c r="E461" s="1" t="str">
        <f>"6901400462"</f>
        <v>6901400462</v>
      </c>
      <c r="F461" s="1" t="str">
        <f>"لامپ کم مصرف مهتابي PL-L 36W"</f>
        <v>لامپ کم مصرف مهتابي PL-L 36W</v>
      </c>
      <c r="G461" s="1" t="str">
        <f>"عدد"</f>
        <v>عدد</v>
      </c>
      <c r="H461" s="1">
        <v>19</v>
      </c>
      <c r="I461" s="1">
        <v>418000</v>
      </c>
      <c r="J461" s="1">
        <v>102</v>
      </c>
      <c r="K461" s="1">
        <v>5299046</v>
      </c>
      <c r="L461" s="1">
        <v>98</v>
      </c>
      <c r="M461" s="1">
        <v>4578019</v>
      </c>
      <c r="O461" s="1">
        <v>97</v>
      </c>
      <c r="P461" s="4">
        <f t="shared" si="21"/>
        <v>1139027</v>
      </c>
      <c r="Q461" s="4">
        <f t="shared" si="22"/>
        <v>23</v>
      </c>
      <c r="R461" s="4">
        <f t="shared" si="23"/>
        <v>49522.913043478264</v>
      </c>
    </row>
    <row r="462" spans="1:18">
      <c r="A462" s="1">
        <v>2</v>
      </c>
      <c r="B462" s="1" t="str">
        <f>"قطعات و لوازم يدكي"</f>
        <v>قطعات و لوازم يدكي</v>
      </c>
      <c r="C462" s="1">
        <v>101</v>
      </c>
      <c r="D462" s="1" t="str">
        <f>"انبار قطعات و لوازم يدكي اصفهان"</f>
        <v>انبار قطعات و لوازم يدكي اصفهان</v>
      </c>
      <c r="E462" s="1" t="str">
        <f>"6935431022"</f>
        <v>6935431022</v>
      </c>
      <c r="F462" s="1" t="str">
        <f>"پرژکتور 50 وات مهتابي"</f>
        <v>پرژکتور 50 وات مهتابي</v>
      </c>
      <c r="G462" s="1" t="str">
        <f>"عدد"</f>
        <v>عدد</v>
      </c>
      <c r="H462" s="1">
        <v>1</v>
      </c>
      <c r="I462" s="1">
        <v>900000</v>
      </c>
      <c r="J462" s="1">
        <v>0</v>
      </c>
      <c r="K462" s="1">
        <v>0</v>
      </c>
      <c r="L462" s="1">
        <v>0</v>
      </c>
      <c r="M462" s="1">
        <v>0</v>
      </c>
      <c r="O462" s="1">
        <v>97</v>
      </c>
      <c r="P462" s="4">
        <f t="shared" si="21"/>
        <v>900000</v>
      </c>
      <c r="Q462" s="4">
        <f t="shared" si="22"/>
        <v>1</v>
      </c>
      <c r="R462" s="4">
        <f t="shared" si="23"/>
        <v>900000</v>
      </c>
    </row>
    <row r="463" spans="1:18" hidden="1">
      <c r="A463" s="1">
        <v>2</v>
      </c>
      <c r="B463" s="1" t="str">
        <f>"قطعات و لوازم يدكي"</f>
        <v>قطعات و لوازم يدكي</v>
      </c>
      <c r="C463" s="1">
        <v>101</v>
      </c>
      <c r="D463" s="1" t="str">
        <f>"انبار قطعات و لوازم يدكي اصفهان"</f>
        <v>انبار قطعات و لوازم يدكي اصفهان</v>
      </c>
      <c r="E463" s="1" t="str">
        <f>"6935431032"</f>
        <v>6935431032</v>
      </c>
      <c r="F463" s="1" t="str">
        <f>"شيشه هند لامپ"</f>
        <v>شيشه هند لامپ</v>
      </c>
      <c r="G463" s="1" t="str">
        <f>"عدد"</f>
        <v>عدد</v>
      </c>
      <c r="H463" s="1">
        <v>0</v>
      </c>
      <c r="I463" s="1">
        <v>0</v>
      </c>
      <c r="J463" s="1">
        <v>20</v>
      </c>
      <c r="K463" s="1">
        <v>5200000</v>
      </c>
      <c r="L463" s="1">
        <v>20</v>
      </c>
      <c r="M463" s="1">
        <v>5200000</v>
      </c>
      <c r="O463" s="1">
        <v>97</v>
      </c>
      <c r="P463" s="1">
        <f t="shared" si="21"/>
        <v>0</v>
      </c>
      <c r="Q463" s="1">
        <f t="shared" si="22"/>
        <v>0</v>
      </c>
      <c r="R463" s="1" t="e">
        <f t="shared" si="23"/>
        <v>#DIV/0!</v>
      </c>
    </row>
    <row r="464" spans="1:18">
      <c r="A464" s="1">
        <v>2</v>
      </c>
      <c r="B464" s="1" t="str">
        <f>"قطعات و لوازم يدكي"</f>
        <v>قطعات و لوازم يدكي</v>
      </c>
      <c r="C464" s="1">
        <v>101</v>
      </c>
      <c r="D464" s="1" t="str">
        <f>"انبار قطعات و لوازم يدكي اصفهان"</f>
        <v>انبار قطعات و لوازم يدكي اصفهان</v>
      </c>
      <c r="E464" s="1" t="str">
        <f>"6935521852"</f>
        <v>6935521852</v>
      </c>
      <c r="F464" s="1" t="str">
        <f>"لامپ خياري 400w آفتابي"</f>
        <v>لامپ خياري 400w آفتابي</v>
      </c>
      <c r="G464" s="1" t="str">
        <f>"عدد"</f>
        <v>عدد</v>
      </c>
      <c r="H464" s="1">
        <v>1</v>
      </c>
      <c r="I464" s="1">
        <v>402857</v>
      </c>
      <c r="J464" s="1">
        <v>0</v>
      </c>
      <c r="K464" s="1">
        <v>0</v>
      </c>
      <c r="L464" s="1">
        <v>0</v>
      </c>
      <c r="M464" s="1">
        <v>0</v>
      </c>
      <c r="O464" s="1">
        <v>97</v>
      </c>
      <c r="P464" s="4">
        <f t="shared" si="21"/>
        <v>402857</v>
      </c>
      <c r="Q464" s="4">
        <f t="shared" si="22"/>
        <v>1</v>
      </c>
      <c r="R464" s="4">
        <f t="shared" si="23"/>
        <v>402857</v>
      </c>
    </row>
    <row r="465" spans="1:18">
      <c r="A465" s="1">
        <v>2</v>
      </c>
      <c r="B465" s="1" t="str">
        <f>"قطعات و لوازم يدكي"</f>
        <v>قطعات و لوازم يدكي</v>
      </c>
      <c r="C465" s="1">
        <v>101</v>
      </c>
      <c r="D465" s="1" t="str">
        <f>"انبار قطعات و لوازم يدكي اصفهان"</f>
        <v>انبار قطعات و لوازم يدكي اصفهان</v>
      </c>
      <c r="E465" s="1" t="str">
        <f>"6935521862"</f>
        <v>6935521862</v>
      </c>
      <c r="F465" s="1" t="str">
        <f>"لامپ 1000"</f>
        <v>لامپ 1000</v>
      </c>
      <c r="G465" s="1" t="str">
        <f>"عدد"</f>
        <v>عدد</v>
      </c>
      <c r="H465" s="1">
        <v>14</v>
      </c>
      <c r="I465" s="1">
        <v>15572</v>
      </c>
      <c r="J465" s="1">
        <v>0</v>
      </c>
      <c r="K465" s="1">
        <v>0</v>
      </c>
      <c r="L465" s="1">
        <v>0</v>
      </c>
      <c r="M465" s="1">
        <v>0</v>
      </c>
      <c r="O465" s="1">
        <v>97</v>
      </c>
      <c r="P465" s="4">
        <f t="shared" si="21"/>
        <v>15572</v>
      </c>
      <c r="Q465" s="4">
        <f t="shared" si="22"/>
        <v>14</v>
      </c>
      <c r="R465" s="4">
        <f t="shared" si="23"/>
        <v>1112.2857142857142</v>
      </c>
    </row>
    <row r="466" spans="1:18">
      <c r="A466" s="1">
        <v>2</v>
      </c>
      <c r="B466" s="1" t="str">
        <f>"قطعات و لوازم يدكي"</f>
        <v>قطعات و لوازم يدكي</v>
      </c>
      <c r="C466" s="1">
        <v>101</v>
      </c>
      <c r="D466" s="1" t="str">
        <f>"انبار قطعات و لوازم يدكي اصفهان"</f>
        <v>انبار قطعات و لوازم يدكي اصفهان</v>
      </c>
      <c r="E466" s="1" t="str">
        <f>"6935522072"</f>
        <v>6935522072</v>
      </c>
      <c r="F466" s="1" t="str">
        <f>"لامپ HWL 250 W"</f>
        <v>لامپ HWL 250 W</v>
      </c>
      <c r="G466" s="1" t="str">
        <f>"عدد"</f>
        <v>عدد</v>
      </c>
      <c r="H466" s="1">
        <v>5</v>
      </c>
      <c r="I466" s="1">
        <v>1650000</v>
      </c>
      <c r="J466" s="1">
        <v>0</v>
      </c>
      <c r="K466" s="1">
        <v>0</v>
      </c>
      <c r="L466" s="1">
        <v>1</v>
      </c>
      <c r="M466" s="1">
        <v>330000</v>
      </c>
      <c r="O466" s="1">
        <v>97</v>
      </c>
      <c r="P466" s="4">
        <f t="shared" si="21"/>
        <v>1320000</v>
      </c>
      <c r="Q466" s="4">
        <f t="shared" si="22"/>
        <v>4</v>
      </c>
      <c r="R466" s="4">
        <f t="shared" si="23"/>
        <v>330000</v>
      </c>
    </row>
    <row r="467" spans="1:18">
      <c r="A467" s="1">
        <v>2</v>
      </c>
      <c r="B467" s="1" t="str">
        <f>"قطعات و لوازم يدكي"</f>
        <v>قطعات و لوازم يدكي</v>
      </c>
      <c r="C467" s="1">
        <v>101</v>
      </c>
      <c r="D467" s="1" t="str">
        <f>"انبار قطعات و لوازم يدكي اصفهان"</f>
        <v>انبار قطعات و لوازم يدكي اصفهان</v>
      </c>
      <c r="E467" s="1" t="str">
        <f>"6941932402"</f>
        <v>6941932402</v>
      </c>
      <c r="F467" s="1" t="str">
        <f>"لامپ مهتابي 40 وات تك پين بزرگ"</f>
        <v>لامپ مهتابي 40 وات تك پين بزرگ</v>
      </c>
      <c r="G467" s="1" t="str">
        <f>"عدد"</f>
        <v>عدد</v>
      </c>
      <c r="H467" s="1">
        <v>58</v>
      </c>
      <c r="I467" s="1">
        <v>39418279</v>
      </c>
      <c r="J467" s="1">
        <v>114</v>
      </c>
      <c r="K467" s="1">
        <v>109154525</v>
      </c>
      <c r="L467" s="1">
        <v>48</v>
      </c>
      <c r="M467" s="1">
        <v>40918437</v>
      </c>
      <c r="O467" s="1">
        <v>97</v>
      </c>
      <c r="P467" s="4">
        <f t="shared" si="21"/>
        <v>107654367</v>
      </c>
      <c r="Q467" s="4">
        <f t="shared" si="22"/>
        <v>124</v>
      </c>
      <c r="R467" s="4">
        <f t="shared" si="23"/>
        <v>868180.37903225806</v>
      </c>
    </row>
    <row r="468" spans="1:18" hidden="1">
      <c r="A468" s="1">
        <v>2</v>
      </c>
      <c r="B468" s="1" t="str">
        <f>"قطعات و لوازم يدكي"</f>
        <v>قطعات و لوازم يدكي</v>
      </c>
      <c r="C468" s="1">
        <v>101</v>
      </c>
      <c r="D468" s="1" t="str">
        <f>"انبار قطعات و لوازم يدكي اصفهان"</f>
        <v>انبار قطعات و لوازم يدكي اصفهان</v>
      </c>
      <c r="E468" s="1" t="str">
        <f>"6980296002"</f>
        <v>6980296002</v>
      </c>
      <c r="F468" s="1" t="str">
        <f>"لوله خرطومي روكشدار 16"</f>
        <v>لوله خرطومي روكشدار 16</v>
      </c>
      <c r="G468" s="1" t="str">
        <f>"متر"</f>
        <v>متر</v>
      </c>
      <c r="H468" s="1">
        <v>49</v>
      </c>
      <c r="I468" s="1">
        <v>1221370</v>
      </c>
      <c r="J468" s="1">
        <v>0</v>
      </c>
      <c r="K468" s="1">
        <v>0</v>
      </c>
      <c r="L468" s="1">
        <v>49</v>
      </c>
      <c r="M468" s="1">
        <v>1221370</v>
      </c>
      <c r="O468" s="1">
        <v>97</v>
      </c>
      <c r="P468" s="1">
        <f t="shared" si="21"/>
        <v>0</v>
      </c>
      <c r="Q468" s="1">
        <f t="shared" si="22"/>
        <v>0</v>
      </c>
      <c r="R468" s="1" t="e">
        <f t="shared" si="23"/>
        <v>#DIV/0!</v>
      </c>
    </row>
    <row r="469" spans="1:18">
      <c r="A469" s="1">
        <v>2</v>
      </c>
      <c r="B469" s="1" t="str">
        <f>"قطعات و لوازم يدكي"</f>
        <v>قطعات و لوازم يدكي</v>
      </c>
      <c r="C469" s="1">
        <v>101</v>
      </c>
      <c r="D469" s="1" t="str">
        <f>"انبار قطعات و لوازم يدكي اصفهان"</f>
        <v>انبار قطعات و لوازم يدكي اصفهان</v>
      </c>
      <c r="E469" s="1" t="str">
        <f>"7042042102"</f>
        <v>7042042102</v>
      </c>
      <c r="F469" s="1" t="str">
        <f>"كليد تك پل توكار"</f>
        <v>كليد تك پل توكار</v>
      </c>
      <c r="G469" s="1" t="str">
        <f>"عدد"</f>
        <v>عدد</v>
      </c>
      <c r="H469" s="1">
        <v>8</v>
      </c>
      <c r="I469" s="1">
        <v>68800</v>
      </c>
      <c r="J469" s="1">
        <v>0</v>
      </c>
      <c r="K469" s="1">
        <v>0</v>
      </c>
      <c r="L469" s="1">
        <v>1</v>
      </c>
      <c r="M469" s="1">
        <v>8600</v>
      </c>
      <c r="O469" s="1">
        <v>97</v>
      </c>
      <c r="P469" s="4">
        <f t="shared" si="21"/>
        <v>60200</v>
      </c>
      <c r="Q469" s="4">
        <f t="shared" si="22"/>
        <v>7</v>
      </c>
      <c r="R469" s="4">
        <f t="shared" si="23"/>
        <v>8600</v>
      </c>
    </row>
    <row r="470" spans="1:18">
      <c r="A470" s="1">
        <v>2</v>
      </c>
      <c r="B470" s="1" t="str">
        <f>"قطعات و لوازم يدكي"</f>
        <v>قطعات و لوازم يدكي</v>
      </c>
      <c r="C470" s="1">
        <v>101</v>
      </c>
      <c r="D470" s="1" t="str">
        <f>"انبار قطعات و لوازم يدكي اصفهان"</f>
        <v>انبار قطعات و لوازم يدكي اصفهان</v>
      </c>
      <c r="E470" s="1" t="str">
        <f>"7057010032"</f>
        <v>7057010032</v>
      </c>
      <c r="F470" s="1" t="str">
        <f>"فيوز فرمان 2 آمپر(استوانه اي)"</f>
        <v>فيوز فرمان 2 آمپر(استوانه اي)</v>
      </c>
      <c r="G470" s="1" t="str">
        <f>"عدد"</f>
        <v>عدد</v>
      </c>
      <c r="H470" s="1">
        <v>20</v>
      </c>
      <c r="I470" s="1">
        <v>600000</v>
      </c>
      <c r="J470" s="1">
        <v>0</v>
      </c>
      <c r="K470" s="1">
        <v>0</v>
      </c>
      <c r="L470" s="1">
        <v>5</v>
      </c>
      <c r="M470" s="1">
        <v>150000</v>
      </c>
      <c r="O470" s="1">
        <v>97</v>
      </c>
      <c r="P470" s="4">
        <f t="shared" si="21"/>
        <v>450000</v>
      </c>
      <c r="Q470" s="4">
        <f t="shared" si="22"/>
        <v>15</v>
      </c>
      <c r="R470" s="4">
        <f t="shared" si="23"/>
        <v>30000</v>
      </c>
    </row>
    <row r="471" spans="1:18">
      <c r="A471" s="1">
        <v>2</v>
      </c>
      <c r="B471" s="1" t="str">
        <f>"قطعات و لوازم يدكي"</f>
        <v>قطعات و لوازم يدكي</v>
      </c>
      <c r="C471" s="1">
        <v>101</v>
      </c>
      <c r="D471" s="1" t="str">
        <f>"انبار قطعات و لوازم يدكي اصفهان"</f>
        <v>انبار قطعات و لوازم يدكي اصفهان</v>
      </c>
      <c r="E471" s="1" t="str">
        <f>"7057060022"</f>
        <v>7057060022</v>
      </c>
      <c r="F471" s="1" t="str">
        <f>"فيوز./فشنگي 2A"</f>
        <v>فيوز./فشنگي 2A</v>
      </c>
      <c r="G471" s="1" t="str">
        <f>"عدد"</f>
        <v>عدد</v>
      </c>
      <c r="H471" s="1">
        <v>8</v>
      </c>
      <c r="I471" s="1">
        <v>2742</v>
      </c>
      <c r="J471" s="1">
        <v>0</v>
      </c>
      <c r="K471" s="1">
        <v>0</v>
      </c>
      <c r="L471" s="1">
        <v>0</v>
      </c>
      <c r="M471" s="1">
        <v>0</v>
      </c>
      <c r="O471" s="1">
        <v>97</v>
      </c>
      <c r="P471" s="4">
        <f t="shared" si="21"/>
        <v>2742</v>
      </c>
      <c r="Q471" s="4">
        <f t="shared" si="22"/>
        <v>8</v>
      </c>
      <c r="R471" s="4">
        <f t="shared" si="23"/>
        <v>342.75</v>
      </c>
    </row>
    <row r="472" spans="1:18">
      <c r="A472" s="1">
        <v>2</v>
      </c>
      <c r="B472" s="1" t="str">
        <f>"قطعات و لوازم يدكي"</f>
        <v>قطعات و لوازم يدكي</v>
      </c>
      <c r="C472" s="1">
        <v>101</v>
      </c>
      <c r="D472" s="1" t="str">
        <f>"انبار قطعات و لوازم يدكي اصفهان"</f>
        <v>انبار قطعات و لوازم يدكي اصفهان</v>
      </c>
      <c r="E472" s="1" t="str">
        <f>"7061044082"</f>
        <v>7061044082</v>
      </c>
      <c r="F472" s="1" t="str">
        <f>"فيوز  كاردي  16A"</f>
        <v>فيوز  كاردي  16A</v>
      </c>
      <c r="G472" s="1" t="str">
        <f>"عدد"</f>
        <v>عدد</v>
      </c>
      <c r="H472" s="1">
        <v>10</v>
      </c>
      <c r="I472" s="1">
        <v>83926</v>
      </c>
      <c r="J472" s="1">
        <v>0</v>
      </c>
      <c r="K472" s="1">
        <v>0</v>
      </c>
      <c r="L472" s="1">
        <v>0</v>
      </c>
      <c r="M472" s="1">
        <v>0</v>
      </c>
      <c r="O472" s="1">
        <v>97</v>
      </c>
      <c r="P472" s="4">
        <f t="shared" si="21"/>
        <v>83926</v>
      </c>
      <c r="Q472" s="4">
        <f t="shared" si="22"/>
        <v>10</v>
      </c>
      <c r="R472" s="4">
        <f t="shared" si="23"/>
        <v>8392.6</v>
      </c>
    </row>
    <row r="473" spans="1:18">
      <c r="A473" s="1">
        <v>2</v>
      </c>
      <c r="B473" s="1" t="str">
        <f>"قطعات و لوازم يدكي"</f>
        <v>قطعات و لوازم يدكي</v>
      </c>
      <c r="C473" s="1">
        <v>101</v>
      </c>
      <c r="D473" s="1" t="str">
        <f>"انبار قطعات و لوازم يدكي اصفهان"</f>
        <v>انبار قطعات و لوازم يدكي اصفهان</v>
      </c>
      <c r="E473" s="1" t="str">
        <f>"7061044182"</f>
        <v>7061044182</v>
      </c>
      <c r="F473" s="1" t="str">
        <f>"فيوز كاردي 40A پايه کوتاه"</f>
        <v>فيوز كاردي 40A پايه کوتاه</v>
      </c>
      <c r="G473" s="1" t="str">
        <f>"عدد"</f>
        <v>عدد</v>
      </c>
      <c r="H473" s="1">
        <v>0</v>
      </c>
      <c r="I473" s="1">
        <v>0</v>
      </c>
      <c r="J473" s="1">
        <v>15</v>
      </c>
      <c r="K473" s="1">
        <v>2811000</v>
      </c>
      <c r="L473" s="1">
        <v>8</v>
      </c>
      <c r="M473" s="1">
        <v>1354300</v>
      </c>
      <c r="O473" s="1">
        <v>97</v>
      </c>
      <c r="P473" s="4">
        <f t="shared" si="21"/>
        <v>1456700</v>
      </c>
      <c r="Q473" s="4">
        <f t="shared" si="22"/>
        <v>7</v>
      </c>
      <c r="R473" s="4">
        <f t="shared" si="23"/>
        <v>208100</v>
      </c>
    </row>
    <row r="474" spans="1:18">
      <c r="A474" s="1">
        <v>2</v>
      </c>
      <c r="B474" s="1" t="str">
        <f>"قطعات و لوازم يدكي"</f>
        <v>قطعات و لوازم يدكي</v>
      </c>
      <c r="C474" s="1">
        <v>101</v>
      </c>
      <c r="D474" s="1" t="str">
        <f>"انبار قطعات و لوازم يدكي اصفهان"</f>
        <v>انبار قطعات و لوازم يدكي اصفهان</v>
      </c>
      <c r="E474" s="1" t="str">
        <f>"7061044622"</f>
        <v>7061044622</v>
      </c>
      <c r="F474" s="1" t="str">
        <f>"فيوزA100 پايه بلند"</f>
        <v>فيوزA100 پايه بلند</v>
      </c>
      <c r="G474" s="1" t="str">
        <f>"عدد"</f>
        <v>عدد</v>
      </c>
      <c r="H474" s="1">
        <v>3</v>
      </c>
      <c r="I474" s="1">
        <v>78000</v>
      </c>
      <c r="J474" s="1">
        <v>0</v>
      </c>
      <c r="K474" s="1">
        <v>0</v>
      </c>
      <c r="L474" s="1">
        <v>0</v>
      </c>
      <c r="M474" s="1">
        <v>0</v>
      </c>
      <c r="O474" s="1">
        <v>97</v>
      </c>
      <c r="P474" s="4">
        <f t="shared" si="21"/>
        <v>78000</v>
      </c>
      <c r="Q474" s="4">
        <f t="shared" si="22"/>
        <v>3</v>
      </c>
      <c r="R474" s="4">
        <f t="shared" si="23"/>
        <v>26000</v>
      </c>
    </row>
    <row r="475" spans="1:18">
      <c r="A475" s="1">
        <v>2</v>
      </c>
      <c r="B475" s="1" t="str">
        <f>"قطعات و لوازم يدكي"</f>
        <v>قطعات و لوازم يدكي</v>
      </c>
      <c r="C475" s="1">
        <v>101</v>
      </c>
      <c r="D475" s="1" t="str">
        <f>"انبار قطعات و لوازم يدكي اصفهان"</f>
        <v>انبار قطعات و لوازم يدكي اصفهان</v>
      </c>
      <c r="E475" s="1" t="str">
        <f>"7098980022"</f>
        <v>7098980022</v>
      </c>
      <c r="F475" s="1" t="str">
        <f>"سه راه بي سيم"</f>
        <v>سه راه بي سيم</v>
      </c>
      <c r="G475" s="1" t="str">
        <f>"عدد"</f>
        <v>عدد</v>
      </c>
      <c r="H475" s="1">
        <v>19</v>
      </c>
      <c r="I475" s="1">
        <v>230713</v>
      </c>
      <c r="J475" s="1">
        <v>0</v>
      </c>
      <c r="K475" s="1">
        <v>0</v>
      </c>
      <c r="L475" s="1">
        <v>0</v>
      </c>
      <c r="M475" s="1">
        <v>0</v>
      </c>
      <c r="O475" s="1">
        <v>97</v>
      </c>
      <c r="P475" s="4">
        <f t="shared" si="21"/>
        <v>230713</v>
      </c>
      <c r="Q475" s="4">
        <f t="shared" si="22"/>
        <v>19</v>
      </c>
      <c r="R475" s="4">
        <f t="shared" si="23"/>
        <v>12142.78947368421</v>
      </c>
    </row>
    <row r="476" spans="1:18">
      <c r="A476" s="1">
        <v>2</v>
      </c>
      <c r="B476" s="1" t="str">
        <f>"قطعات و لوازم يدكي"</f>
        <v>قطعات و لوازم يدكي</v>
      </c>
      <c r="C476" s="1">
        <v>101</v>
      </c>
      <c r="D476" s="1" t="str">
        <f>"انبار قطعات و لوازم يدكي اصفهان"</f>
        <v>انبار قطعات و لوازم يدكي اصفهان</v>
      </c>
      <c r="E476" s="1" t="str">
        <f>"7319704102"</f>
        <v>7319704102</v>
      </c>
      <c r="F476" s="1" t="str">
        <f>"شيلنگ 3/4 فشار قوي استيم"</f>
        <v>شيلنگ 3/4 فشار قوي استيم</v>
      </c>
      <c r="G476" s="1" t="str">
        <f>"متر"</f>
        <v>متر</v>
      </c>
      <c r="H476" s="1">
        <v>60</v>
      </c>
      <c r="I476" s="1">
        <v>42654545</v>
      </c>
      <c r="J476" s="1">
        <v>100</v>
      </c>
      <c r="K476" s="1">
        <v>159500000</v>
      </c>
      <c r="L476" s="1">
        <v>60</v>
      </c>
      <c r="M476" s="1">
        <v>57389394</v>
      </c>
      <c r="O476" s="1">
        <v>97</v>
      </c>
      <c r="P476" s="4">
        <f t="shared" si="21"/>
        <v>144765151</v>
      </c>
      <c r="Q476" s="4">
        <f t="shared" si="22"/>
        <v>100</v>
      </c>
      <c r="R476" s="4">
        <f t="shared" si="23"/>
        <v>1447651.51</v>
      </c>
    </row>
    <row r="477" spans="1:18" hidden="1">
      <c r="A477" s="1">
        <v>2</v>
      </c>
      <c r="B477" s="1" t="str">
        <f>"قطعات و لوازم يدكي"</f>
        <v>قطعات و لوازم يدكي</v>
      </c>
      <c r="C477" s="1">
        <v>101</v>
      </c>
      <c r="D477" s="1" t="str">
        <f>"انبار قطعات و لوازم يدكي اصفهان"</f>
        <v>انبار قطعات و لوازم يدكي اصفهان</v>
      </c>
      <c r="E477" s="1" t="str">
        <f>"7401010012"</f>
        <v>7401010012</v>
      </c>
      <c r="F477" s="1" t="str">
        <f>"لوله 1.5 اينچ سياه ضخامت 2.5 ميل"</f>
        <v>لوله 1.5 اينچ سياه ضخامت 2.5 ميل</v>
      </c>
      <c r="G477" s="1" t="str">
        <f>"عدد"</f>
        <v>عدد</v>
      </c>
      <c r="H477" s="1">
        <v>0</v>
      </c>
      <c r="I477" s="1">
        <v>0</v>
      </c>
      <c r="J477" s="1">
        <v>58</v>
      </c>
      <c r="K477" s="1">
        <v>55871574</v>
      </c>
      <c r="L477" s="1">
        <v>58</v>
      </c>
      <c r="M477" s="1">
        <v>55871574</v>
      </c>
      <c r="O477" s="1">
        <v>97</v>
      </c>
      <c r="P477" s="1">
        <f t="shared" si="21"/>
        <v>0</v>
      </c>
      <c r="Q477" s="1">
        <f t="shared" si="22"/>
        <v>0</v>
      </c>
      <c r="R477" s="1" t="e">
        <f t="shared" si="23"/>
        <v>#DIV/0!</v>
      </c>
    </row>
    <row r="478" spans="1:18">
      <c r="A478" s="1">
        <v>2</v>
      </c>
      <c r="B478" s="1" t="str">
        <f>"قطعات و لوازم يدكي"</f>
        <v>قطعات و لوازم يدكي</v>
      </c>
      <c r="C478" s="1">
        <v>101</v>
      </c>
      <c r="D478" s="1" t="str">
        <f>"انبار قطعات و لوازم يدكي اصفهان"</f>
        <v>انبار قطعات و لوازم يدكي اصفهان</v>
      </c>
      <c r="E478" s="1" t="str">
        <f>"7401020082"</f>
        <v>7401020082</v>
      </c>
      <c r="F478" s="1" t="str">
        <f>"ANGLE 50(نبشي 5)"</f>
        <v>ANGLE 50(نبشي 5)</v>
      </c>
      <c r="G478" s="1" t="str">
        <f>"متر"</f>
        <v>متر</v>
      </c>
      <c r="H478" s="1">
        <v>18</v>
      </c>
      <c r="I478" s="1">
        <v>1206000</v>
      </c>
      <c r="J478" s="1">
        <v>0</v>
      </c>
      <c r="K478" s="1">
        <v>0</v>
      </c>
      <c r="L478" s="1">
        <v>6</v>
      </c>
      <c r="M478" s="1">
        <v>402000</v>
      </c>
      <c r="O478" s="1">
        <v>97</v>
      </c>
      <c r="P478" s="4">
        <f t="shared" si="21"/>
        <v>804000</v>
      </c>
      <c r="Q478" s="4">
        <f t="shared" si="22"/>
        <v>12</v>
      </c>
      <c r="R478" s="4">
        <f t="shared" si="23"/>
        <v>67000</v>
      </c>
    </row>
    <row r="479" spans="1:18" hidden="1">
      <c r="A479" s="1">
        <v>2</v>
      </c>
      <c r="B479" s="1" t="str">
        <f>"قطعات و لوازم يدكي"</f>
        <v>قطعات و لوازم يدكي</v>
      </c>
      <c r="C479" s="1">
        <v>101</v>
      </c>
      <c r="D479" s="1" t="str">
        <f>"انبار قطعات و لوازم يدكي اصفهان"</f>
        <v>انبار قطعات و لوازم يدكي اصفهان</v>
      </c>
      <c r="E479" s="1" t="str">
        <f>"7413211782"</f>
        <v>7413211782</v>
      </c>
      <c r="F479" s="1" t="str">
        <f>"لوله 6 اينچ رده 40"</f>
        <v>لوله 6 اينچ رده 40</v>
      </c>
      <c r="G479" s="1" t="str">
        <f>"فوت"</f>
        <v>فوت</v>
      </c>
      <c r="H479" s="1">
        <v>30</v>
      </c>
      <c r="I479" s="1">
        <v>8567586</v>
      </c>
      <c r="J479" s="1">
        <v>0</v>
      </c>
      <c r="K479" s="1">
        <v>0</v>
      </c>
      <c r="L479" s="1">
        <v>30</v>
      </c>
      <c r="M479" s="1">
        <v>8567586</v>
      </c>
      <c r="O479" s="1">
        <v>97</v>
      </c>
      <c r="P479" s="1">
        <f t="shared" si="21"/>
        <v>0</v>
      </c>
      <c r="Q479" s="1">
        <f t="shared" si="22"/>
        <v>0</v>
      </c>
      <c r="R479" s="1" t="e">
        <f t="shared" si="23"/>
        <v>#DIV/0!</v>
      </c>
    </row>
    <row r="480" spans="1:18" hidden="1">
      <c r="A480" s="1">
        <v>2</v>
      </c>
      <c r="B480" s="1" t="str">
        <f>"قطعات و لوازم يدكي"</f>
        <v>قطعات و لوازم يدكي</v>
      </c>
      <c r="C480" s="1">
        <v>101</v>
      </c>
      <c r="D480" s="1" t="str">
        <f>"انبار قطعات و لوازم يدكي اصفهان"</f>
        <v>انبار قطعات و لوازم يدكي اصفهان</v>
      </c>
      <c r="E480" s="1" t="str">
        <f>"7486052762"</f>
        <v>7486052762</v>
      </c>
      <c r="F480" s="1" t="str">
        <f>"لوله PVC  90"</f>
        <v>لوله PVC  90</v>
      </c>
      <c r="G480" s="1" t="str">
        <f>"شاخه"</f>
        <v>شاخه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O480" s="1">
        <v>97</v>
      </c>
      <c r="P480" s="1">
        <f t="shared" si="21"/>
        <v>0</v>
      </c>
      <c r="Q480" s="1">
        <f t="shared" si="22"/>
        <v>0</v>
      </c>
      <c r="R480" s="1" t="e">
        <f t="shared" si="23"/>
        <v>#DIV/0!</v>
      </c>
    </row>
    <row r="481" spans="1:18">
      <c r="A481" s="1">
        <v>2</v>
      </c>
      <c r="B481" s="1" t="str">
        <f>"قطعات و لوازم يدكي"</f>
        <v>قطعات و لوازم يدكي</v>
      </c>
      <c r="C481" s="1">
        <v>101</v>
      </c>
      <c r="D481" s="1" t="str">
        <f>"انبار قطعات و لوازم يدكي اصفهان"</f>
        <v>انبار قطعات و لوازم يدكي اصفهان</v>
      </c>
      <c r="E481" s="1" t="str">
        <f>"5902030013"</f>
        <v>5902030013</v>
      </c>
      <c r="F481" s="1" t="str">
        <f>"POWER SUPPLY DC 24V/5A (6EP1333-1LB00"</f>
        <v>POWER SUPPLY DC 24V/5A (6EP1333-1LB00</v>
      </c>
      <c r="G481" s="1" t="str">
        <f>"عدد"</f>
        <v>عدد</v>
      </c>
      <c r="H481" s="1">
        <v>0</v>
      </c>
      <c r="I481" s="1">
        <v>0</v>
      </c>
      <c r="J481" s="1">
        <v>2</v>
      </c>
      <c r="K481" s="1">
        <v>12350520</v>
      </c>
      <c r="L481" s="1">
        <v>0</v>
      </c>
      <c r="M481" s="1">
        <v>0</v>
      </c>
      <c r="O481" s="1">
        <v>97</v>
      </c>
      <c r="P481" s="4">
        <f t="shared" si="21"/>
        <v>12350520</v>
      </c>
      <c r="Q481" s="4">
        <f t="shared" si="22"/>
        <v>2</v>
      </c>
      <c r="R481" s="4">
        <f t="shared" si="23"/>
        <v>6175260</v>
      </c>
    </row>
    <row r="482" spans="1:18">
      <c r="A482" s="1">
        <v>2</v>
      </c>
      <c r="B482" s="1" t="str">
        <f>"قطعات و لوازم يدكي"</f>
        <v>قطعات و لوازم يدكي</v>
      </c>
      <c r="C482" s="1">
        <v>101</v>
      </c>
      <c r="D482" s="1" t="str">
        <f>"انبار قطعات و لوازم يدكي اصفهان"</f>
        <v>انبار قطعات و لوازم يدكي اصفهان</v>
      </c>
      <c r="E482" s="1" t="str">
        <f>"5902030043"</f>
        <v>5902030043</v>
      </c>
      <c r="F482" s="1" t="str">
        <f>"ANALOG I/O MODULE (6ES7234-4HE32-OXBO"</f>
        <v>ANALOG I/O MODULE (6ES7234-4HE32-OXBO</v>
      </c>
      <c r="G482" s="1" t="str">
        <f>"عدد"</f>
        <v>عدد</v>
      </c>
      <c r="H482" s="1">
        <v>0</v>
      </c>
      <c r="I482" s="1">
        <v>0</v>
      </c>
      <c r="J482" s="1">
        <v>4</v>
      </c>
      <c r="K482" s="1">
        <v>88068712</v>
      </c>
      <c r="L482" s="1">
        <v>0</v>
      </c>
      <c r="M482" s="1">
        <v>0</v>
      </c>
      <c r="O482" s="1">
        <v>97</v>
      </c>
      <c r="P482" s="4">
        <f t="shared" si="21"/>
        <v>88068712</v>
      </c>
      <c r="Q482" s="4">
        <f t="shared" si="22"/>
        <v>4</v>
      </c>
      <c r="R482" s="4">
        <f t="shared" si="23"/>
        <v>22017178</v>
      </c>
    </row>
    <row r="483" spans="1:18">
      <c r="A483" s="1">
        <v>2</v>
      </c>
      <c r="B483" s="1" t="str">
        <f>"قطعات و لوازم يدكي"</f>
        <v>قطعات و لوازم يدكي</v>
      </c>
      <c r="C483" s="1">
        <v>101</v>
      </c>
      <c r="D483" s="1" t="str">
        <f>"انبار قطعات و لوازم يدكي اصفهان"</f>
        <v>انبار قطعات و لوازم يدكي اصفهان</v>
      </c>
      <c r="E483" s="1" t="str">
        <f>"5903500613"</f>
        <v>5903500613</v>
      </c>
      <c r="F483" s="1" t="str">
        <f>"اسپرا وند كاسكت"</f>
        <v>اسپرا وند كاسكت</v>
      </c>
      <c r="G483" s="1" t="str">
        <f>"عدد"</f>
        <v>عدد</v>
      </c>
      <c r="H483" s="1">
        <v>2</v>
      </c>
      <c r="I483" s="1">
        <v>1269</v>
      </c>
      <c r="J483" s="1">
        <v>0</v>
      </c>
      <c r="K483" s="1">
        <v>0</v>
      </c>
      <c r="L483" s="1">
        <v>0</v>
      </c>
      <c r="M483" s="1">
        <v>0</v>
      </c>
      <c r="O483" s="1">
        <v>97</v>
      </c>
      <c r="P483" s="4">
        <f t="shared" si="21"/>
        <v>1269</v>
      </c>
      <c r="Q483" s="4">
        <f t="shared" si="22"/>
        <v>2</v>
      </c>
      <c r="R483" s="4">
        <f t="shared" si="23"/>
        <v>634.5</v>
      </c>
    </row>
    <row r="484" spans="1:18">
      <c r="A484" s="1">
        <v>2</v>
      </c>
      <c r="B484" s="1" t="str">
        <f>"قطعات و لوازم يدكي"</f>
        <v>قطعات و لوازم يدكي</v>
      </c>
      <c r="C484" s="1">
        <v>101</v>
      </c>
      <c r="D484" s="1" t="str">
        <f>"انبار قطعات و لوازم يدكي اصفهان"</f>
        <v>انبار قطعات و لوازم يدكي اصفهان</v>
      </c>
      <c r="E484" s="1" t="str">
        <f>"5923739223"</f>
        <v>5923739223</v>
      </c>
      <c r="F484" s="1" t="str">
        <f>"ست رينگ ست"</f>
        <v>ست رينگ ست</v>
      </c>
      <c r="G484" s="1" t="str">
        <f>"عدد"</f>
        <v>عدد</v>
      </c>
      <c r="H484" s="1">
        <v>4</v>
      </c>
      <c r="I484" s="1">
        <v>28164254</v>
      </c>
      <c r="J484" s="1">
        <v>0</v>
      </c>
      <c r="K484" s="1">
        <v>0</v>
      </c>
      <c r="L484" s="1">
        <v>0</v>
      </c>
      <c r="M484" s="1">
        <v>0</v>
      </c>
      <c r="O484" s="1">
        <v>97</v>
      </c>
      <c r="P484" s="4">
        <f t="shared" si="21"/>
        <v>28164254</v>
      </c>
      <c r="Q484" s="4">
        <f t="shared" si="22"/>
        <v>4</v>
      </c>
      <c r="R484" s="4">
        <f t="shared" si="23"/>
        <v>7041063.5</v>
      </c>
    </row>
    <row r="485" spans="1:18">
      <c r="A485" s="1">
        <v>2</v>
      </c>
      <c r="B485" s="1" t="str">
        <f>"قطعات و لوازم يدكي"</f>
        <v>قطعات و لوازم يدكي</v>
      </c>
      <c r="C485" s="1">
        <v>101</v>
      </c>
      <c r="D485" s="1" t="str">
        <f>"انبار قطعات و لوازم يدكي اصفهان"</f>
        <v>انبار قطعات و لوازم يدكي اصفهان</v>
      </c>
      <c r="E485" s="1" t="str">
        <f>"5923750263"</f>
        <v>5923750263</v>
      </c>
      <c r="F485" s="1" t="str">
        <f>"والو پلوگ و  ست بودي سايز"</f>
        <v>والو پلوگ و  ست بودي سايز</v>
      </c>
      <c r="G485" s="1" t="str">
        <f>"عدد"</f>
        <v>عدد</v>
      </c>
      <c r="H485" s="1">
        <v>4</v>
      </c>
      <c r="I485" s="1">
        <v>33775870</v>
      </c>
      <c r="J485" s="1">
        <v>0</v>
      </c>
      <c r="K485" s="1">
        <v>0</v>
      </c>
      <c r="L485" s="1">
        <v>0</v>
      </c>
      <c r="M485" s="1">
        <v>0</v>
      </c>
      <c r="O485" s="1">
        <v>97</v>
      </c>
      <c r="P485" s="4">
        <f t="shared" si="21"/>
        <v>33775870</v>
      </c>
      <c r="Q485" s="4">
        <f t="shared" si="22"/>
        <v>4</v>
      </c>
      <c r="R485" s="4">
        <f t="shared" si="23"/>
        <v>8443967.5</v>
      </c>
    </row>
    <row r="486" spans="1:18">
      <c r="A486" s="1">
        <v>2</v>
      </c>
      <c r="B486" s="1" t="str">
        <f>"قطعات و لوازم يدكي"</f>
        <v>قطعات و لوازم يدكي</v>
      </c>
      <c r="C486" s="1">
        <v>101</v>
      </c>
      <c r="D486" s="1" t="str">
        <f>"انبار قطعات و لوازم يدكي اصفهان"</f>
        <v>انبار قطعات و لوازم يدكي اصفهان</v>
      </c>
      <c r="E486" s="1" t="str">
        <f>"5923754173"</f>
        <v>5923754173</v>
      </c>
      <c r="F486" s="1" t="str">
        <f>"بوشينگ 1c9857*0052"</f>
        <v>بوشينگ 1c9857*0052</v>
      </c>
      <c r="G486" s="1" t="str">
        <f>"عدد"</f>
        <v>عدد</v>
      </c>
      <c r="H486" s="1">
        <v>3</v>
      </c>
      <c r="I486" s="1">
        <v>97442535</v>
      </c>
      <c r="J486" s="1">
        <v>0</v>
      </c>
      <c r="K486" s="1">
        <v>0</v>
      </c>
      <c r="L486" s="1">
        <v>0</v>
      </c>
      <c r="M486" s="1">
        <v>0</v>
      </c>
      <c r="O486" s="1">
        <v>97</v>
      </c>
      <c r="P486" s="4">
        <f t="shared" si="21"/>
        <v>97442535</v>
      </c>
      <c r="Q486" s="4">
        <f t="shared" si="22"/>
        <v>3</v>
      </c>
      <c r="R486" s="4">
        <f t="shared" si="23"/>
        <v>32480845</v>
      </c>
    </row>
    <row r="487" spans="1:18">
      <c r="A487" s="1">
        <v>2</v>
      </c>
      <c r="B487" s="1" t="str">
        <f>"قطعات و لوازم يدكي"</f>
        <v>قطعات و لوازم يدكي</v>
      </c>
      <c r="C487" s="1">
        <v>101</v>
      </c>
      <c r="D487" s="1" t="str">
        <f>"انبار قطعات و لوازم يدكي اصفهان"</f>
        <v>انبار قطعات و لوازم يدكي اصفهان</v>
      </c>
      <c r="E487" s="1" t="str">
        <f>"5923754193"</f>
        <v>5923754193</v>
      </c>
      <c r="F487" s="1" t="str">
        <f>"والو پلوگ."</f>
        <v>والو پلوگ.</v>
      </c>
      <c r="G487" s="1" t="str">
        <f>"عدد"</f>
        <v>عدد</v>
      </c>
      <c r="H487" s="1">
        <v>4</v>
      </c>
      <c r="I487" s="1">
        <v>138375778</v>
      </c>
      <c r="J487" s="1">
        <v>0</v>
      </c>
      <c r="K487" s="1">
        <v>0</v>
      </c>
      <c r="L487" s="1">
        <v>0</v>
      </c>
      <c r="M487" s="1">
        <v>0</v>
      </c>
      <c r="O487" s="1">
        <v>97</v>
      </c>
      <c r="P487" s="4">
        <f t="shared" si="21"/>
        <v>138375778</v>
      </c>
      <c r="Q487" s="4">
        <f t="shared" si="22"/>
        <v>4</v>
      </c>
      <c r="R487" s="4">
        <f t="shared" si="23"/>
        <v>34593944.5</v>
      </c>
    </row>
    <row r="488" spans="1:18">
      <c r="A488" s="1">
        <v>2</v>
      </c>
      <c r="B488" s="1" t="str">
        <f>"قطعات و لوازم يدكي"</f>
        <v>قطعات و لوازم يدكي</v>
      </c>
      <c r="C488" s="1">
        <v>101</v>
      </c>
      <c r="D488" s="1" t="str">
        <f>"انبار قطعات و لوازم يدكي اصفهان"</f>
        <v>انبار قطعات و لوازم يدكي اصفهان</v>
      </c>
      <c r="E488" s="1" t="str">
        <f>"5923760053"</f>
        <v>5923760053</v>
      </c>
      <c r="F488" s="1" t="str">
        <f>"كاج كاسكت"</f>
        <v>كاج كاسكت</v>
      </c>
      <c r="G488" s="1" t="str">
        <f>"عدد"</f>
        <v>عدد</v>
      </c>
      <c r="H488" s="1">
        <v>10</v>
      </c>
      <c r="I488" s="1">
        <v>9474087</v>
      </c>
      <c r="J488" s="1">
        <v>0</v>
      </c>
      <c r="K488" s="1">
        <v>0</v>
      </c>
      <c r="L488" s="1">
        <v>0</v>
      </c>
      <c r="M488" s="1">
        <v>0</v>
      </c>
      <c r="O488" s="1">
        <v>97</v>
      </c>
      <c r="P488" s="4">
        <f t="shared" si="21"/>
        <v>9474087</v>
      </c>
      <c r="Q488" s="4">
        <f t="shared" si="22"/>
        <v>10</v>
      </c>
      <c r="R488" s="4">
        <f t="shared" si="23"/>
        <v>947408.7</v>
      </c>
    </row>
    <row r="489" spans="1:18">
      <c r="A489" s="1">
        <v>2</v>
      </c>
      <c r="B489" s="1" t="str">
        <f>"قطعات و لوازم يدكي"</f>
        <v>قطعات و لوازم يدكي</v>
      </c>
      <c r="C489" s="1">
        <v>101</v>
      </c>
      <c r="D489" s="1" t="str">
        <f>"انبار قطعات و لوازم يدكي اصفهان"</f>
        <v>انبار قطعات و لوازم يدكي اصفهان</v>
      </c>
      <c r="E489" s="1" t="str">
        <f>"5923783093"</f>
        <v>5923783093</v>
      </c>
      <c r="F489" s="1" t="str">
        <f>"كاسكت اسپرال وند  اس اي اي"</f>
        <v>كاسكت اسپرال وند  اس اي اي</v>
      </c>
      <c r="G489" s="1" t="str">
        <f>"عدد"</f>
        <v>عدد</v>
      </c>
      <c r="H489" s="1">
        <v>10</v>
      </c>
      <c r="I489" s="1">
        <v>1233464</v>
      </c>
      <c r="J489" s="1">
        <v>0</v>
      </c>
      <c r="K489" s="1">
        <v>0</v>
      </c>
      <c r="L489" s="1">
        <v>0</v>
      </c>
      <c r="M489" s="1">
        <v>0</v>
      </c>
      <c r="O489" s="1">
        <v>97</v>
      </c>
      <c r="P489" s="4">
        <f t="shared" si="21"/>
        <v>1233464</v>
      </c>
      <c r="Q489" s="4">
        <f t="shared" si="22"/>
        <v>10</v>
      </c>
      <c r="R489" s="4">
        <f t="shared" si="23"/>
        <v>123346.4</v>
      </c>
    </row>
    <row r="490" spans="1:18">
      <c r="A490" s="1">
        <v>2</v>
      </c>
      <c r="B490" s="1" t="str">
        <f>"قطعات و لوازم يدكي"</f>
        <v>قطعات و لوازم يدكي</v>
      </c>
      <c r="C490" s="1">
        <v>101</v>
      </c>
      <c r="D490" s="1" t="str">
        <f>"انبار قطعات و لوازم يدكي اصفهان"</f>
        <v>انبار قطعات و لوازم يدكي اصفهان</v>
      </c>
      <c r="E490" s="1" t="str">
        <f>"5923783753"</f>
        <v>5923783753</v>
      </c>
      <c r="F490" s="1" t="str">
        <f>"اورينگ تفلوني"</f>
        <v>اورينگ تفلوني</v>
      </c>
      <c r="G490" s="1" t="str">
        <f>"عدد"</f>
        <v>عدد</v>
      </c>
      <c r="H490" s="1">
        <v>193</v>
      </c>
      <c r="I490" s="1">
        <v>2316000</v>
      </c>
      <c r="J490" s="1">
        <v>12</v>
      </c>
      <c r="K490" s="1">
        <v>144000</v>
      </c>
      <c r="L490" s="1">
        <v>47</v>
      </c>
      <c r="M490" s="1">
        <v>564000</v>
      </c>
      <c r="O490" s="1">
        <v>97</v>
      </c>
      <c r="P490" s="4">
        <f t="shared" si="21"/>
        <v>1896000</v>
      </c>
      <c r="Q490" s="4">
        <f t="shared" si="22"/>
        <v>158</v>
      </c>
      <c r="R490" s="4">
        <f t="shared" si="23"/>
        <v>12000</v>
      </c>
    </row>
    <row r="491" spans="1:18">
      <c r="A491" s="1">
        <v>2</v>
      </c>
      <c r="B491" s="1" t="str">
        <f>"قطعات و لوازم يدكي"</f>
        <v>قطعات و لوازم يدكي</v>
      </c>
      <c r="C491" s="1">
        <v>101</v>
      </c>
      <c r="D491" s="1" t="str">
        <f>"انبار قطعات و لوازم يدكي اصفهان"</f>
        <v>انبار قطعات و لوازم يدكي اصفهان</v>
      </c>
      <c r="E491" s="1" t="str">
        <f>"5948770023"</f>
        <v>5948770023</v>
      </c>
      <c r="F491" s="1" t="str">
        <f>"Packing Graphite Ribon ring"</f>
        <v>Packing Graphite Ribon ring</v>
      </c>
      <c r="G491" s="1" t="str">
        <f>"عدد"</f>
        <v>عدد</v>
      </c>
      <c r="H491" s="1">
        <v>13</v>
      </c>
      <c r="I491" s="1">
        <v>1690000</v>
      </c>
      <c r="J491" s="1">
        <v>0</v>
      </c>
      <c r="K491" s="1">
        <v>0</v>
      </c>
      <c r="L491" s="1">
        <v>0</v>
      </c>
      <c r="M491" s="1">
        <v>0</v>
      </c>
      <c r="O491" s="1">
        <v>97</v>
      </c>
      <c r="P491" s="4">
        <f t="shared" si="21"/>
        <v>1690000</v>
      </c>
      <c r="Q491" s="4">
        <f t="shared" si="22"/>
        <v>13</v>
      </c>
      <c r="R491" s="4">
        <f t="shared" si="23"/>
        <v>130000</v>
      </c>
    </row>
    <row r="492" spans="1:18">
      <c r="A492" s="1">
        <v>2</v>
      </c>
      <c r="B492" s="1" t="str">
        <f>"قطعات و لوازم يدكي"</f>
        <v>قطعات و لوازم يدكي</v>
      </c>
      <c r="C492" s="1">
        <v>101</v>
      </c>
      <c r="D492" s="1" t="str">
        <f>"انبار قطعات و لوازم يدكي اصفهان"</f>
        <v>انبار قطعات و لوازم يدكي اصفهان</v>
      </c>
      <c r="E492" s="1" t="str">
        <f>"5948770033"</f>
        <v>5948770033</v>
      </c>
      <c r="F492" s="1" t="str">
        <f>"Main Shaft Bushing"</f>
        <v>Main Shaft Bushing</v>
      </c>
      <c r="G492" s="1" t="str">
        <f>"عدد"</f>
        <v>عدد</v>
      </c>
      <c r="H492" s="1">
        <v>3</v>
      </c>
      <c r="I492" s="1">
        <v>960000</v>
      </c>
      <c r="J492" s="1">
        <v>0</v>
      </c>
      <c r="K492" s="1">
        <v>0</v>
      </c>
      <c r="L492" s="1">
        <v>0</v>
      </c>
      <c r="M492" s="1">
        <v>0</v>
      </c>
      <c r="O492" s="1">
        <v>97</v>
      </c>
      <c r="P492" s="4">
        <f t="shared" si="21"/>
        <v>960000</v>
      </c>
      <c r="Q492" s="4">
        <f t="shared" si="22"/>
        <v>3</v>
      </c>
      <c r="R492" s="4">
        <f t="shared" si="23"/>
        <v>320000</v>
      </c>
    </row>
    <row r="493" spans="1:18">
      <c r="A493" s="1">
        <v>2</v>
      </c>
      <c r="B493" s="1" t="str">
        <f>"قطعات و لوازم يدكي"</f>
        <v>قطعات و لوازم يدكي</v>
      </c>
      <c r="C493" s="1">
        <v>101</v>
      </c>
      <c r="D493" s="1" t="str">
        <f>"انبار قطعات و لوازم يدكي اصفهان"</f>
        <v>انبار قطعات و لوازم يدكي اصفهان</v>
      </c>
      <c r="E493" s="1" t="str">
        <f>"5996270053"</f>
        <v>5996270053</v>
      </c>
      <c r="F493" s="1" t="str">
        <f>"امپلي فاير اسي YF108"</f>
        <v>امپلي فاير اسي YF108</v>
      </c>
      <c r="G493" s="1" t="str">
        <f>"عدد"</f>
        <v>عدد</v>
      </c>
      <c r="H493" s="1">
        <v>2</v>
      </c>
      <c r="I493" s="1">
        <v>526320</v>
      </c>
      <c r="J493" s="1">
        <v>0</v>
      </c>
      <c r="K493" s="1">
        <v>0</v>
      </c>
      <c r="L493" s="1">
        <v>0</v>
      </c>
      <c r="M493" s="1">
        <v>0</v>
      </c>
      <c r="O493" s="1">
        <v>97</v>
      </c>
      <c r="P493" s="4">
        <f t="shared" si="21"/>
        <v>526320</v>
      </c>
      <c r="Q493" s="4">
        <f t="shared" si="22"/>
        <v>2</v>
      </c>
      <c r="R493" s="4">
        <f t="shared" si="23"/>
        <v>263160</v>
      </c>
    </row>
    <row r="494" spans="1:18">
      <c r="A494" s="1">
        <v>2</v>
      </c>
      <c r="B494" s="1" t="str">
        <f>"قطعات و لوازم يدكي"</f>
        <v>قطعات و لوازم يدكي</v>
      </c>
      <c r="C494" s="1">
        <v>101</v>
      </c>
      <c r="D494" s="1" t="str">
        <f>"انبار قطعات و لوازم يدكي اصفهان"</f>
        <v>انبار قطعات و لوازم يدكي اصفهان</v>
      </c>
      <c r="E494" s="1" t="str">
        <f>"6000000033"</f>
        <v>6000000033</v>
      </c>
      <c r="F494" s="1" t="str">
        <f>"P-T 0-10 BAR"</f>
        <v>P-T 0-10 BAR</v>
      </c>
      <c r="G494" s="1" t="str">
        <f>"دستگاه"</f>
        <v>دستگاه</v>
      </c>
      <c r="H494" s="1">
        <v>2</v>
      </c>
      <c r="I494" s="1">
        <v>70402727</v>
      </c>
      <c r="J494" s="1">
        <v>1</v>
      </c>
      <c r="K494" s="1">
        <v>35201364</v>
      </c>
      <c r="L494" s="1">
        <v>1</v>
      </c>
      <c r="M494" s="1">
        <v>35201364</v>
      </c>
      <c r="O494" s="1">
        <v>97</v>
      </c>
      <c r="P494" s="4">
        <f t="shared" si="21"/>
        <v>70402727</v>
      </c>
      <c r="Q494" s="4">
        <f t="shared" si="22"/>
        <v>2</v>
      </c>
      <c r="R494" s="4">
        <f t="shared" si="23"/>
        <v>35201363.5</v>
      </c>
    </row>
    <row r="495" spans="1:18">
      <c r="A495" s="1">
        <v>2</v>
      </c>
      <c r="B495" s="1" t="str">
        <f>"قطعات و لوازم يدكي"</f>
        <v>قطعات و لوازم يدكي</v>
      </c>
      <c r="C495" s="1">
        <v>101</v>
      </c>
      <c r="D495" s="1" t="str">
        <f>"انبار قطعات و لوازم يدكي اصفهان"</f>
        <v>انبار قطعات و لوازم يدكي اصفهان</v>
      </c>
      <c r="E495" s="1" t="str">
        <f>"6000000133"</f>
        <v>6000000133</v>
      </c>
      <c r="F495" s="1" t="str">
        <f>"کيت پانل رکوردر (keypad and front bozel kit)"</f>
        <v>کيت پانل رکوردر (keypad and front bozel kit)</v>
      </c>
      <c r="G495" s="1" t="str">
        <f>"عدد"</f>
        <v>عدد</v>
      </c>
      <c r="H495" s="1">
        <v>3</v>
      </c>
      <c r="I495" s="1">
        <v>189675000</v>
      </c>
      <c r="J495" s="1">
        <v>0</v>
      </c>
      <c r="K495" s="1">
        <v>0</v>
      </c>
      <c r="L495" s="1">
        <v>0</v>
      </c>
      <c r="M495" s="1">
        <v>0</v>
      </c>
      <c r="O495" s="1">
        <v>97</v>
      </c>
      <c r="P495" s="4">
        <f t="shared" si="21"/>
        <v>189675000</v>
      </c>
      <c r="Q495" s="4">
        <f t="shared" si="22"/>
        <v>3</v>
      </c>
      <c r="R495" s="4">
        <f t="shared" si="23"/>
        <v>63225000</v>
      </c>
    </row>
    <row r="496" spans="1:18">
      <c r="A496" s="1">
        <v>2</v>
      </c>
      <c r="B496" s="1" t="str">
        <f>"قطعات و لوازم يدكي"</f>
        <v>قطعات و لوازم يدكي</v>
      </c>
      <c r="C496" s="1">
        <v>101</v>
      </c>
      <c r="D496" s="1" t="str">
        <f>"انبار قطعات و لوازم يدكي اصفهان"</f>
        <v>انبار قطعات و لوازم يدكي اصفهان</v>
      </c>
      <c r="E496" s="1" t="str">
        <f>"6001010013"</f>
        <v>6001010013</v>
      </c>
      <c r="F496" s="1" t="str">
        <f>"I/P (مبدل جريان به فشار)"</f>
        <v>I/P (مبدل جريان به فشار)</v>
      </c>
      <c r="G496" s="1" t="str">
        <f>"دستگاه"</f>
        <v>دستگاه</v>
      </c>
      <c r="H496" s="1">
        <v>1</v>
      </c>
      <c r="I496" s="1">
        <v>38000000</v>
      </c>
      <c r="J496" s="1">
        <v>0</v>
      </c>
      <c r="K496" s="1">
        <v>0</v>
      </c>
      <c r="L496" s="1">
        <v>0</v>
      </c>
      <c r="M496" s="1">
        <v>0</v>
      </c>
      <c r="O496" s="1">
        <v>97</v>
      </c>
      <c r="P496" s="4">
        <f t="shared" si="21"/>
        <v>38000000</v>
      </c>
      <c r="Q496" s="4">
        <f t="shared" si="22"/>
        <v>1</v>
      </c>
      <c r="R496" s="4">
        <f t="shared" si="23"/>
        <v>38000000</v>
      </c>
    </row>
    <row r="497" spans="1:18" hidden="1">
      <c r="A497" s="1">
        <v>2</v>
      </c>
      <c r="B497" s="1" t="str">
        <f>"قطعات و لوازم يدكي"</f>
        <v>قطعات و لوازم يدكي</v>
      </c>
      <c r="C497" s="1">
        <v>101</v>
      </c>
      <c r="D497" s="1" t="str">
        <f>"انبار قطعات و لوازم يدكي اصفهان"</f>
        <v>انبار قطعات و لوازم يدكي اصفهان</v>
      </c>
      <c r="E497" s="1" t="str">
        <f>"6001010063"</f>
        <v>6001010063</v>
      </c>
      <c r="F497" s="1" t="str">
        <f>"گيج دستگاه امولب 6-0 گلسيريني ايندرمارت"</f>
        <v>گيج دستگاه امولب 6-0 گلسيريني ايندرمارت</v>
      </c>
      <c r="G497" s="1" t="str">
        <f>"عدد"</f>
        <v>عدد</v>
      </c>
      <c r="H497" s="1">
        <v>0</v>
      </c>
      <c r="I497" s="1">
        <v>0</v>
      </c>
      <c r="J497" s="1">
        <v>3</v>
      </c>
      <c r="K497" s="1">
        <v>3780000</v>
      </c>
      <c r="L497" s="1">
        <v>3</v>
      </c>
      <c r="M497" s="1">
        <v>3780000</v>
      </c>
      <c r="O497" s="1">
        <v>97</v>
      </c>
      <c r="P497" s="1">
        <f t="shared" si="21"/>
        <v>0</v>
      </c>
      <c r="Q497" s="1">
        <f t="shared" si="22"/>
        <v>0</v>
      </c>
      <c r="R497" s="1" t="e">
        <f t="shared" si="23"/>
        <v>#DIV/0!</v>
      </c>
    </row>
    <row r="498" spans="1:18">
      <c r="A498" s="1">
        <v>2</v>
      </c>
      <c r="B498" s="1" t="str">
        <f>"قطعات و لوازم يدكي"</f>
        <v>قطعات و لوازم يدكي</v>
      </c>
      <c r="C498" s="1">
        <v>101</v>
      </c>
      <c r="D498" s="1" t="str">
        <f>"انبار قطعات و لوازم يدكي اصفهان"</f>
        <v>انبار قطعات و لوازم يدكي اصفهان</v>
      </c>
      <c r="E498" s="1" t="str">
        <f>"6001010073"</f>
        <v>6001010073</v>
      </c>
      <c r="F498" s="1" t="str">
        <f>"لودسل PR6221/30 t/C5"</f>
        <v>لودسل PR6221/30 t/C5</v>
      </c>
      <c r="G498" s="1" t="str">
        <f>"عدد"</f>
        <v>عدد</v>
      </c>
      <c r="H498" s="1">
        <v>6</v>
      </c>
      <c r="I498" s="1">
        <v>123000000</v>
      </c>
      <c r="J498" s="1">
        <v>0</v>
      </c>
      <c r="K498" s="1">
        <v>0</v>
      </c>
      <c r="L498" s="1">
        <v>0</v>
      </c>
      <c r="M498" s="1">
        <v>0</v>
      </c>
      <c r="O498" s="1">
        <v>97</v>
      </c>
      <c r="P498" s="4">
        <f t="shared" si="21"/>
        <v>123000000</v>
      </c>
      <c r="Q498" s="4">
        <f t="shared" si="22"/>
        <v>6</v>
      </c>
      <c r="R498" s="4">
        <f t="shared" si="23"/>
        <v>20500000</v>
      </c>
    </row>
    <row r="499" spans="1:18">
      <c r="A499" s="1">
        <v>2</v>
      </c>
      <c r="B499" s="1" t="str">
        <f>"قطعات و لوازم يدكي"</f>
        <v>قطعات و لوازم يدكي</v>
      </c>
      <c r="C499" s="1">
        <v>101</v>
      </c>
      <c r="D499" s="1" t="str">
        <f>"انبار قطعات و لوازم يدكي اصفهان"</f>
        <v>انبار قطعات و لوازم يدكي اصفهان</v>
      </c>
      <c r="E499" s="1" t="str">
        <f>"6010581003"</f>
        <v>6010581003</v>
      </c>
      <c r="F499" s="1" t="str">
        <f>"جوهرركوردينگ قرمز60ميلي ليتريink red"</f>
        <v>جوهرركوردينگ قرمز60ميلي ليتريink red</v>
      </c>
      <c r="G499" s="1" t="str">
        <f>"بطر"</f>
        <v>بطر</v>
      </c>
      <c r="H499" s="1">
        <v>4</v>
      </c>
      <c r="I499" s="1">
        <v>296000</v>
      </c>
      <c r="J499" s="1">
        <v>0</v>
      </c>
      <c r="K499" s="1">
        <v>0</v>
      </c>
      <c r="L499" s="1">
        <v>0</v>
      </c>
      <c r="M499" s="1">
        <v>0</v>
      </c>
      <c r="O499" s="1">
        <v>97</v>
      </c>
      <c r="P499" s="4">
        <f t="shared" si="21"/>
        <v>296000</v>
      </c>
      <c r="Q499" s="4">
        <f t="shared" si="22"/>
        <v>4</v>
      </c>
      <c r="R499" s="4">
        <f t="shared" si="23"/>
        <v>74000</v>
      </c>
    </row>
    <row r="500" spans="1:18">
      <c r="A500" s="1">
        <v>2</v>
      </c>
      <c r="B500" s="1" t="str">
        <f>"قطعات و لوازم يدكي"</f>
        <v>قطعات و لوازم يدكي</v>
      </c>
      <c r="C500" s="1">
        <v>101</v>
      </c>
      <c r="D500" s="1" t="str">
        <f>"انبار قطعات و لوازم يدكي اصفهان"</f>
        <v>انبار قطعات و لوازم يدكي اصفهان</v>
      </c>
      <c r="E500" s="1" t="str">
        <f>"6014542163"</f>
        <v>6014542163</v>
      </c>
      <c r="F500" s="1" t="str">
        <f>"پين ركوردر   بنفش"</f>
        <v>پين ركوردر   بنفش</v>
      </c>
      <c r="G500" s="1" t="str">
        <f>"عدد"</f>
        <v>عدد</v>
      </c>
      <c r="H500" s="1">
        <v>3</v>
      </c>
      <c r="I500" s="1">
        <v>450000</v>
      </c>
      <c r="J500" s="1">
        <v>0</v>
      </c>
      <c r="K500" s="1">
        <v>0</v>
      </c>
      <c r="L500" s="1">
        <v>0</v>
      </c>
      <c r="M500" s="1">
        <v>0</v>
      </c>
      <c r="O500" s="1">
        <v>97</v>
      </c>
      <c r="P500" s="4">
        <f t="shared" si="21"/>
        <v>450000</v>
      </c>
      <c r="Q500" s="4">
        <f t="shared" si="22"/>
        <v>3</v>
      </c>
      <c r="R500" s="4">
        <f t="shared" si="23"/>
        <v>150000</v>
      </c>
    </row>
    <row r="501" spans="1:18">
      <c r="A501" s="1">
        <v>2</v>
      </c>
      <c r="B501" s="1" t="str">
        <f>"قطعات و لوازم يدكي"</f>
        <v>قطعات و لوازم يدكي</v>
      </c>
      <c r="C501" s="1">
        <v>101</v>
      </c>
      <c r="D501" s="1" t="str">
        <f>"انبار قطعات و لوازم يدكي اصفهان"</f>
        <v>انبار قطعات و لوازم يدكي اصفهان</v>
      </c>
      <c r="E501" s="1" t="str">
        <f>"6018613963"</f>
        <v>6018613963</v>
      </c>
      <c r="F501" s="1" t="str">
        <f>"ترانسميتر APT3100-D-5-"</f>
        <v>ترانسميتر APT3100-D-5-</v>
      </c>
      <c r="G501" s="1" t="str">
        <f>"عدد"</f>
        <v>عدد</v>
      </c>
      <c r="H501" s="1">
        <v>1</v>
      </c>
      <c r="I501" s="1">
        <v>45893800</v>
      </c>
      <c r="J501" s="1">
        <v>1</v>
      </c>
      <c r="K501" s="1">
        <v>180232200</v>
      </c>
      <c r="L501" s="1">
        <v>0</v>
      </c>
      <c r="M501" s="1">
        <v>0</v>
      </c>
      <c r="O501" s="1">
        <v>97</v>
      </c>
      <c r="P501" s="4">
        <f t="shared" si="21"/>
        <v>226126000</v>
      </c>
      <c r="Q501" s="4">
        <f t="shared" si="22"/>
        <v>2</v>
      </c>
      <c r="R501" s="4">
        <f t="shared" si="23"/>
        <v>113063000</v>
      </c>
    </row>
    <row r="502" spans="1:18">
      <c r="A502" s="1">
        <v>2</v>
      </c>
      <c r="B502" s="1" t="str">
        <f>"قطعات و لوازم يدكي"</f>
        <v>قطعات و لوازم يدكي</v>
      </c>
      <c r="C502" s="1">
        <v>101</v>
      </c>
      <c r="D502" s="1" t="str">
        <f>"انبار قطعات و لوازم يدكي اصفهان"</f>
        <v>انبار قطعات و لوازم يدكي اصفهان</v>
      </c>
      <c r="E502" s="1" t="str">
        <f>"6018954103"</f>
        <v>6018954103</v>
      </c>
      <c r="F502" s="1" t="str">
        <f>"پروپرتينال +اينتيگرال كنترل كارد"</f>
        <v>پروپرتينال +اينتيگرال كنترل كارد</v>
      </c>
      <c r="G502" s="1" t="str">
        <f>"عدد"</f>
        <v>عدد</v>
      </c>
      <c r="H502" s="1">
        <v>1</v>
      </c>
      <c r="I502" s="1">
        <v>1370724</v>
      </c>
      <c r="J502" s="1">
        <v>0</v>
      </c>
      <c r="K502" s="1">
        <v>0</v>
      </c>
      <c r="L502" s="1">
        <v>0</v>
      </c>
      <c r="M502" s="1">
        <v>0</v>
      </c>
      <c r="O502" s="1">
        <v>97</v>
      </c>
      <c r="P502" s="4">
        <f t="shared" si="21"/>
        <v>1370724</v>
      </c>
      <c r="Q502" s="4">
        <f t="shared" si="22"/>
        <v>1</v>
      </c>
      <c r="R502" s="4">
        <f t="shared" si="23"/>
        <v>1370724</v>
      </c>
    </row>
    <row r="503" spans="1:18">
      <c r="A503" s="1">
        <v>2</v>
      </c>
      <c r="B503" s="1" t="str">
        <f>"قطعات و لوازم يدكي"</f>
        <v>قطعات و لوازم يدكي</v>
      </c>
      <c r="C503" s="1">
        <v>101</v>
      </c>
      <c r="D503" s="1" t="str">
        <f>"انبار قطعات و لوازم يدكي اصفهان"</f>
        <v>انبار قطعات و لوازم يدكي اصفهان</v>
      </c>
      <c r="E503" s="1" t="str">
        <f>"6044151663"</f>
        <v>6044151663</v>
      </c>
      <c r="F503" s="1" t="str">
        <f>"ريگلاتور"</f>
        <v>ريگلاتور</v>
      </c>
      <c r="G503" s="1" t="str">
        <f>"عدد"</f>
        <v>عدد</v>
      </c>
      <c r="H503" s="1">
        <v>2</v>
      </c>
      <c r="I503" s="1">
        <v>1700000</v>
      </c>
      <c r="J503" s="1">
        <v>0</v>
      </c>
      <c r="K503" s="1">
        <v>0</v>
      </c>
      <c r="L503" s="1">
        <v>0</v>
      </c>
      <c r="M503" s="1">
        <v>0</v>
      </c>
      <c r="O503" s="1">
        <v>97</v>
      </c>
      <c r="P503" s="4">
        <f t="shared" si="21"/>
        <v>1700000</v>
      </c>
      <c r="Q503" s="4">
        <f t="shared" si="22"/>
        <v>2</v>
      </c>
      <c r="R503" s="4">
        <f t="shared" si="23"/>
        <v>850000</v>
      </c>
    </row>
    <row r="504" spans="1:18" hidden="1">
      <c r="A504" s="1">
        <v>2</v>
      </c>
      <c r="B504" s="1" t="str">
        <f>"قطعات و لوازم يدكي"</f>
        <v>قطعات و لوازم يدكي</v>
      </c>
      <c r="C504" s="1">
        <v>101</v>
      </c>
      <c r="D504" s="1" t="str">
        <f>"انبار قطعات و لوازم يدكي اصفهان"</f>
        <v>انبار قطعات و لوازم يدكي اصفهان</v>
      </c>
      <c r="E504" s="1" t="str">
        <f>"6049202002"</f>
        <v>6049202002</v>
      </c>
      <c r="F504" s="1" t="str">
        <f>"چارت بارتون"</f>
        <v>چارت بارتون</v>
      </c>
      <c r="G504" s="1" t="str">
        <f>"عدد"</f>
        <v>عدد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O504" s="1">
        <v>97</v>
      </c>
      <c r="P504" s="1">
        <f t="shared" si="21"/>
        <v>0</v>
      </c>
      <c r="Q504" s="1">
        <f t="shared" si="22"/>
        <v>0</v>
      </c>
      <c r="R504" s="1" t="e">
        <f t="shared" si="23"/>
        <v>#DIV/0!</v>
      </c>
    </row>
    <row r="505" spans="1:18">
      <c r="A505" s="1">
        <v>2</v>
      </c>
      <c r="B505" s="1" t="str">
        <f>"قطعات و لوازم يدكي"</f>
        <v>قطعات و لوازم يدكي</v>
      </c>
      <c r="C505" s="1">
        <v>101</v>
      </c>
      <c r="D505" s="1" t="str">
        <f>"انبار قطعات و لوازم يدكي اصفهان"</f>
        <v>انبار قطعات و لوازم يدكي اصفهان</v>
      </c>
      <c r="E505" s="1" t="str">
        <f>"6050548272"</f>
        <v>6050548272</v>
      </c>
      <c r="F505" s="1" t="str">
        <f>"مانومتر 16-0"</f>
        <v>مانومتر 16-0</v>
      </c>
      <c r="G505" s="1" t="str">
        <f>"عدد"</f>
        <v>عدد</v>
      </c>
      <c r="H505" s="1">
        <v>7</v>
      </c>
      <c r="I505" s="1">
        <v>15330000</v>
      </c>
      <c r="J505" s="1">
        <v>0</v>
      </c>
      <c r="K505" s="1">
        <v>0</v>
      </c>
      <c r="L505" s="1">
        <v>3</v>
      </c>
      <c r="M505" s="1">
        <v>6570000</v>
      </c>
      <c r="O505" s="1">
        <v>97</v>
      </c>
      <c r="P505" s="4">
        <f t="shared" si="21"/>
        <v>8760000</v>
      </c>
      <c r="Q505" s="4">
        <f t="shared" si="22"/>
        <v>4</v>
      </c>
      <c r="R505" s="4">
        <f t="shared" si="23"/>
        <v>2190000</v>
      </c>
    </row>
    <row r="506" spans="1:18">
      <c r="A506" s="1">
        <v>2</v>
      </c>
      <c r="B506" s="1" t="str">
        <f>"قطعات و لوازم يدكي"</f>
        <v>قطعات و لوازم يدكي</v>
      </c>
      <c r="C506" s="1">
        <v>101</v>
      </c>
      <c r="D506" s="1" t="str">
        <f>"انبار قطعات و لوازم يدكي اصفهان"</f>
        <v>انبار قطعات و لوازم يدكي اصفهان</v>
      </c>
      <c r="E506" s="1" t="str">
        <f>"6088715842"</f>
        <v>6088715842</v>
      </c>
      <c r="F506" s="1" t="str">
        <f>"رابچر ديسك   24 اينچ"</f>
        <v>رابچر ديسك   24 اينچ</v>
      </c>
      <c r="G506" s="1" t="str">
        <f>"عدد"</f>
        <v>عدد</v>
      </c>
      <c r="H506" s="1">
        <v>9</v>
      </c>
      <c r="I506" s="1">
        <v>666562500</v>
      </c>
      <c r="J506" s="1">
        <v>0</v>
      </c>
      <c r="K506" s="1">
        <v>0</v>
      </c>
      <c r="L506" s="1">
        <v>0</v>
      </c>
      <c r="M506" s="1">
        <v>0</v>
      </c>
      <c r="O506" s="1">
        <v>97</v>
      </c>
      <c r="P506" s="4">
        <f t="shared" si="21"/>
        <v>666562500</v>
      </c>
      <c r="Q506" s="4">
        <f t="shared" si="22"/>
        <v>9</v>
      </c>
      <c r="R506" s="4">
        <f t="shared" si="23"/>
        <v>74062500</v>
      </c>
    </row>
    <row r="507" spans="1:18">
      <c r="A507" s="1">
        <v>2</v>
      </c>
      <c r="B507" s="1" t="str">
        <f>"قطعات و لوازم يدكي"</f>
        <v>قطعات و لوازم يدكي</v>
      </c>
      <c r="C507" s="1">
        <v>101</v>
      </c>
      <c r="D507" s="1" t="str">
        <f>"انبار قطعات و لوازم يدكي اصفهان"</f>
        <v>انبار قطعات و لوازم يدكي اصفهان</v>
      </c>
      <c r="E507" s="1" t="str">
        <f>"6401020012"</f>
        <v>6401020012</v>
      </c>
      <c r="F507" s="1" t="str">
        <f>"الکترود 7018- 2/5"</f>
        <v>الکترود 7018- 2/5</v>
      </c>
      <c r="G507" s="1" t="str">
        <f>"كيلوگرم"</f>
        <v>كيلوگرم</v>
      </c>
      <c r="H507" s="1">
        <v>16</v>
      </c>
      <c r="I507" s="1">
        <v>2560000</v>
      </c>
      <c r="J507" s="1">
        <v>27</v>
      </c>
      <c r="K507" s="1">
        <v>10800000</v>
      </c>
      <c r="L507" s="1">
        <v>25</v>
      </c>
      <c r="M507" s="1">
        <v>6160000</v>
      </c>
      <c r="O507" s="1">
        <v>97</v>
      </c>
      <c r="P507" s="4">
        <f t="shared" si="21"/>
        <v>7200000</v>
      </c>
      <c r="Q507" s="4">
        <f t="shared" si="22"/>
        <v>18</v>
      </c>
      <c r="R507" s="4">
        <f t="shared" si="23"/>
        <v>400000</v>
      </c>
    </row>
    <row r="508" spans="1:18" hidden="1">
      <c r="A508" s="1">
        <v>2</v>
      </c>
      <c r="B508" s="1" t="str">
        <f>"قطعات و لوازم يدكي"</f>
        <v>قطعات و لوازم يدكي</v>
      </c>
      <c r="C508" s="1">
        <v>101</v>
      </c>
      <c r="D508" s="1" t="str">
        <f>"انبار قطعات و لوازم يدكي اصفهان"</f>
        <v>انبار قطعات و لوازم يدكي اصفهان</v>
      </c>
      <c r="E508" s="1" t="str">
        <f>"6700000032"</f>
        <v>6700000032</v>
      </c>
      <c r="F508" s="1" t="str">
        <f>"تابلو برق 60*40 با اتصالات"</f>
        <v>تابلو برق 60*40 با اتصالات</v>
      </c>
      <c r="G508" s="1" t="str">
        <f>"عدد"</f>
        <v>عدد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O508" s="1">
        <v>97</v>
      </c>
      <c r="P508" s="1">
        <f t="shared" si="21"/>
        <v>0</v>
      </c>
      <c r="Q508" s="1">
        <f t="shared" si="22"/>
        <v>0</v>
      </c>
      <c r="R508" s="1" t="e">
        <f t="shared" si="23"/>
        <v>#DIV/0!</v>
      </c>
    </row>
    <row r="509" spans="1:18">
      <c r="A509" s="1">
        <v>2</v>
      </c>
      <c r="B509" s="1" t="str">
        <f>"قطعات و لوازم يدكي"</f>
        <v>قطعات و لوازم يدكي</v>
      </c>
      <c r="C509" s="1">
        <v>101</v>
      </c>
      <c r="D509" s="1" t="str">
        <f>"انبار قطعات و لوازم يدكي اصفهان"</f>
        <v>انبار قطعات و لوازم يدكي اصفهان</v>
      </c>
      <c r="E509" s="1" t="str">
        <f>"6711355522"</f>
        <v>6711355522</v>
      </c>
      <c r="F509" s="1" t="str">
        <f>"كليد مينياتوري تك فاز A-32"</f>
        <v>كليد مينياتوري تك فاز A-32</v>
      </c>
      <c r="G509" s="1" t="str">
        <f>"عدد"</f>
        <v>عدد</v>
      </c>
      <c r="H509" s="1">
        <v>16</v>
      </c>
      <c r="I509" s="1">
        <v>2354831</v>
      </c>
      <c r="J509" s="1">
        <v>0</v>
      </c>
      <c r="K509" s="1">
        <v>0</v>
      </c>
      <c r="L509" s="1">
        <v>0</v>
      </c>
      <c r="M509" s="1">
        <v>0</v>
      </c>
      <c r="O509" s="1">
        <v>97</v>
      </c>
      <c r="P509" s="4">
        <f t="shared" si="21"/>
        <v>2354831</v>
      </c>
      <c r="Q509" s="4">
        <f t="shared" si="22"/>
        <v>16</v>
      </c>
      <c r="R509" s="4">
        <f t="shared" si="23"/>
        <v>147176.9375</v>
      </c>
    </row>
    <row r="510" spans="1:18">
      <c r="A510" s="1">
        <v>2</v>
      </c>
      <c r="B510" s="1" t="str">
        <f>"قطعات و لوازم يدكي"</f>
        <v>قطعات و لوازم يدكي</v>
      </c>
      <c r="C510" s="1">
        <v>101</v>
      </c>
      <c r="D510" s="1" t="str">
        <f>"انبار قطعات و لوازم يدكي اصفهان"</f>
        <v>انبار قطعات و لوازم يدكي اصفهان</v>
      </c>
      <c r="E510" s="1" t="str">
        <f>"6711365522"</f>
        <v>6711365522</v>
      </c>
      <c r="F510" s="1" t="str">
        <f>"كليد مينياتوري سه فاز A-32"</f>
        <v>كليد مينياتوري سه فاز A-32</v>
      </c>
      <c r="G510" s="1" t="str">
        <f>"عدد"</f>
        <v>عدد</v>
      </c>
      <c r="H510" s="1">
        <v>5</v>
      </c>
      <c r="I510" s="1">
        <v>4900000</v>
      </c>
      <c r="J510" s="1">
        <v>0</v>
      </c>
      <c r="K510" s="1">
        <v>0</v>
      </c>
      <c r="L510" s="1">
        <v>1</v>
      </c>
      <c r="M510" s="1">
        <v>980000</v>
      </c>
      <c r="O510" s="1">
        <v>97</v>
      </c>
      <c r="P510" s="4">
        <f t="shared" si="21"/>
        <v>3920000</v>
      </c>
      <c r="Q510" s="4">
        <f t="shared" si="22"/>
        <v>4</v>
      </c>
      <c r="R510" s="4">
        <f t="shared" si="23"/>
        <v>980000</v>
      </c>
    </row>
    <row r="511" spans="1:18">
      <c r="A511" s="1">
        <v>2</v>
      </c>
      <c r="B511" s="1" t="str">
        <f>"قطعات و لوازم يدكي"</f>
        <v>قطعات و لوازم يدكي</v>
      </c>
      <c r="C511" s="1">
        <v>101</v>
      </c>
      <c r="D511" s="1" t="str">
        <f>"انبار قطعات و لوازم يدكي اصفهان"</f>
        <v>انبار قطعات و لوازم يدكي اصفهان</v>
      </c>
      <c r="E511" s="1" t="str">
        <f>"6772902103"</f>
        <v>6772902103</v>
      </c>
      <c r="F511" s="1" t="str">
        <f>"ODULE RAW"</f>
        <v>ODULE RAW</v>
      </c>
      <c r="G511" s="1" t="str">
        <f>"عدد"</f>
        <v>عدد</v>
      </c>
      <c r="H511" s="1">
        <v>4</v>
      </c>
      <c r="I511" s="1">
        <v>3554915</v>
      </c>
      <c r="J511" s="1">
        <v>0</v>
      </c>
      <c r="K511" s="1">
        <v>0</v>
      </c>
      <c r="L511" s="1">
        <v>1</v>
      </c>
      <c r="M511" s="1">
        <v>888729</v>
      </c>
      <c r="O511" s="1">
        <v>97</v>
      </c>
      <c r="P511" s="4">
        <f t="shared" si="21"/>
        <v>2666186</v>
      </c>
      <c r="Q511" s="4">
        <f t="shared" si="22"/>
        <v>3</v>
      </c>
      <c r="R511" s="4">
        <f t="shared" si="23"/>
        <v>888728.66666666663</v>
      </c>
    </row>
    <row r="512" spans="1:18" hidden="1">
      <c r="A512" s="1">
        <v>2</v>
      </c>
      <c r="B512" s="1" t="str">
        <f>"قطعات و لوازم يدكي"</f>
        <v>قطعات و لوازم يدكي</v>
      </c>
      <c r="C512" s="1">
        <v>101</v>
      </c>
      <c r="D512" s="1" t="str">
        <f>"انبار قطعات و لوازم يدكي اصفهان"</f>
        <v>انبار قطعات و لوازم يدكي اصفهان</v>
      </c>
      <c r="E512" s="1" t="str">
        <f>"6800000062"</f>
        <v>6800000062</v>
      </c>
      <c r="F512" s="1" t="str">
        <f>"کابلشوي 16"</f>
        <v>کابلشوي 16</v>
      </c>
      <c r="G512" s="1" t="str">
        <f>"عدد"</f>
        <v>عدد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O512" s="1">
        <v>97</v>
      </c>
      <c r="P512" s="1">
        <f t="shared" si="21"/>
        <v>0</v>
      </c>
      <c r="Q512" s="1">
        <f t="shared" si="22"/>
        <v>0</v>
      </c>
      <c r="R512" s="1" t="e">
        <f t="shared" si="23"/>
        <v>#DIV/0!</v>
      </c>
    </row>
    <row r="513" spans="1:18" hidden="1">
      <c r="A513" s="1">
        <v>2</v>
      </c>
      <c r="B513" s="1" t="str">
        <f>"قطعات و لوازم يدكي"</f>
        <v>قطعات و لوازم يدكي</v>
      </c>
      <c r="C513" s="1">
        <v>101</v>
      </c>
      <c r="D513" s="1" t="str">
        <f>"انبار قطعات و لوازم يدكي اصفهان"</f>
        <v>انبار قطعات و لوازم يدكي اصفهان</v>
      </c>
      <c r="E513" s="1" t="str">
        <f>"6800000142"</f>
        <v>6800000142</v>
      </c>
      <c r="F513" s="1" t="str">
        <f>"سر سيم نمره 2.5 چشمي"</f>
        <v>سر سيم نمره 2.5 چشمي</v>
      </c>
      <c r="G513" s="1" t="str">
        <f>"بسته"</f>
        <v>بسته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O513" s="1">
        <v>97</v>
      </c>
      <c r="P513" s="1">
        <f t="shared" si="21"/>
        <v>0</v>
      </c>
      <c r="Q513" s="1">
        <f t="shared" si="22"/>
        <v>0</v>
      </c>
      <c r="R513" s="1" t="e">
        <f t="shared" si="23"/>
        <v>#DIV/0!</v>
      </c>
    </row>
    <row r="514" spans="1:18" hidden="1">
      <c r="A514" s="1">
        <v>2</v>
      </c>
      <c r="B514" s="1" t="str">
        <f>"قطعات و لوازم يدكي"</f>
        <v>قطعات و لوازم يدكي</v>
      </c>
      <c r="C514" s="1">
        <v>101</v>
      </c>
      <c r="D514" s="1" t="str">
        <f>"انبار قطعات و لوازم يدكي اصفهان"</f>
        <v>انبار قطعات و لوازم يدكي اصفهان</v>
      </c>
      <c r="E514" s="1" t="str">
        <f>"6800000162"</f>
        <v>6800000162</v>
      </c>
      <c r="F514" s="1" t="str">
        <f>"سر سيم 2.5 سوزني"</f>
        <v>سر سيم 2.5 سوزني</v>
      </c>
      <c r="G514" s="1" t="str">
        <f>"بسته"</f>
        <v>بسته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O514" s="1">
        <v>97</v>
      </c>
      <c r="P514" s="1">
        <f t="shared" si="21"/>
        <v>0</v>
      </c>
      <c r="Q514" s="1">
        <f t="shared" si="22"/>
        <v>0</v>
      </c>
      <c r="R514" s="1" t="e">
        <f t="shared" si="23"/>
        <v>#DIV/0!</v>
      </c>
    </row>
    <row r="515" spans="1:18" hidden="1">
      <c r="A515" s="1">
        <v>2</v>
      </c>
      <c r="B515" s="1" t="str">
        <f>"قطعات و لوازم يدكي"</f>
        <v>قطعات و لوازم يدكي</v>
      </c>
      <c r="C515" s="1">
        <v>101</v>
      </c>
      <c r="D515" s="1" t="str">
        <f>"انبار قطعات و لوازم يدكي اصفهان"</f>
        <v>انبار قطعات و لوازم يدكي اصفهان</v>
      </c>
      <c r="E515" s="1" t="str">
        <f>"6800000182"</f>
        <v>6800000182</v>
      </c>
      <c r="F515" s="1" t="str">
        <f>"GLAND 153.SIZE M25-B"</f>
        <v>GLAND 153.SIZE M25-B</v>
      </c>
      <c r="G515" s="1" t="str">
        <f>"عدد"</f>
        <v>عدد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O515" s="1">
        <v>97</v>
      </c>
      <c r="P515" s="1">
        <f t="shared" ref="P515:P578" si="24">I515+K515-M515</f>
        <v>0</v>
      </c>
      <c r="Q515" s="1">
        <f t="shared" ref="Q515:Q578" si="25">H515+J515-L515</f>
        <v>0</v>
      </c>
      <c r="R515" s="1" t="e">
        <f t="shared" ref="R515:R578" si="26">P515/Q515</f>
        <v>#DIV/0!</v>
      </c>
    </row>
    <row r="516" spans="1:18" hidden="1">
      <c r="A516" s="1">
        <v>2</v>
      </c>
      <c r="B516" s="1" t="str">
        <f>"قطعات و لوازم يدكي"</f>
        <v>قطعات و لوازم يدكي</v>
      </c>
      <c r="C516" s="1">
        <v>101</v>
      </c>
      <c r="D516" s="1" t="str">
        <f>"انبار قطعات و لوازم يدكي اصفهان"</f>
        <v>انبار قطعات و لوازم يدكي اصفهان</v>
      </c>
      <c r="E516" s="1" t="str">
        <f>"6800000202"</f>
        <v>6800000202</v>
      </c>
      <c r="F516" s="1" t="str">
        <f>"GLAND 153. SIZE M50-D"</f>
        <v>GLAND 153. SIZE M50-D</v>
      </c>
      <c r="G516" s="1" t="str">
        <f>"عدد"</f>
        <v>عدد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O516" s="1">
        <v>97</v>
      </c>
      <c r="P516" s="1">
        <f t="shared" si="24"/>
        <v>0</v>
      </c>
      <c r="Q516" s="1">
        <f t="shared" si="25"/>
        <v>0</v>
      </c>
      <c r="R516" s="1" t="e">
        <f t="shared" si="26"/>
        <v>#DIV/0!</v>
      </c>
    </row>
    <row r="517" spans="1:18">
      <c r="A517" s="1">
        <v>1</v>
      </c>
      <c r="B517" s="1" t="str">
        <f>"انواع محصول قير"</f>
        <v>انواع محصول قير</v>
      </c>
      <c r="C517" s="1">
        <v>100</v>
      </c>
      <c r="D517" s="1" t="str">
        <f>"مخازن قير اصفهان"</f>
        <v>مخازن قير اصفهان</v>
      </c>
      <c r="E517" s="1" t="str">
        <f>"0000000076"</f>
        <v>0000000076</v>
      </c>
      <c r="F517" s="1" t="str">
        <f>"قير 60/70 - فله"</f>
        <v>قير 60/70 - فله</v>
      </c>
      <c r="G517" s="1" t="str">
        <f>"كيلوگرم"</f>
        <v>كيلوگرم</v>
      </c>
      <c r="H517" s="1">
        <v>15818793</v>
      </c>
      <c r="I517" s="1">
        <v>134971246696</v>
      </c>
      <c r="J517" s="1">
        <v>606142045</v>
      </c>
      <c r="K517" s="1">
        <v>11006664574871</v>
      </c>
      <c r="L517" s="1">
        <v>604840002</v>
      </c>
      <c r="M517" s="1">
        <v>10830746170517</v>
      </c>
      <c r="O517" s="1">
        <v>97</v>
      </c>
      <c r="P517" s="4">
        <f t="shared" si="24"/>
        <v>310889651050</v>
      </c>
      <c r="Q517" s="4">
        <f t="shared" si="25"/>
        <v>17120836</v>
      </c>
      <c r="R517" s="4">
        <f t="shared" si="26"/>
        <v>18158.555519718779</v>
      </c>
    </row>
    <row r="518" spans="1:18" hidden="1">
      <c r="A518" s="1">
        <v>1</v>
      </c>
      <c r="B518" s="1" t="str">
        <f>"انواع محصول قير"</f>
        <v>انواع محصول قير</v>
      </c>
      <c r="C518" s="1">
        <v>100</v>
      </c>
      <c r="D518" s="1" t="str">
        <f>"مخازن قير اصفهان"</f>
        <v>مخازن قير اصفهان</v>
      </c>
      <c r="E518" s="1" t="str">
        <f>"0000000084"</f>
        <v>0000000084</v>
      </c>
      <c r="F518" s="1" t="str">
        <f>"قير امولسيون دير شکن فله(CSS1)"</f>
        <v>قير امولسيون دير شکن فله(CSS1)</v>
      </c>
      <c r="G518" s="1" t="str">
        <f>"كيلوگرم"</f>
        <v>كيلوگرم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O518" s="1">
        <v>97</v>
      </c>
      <c r="P518" s="1">
        <f t="shared" si="24"/>
        <v>0</v>
      </c>
      <c r="Q518" s="1">
        <f t="shared" si="25"/>
        <v>0</v>
      </c>
      <c r="R518" s="1" t="e">
        <f t="shared" si="26"/>
        <v>#DIV/0!</v>
      </c>
    </row>
    <row r="519" spans="1:18">
      <c r="A519" s="1">
        <v>1</v>
      </c>
      <c r="B519" s="1" t="str">
        <f>"انواع محصول قير"</f>
        <v>انواع محصول قير</v>
      </c>
      <c r="C519" s="1">
        <v>100</v>
      </c>
      <c r="D519" s="1" t="str">
        <f>"مخازن قير اصفهان"</f>
        <v>مخازن قير اصفهان</v>
      </c>
      <c r="E519" s="1" t="str">
        <f>"1000000001"</f>
        <v>1000000001</v>
      </c>
      <c r="F519" s="1" t="str">
        <f>"قير 85/100 - بشكه 180 كيلوگرمي"</f>
        <v>قير 85/100 - بشكه 180 كيلوگرمي</v>
      </c>
      <c r="G519" s="1" t="str">
        <f>"كيلوگرم"</f>
        <v>كيلوگرم</v>
      </c>
      <c r="H519" s="1">
        <v>0</v>
      </c>
      <c r="I519" s="1">
        <v>0</v>
      </c>
      <c r="J519" s="1">
        <v>30395514</v>
      </c>
      <c r="K519" s="1">
        <v>642832762182</v>
      </c>
      <c r="L519" s="1">
        <v>29644212</v>
      </c>
      <c r="M519" s="1">
        <v>626943524714</v>
      </c>
      <c r="O519" s="1">
        <v>97</v>
      </c>
      <c r="P519" s="4">
        <f t="shared" si="24"/>
        <v>15889237468</v>
      </c>
      <c r="Q519" s="4">
        <f t="shared" si="25"/>
        <v>751302</v>
      </c>
      <c r="R519" s="4">
        <f t="shared" si="26"/>
        <v>21148.935405469438</v>
      </c>
    </row>
    <row r="520" spans="1:18">
      <c r="A520" s="1">
        <v>1</v>
      </c>
      <c r="B520" s="1" t="str">
        <f>"انواع محصول قير"</f>
        <v>انواع محصول قير</v>
      </c>
      <c r="C520" s="1">
        <v>100</v>
      </c>
      <c r="D520" s="1" t="str">
        <f>"مخازن قير اصفهان"</f>
        <v>مخازن قير اصفهان</v>
      </c>
      <c r="E520" s="1" t="str">
        <f>"1000000002"</f>
        <v>1000000002</v>
      </c>
      <c r="F520" s="1" t="str">
        <f>"قير 85/100 - فله"</f>
        <v>قير 85/100 - فله</v>
      </c>
      <c r="G520" s="1" t="str">
        <f>"كيلوگرم"</f>
        <v>كيلوگرم</v>
      </c>
      <c r="H520" s="1">
        <v>4363375</v>
      </c>
      <c r="I520" s="1">
        <v>37208561782</v>
      </c>
      <c r="J520" s="1">
        <v>92507085</v>
      </c>
      <c r="K520" s="1">
        <v>1679795130191</v>
      </c>
      <c r="L520" s="1">
        <v>89135167</v>
      </c>
      <c r="M520" s="1">
        <v>1576565803732</v>
      </c>
      <c r="O520" s="1">
        <v>97</v>
      </c>
      <c r="P520" s="4">
        <f t="shared" si="24"/>
        <v>140437888241</v>
      </c>
      <c r="Q520" s="4">
        <f t="shared" si="25"/>
        <v>7735293</v>
      </c>
      <c r="R520" s="4">
        <f t="shared" si="26"/>
        <v>18155.471065026239</v>
      </c>
    </row>
    <row r="521" spans="1:18" hidden="1">
      <c r="A521" s="1">
        <v>1</v>
      </c>
      <c r="B521" s="1" t="str">
        <f>"انواع محصول قير"</f>
        <v>انواع محصول قير</v>
      </c>
      <c r="C521" s="1">
        <v>104</v>
      </c>
      <c r="D521" s="1" t="str">
        <f>"انبار قير بندرعباس"</f>
        <v>انبار قير بندرعباس</v>
      </c>
      <c r="E521" s="1" t="str">
        <f>"1000000007"</f>
        <v>1000000007</v>
      </c>
      <c r="F521" s="1" t="str">
        <f>"قير 40/50 - بشكه 180 كيلوگرمي"</f>
        <v>قير 40/50 - بشكه 180 كيلوگرمي</v>
      </c>
      <c r="G521" s="1" t="str">
        <f>"كيلوگرم"</f>
        <v>كيلوگرم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O521" s="1">
        <v>97</v>
      </c>
      <c r="P521" s="1">
        <f t="shared" si="24"/>
        <v>0</v>
      </c>
      <c r="Q521" s="1">
        <f t="shared" si="25"/>
        <v>0</v>
      </c>
      <c r="R521" s="1" t="e">
        <f t="shared" si="26"/>
        <v>#DIV/0!</v>
      </c>
    </row>
    <row r="522" spans="1:18">
      <c r="A522" s="1">
        <v>2</v>
      </c>
      <c r="B522" s="1" t="str">
        <f>"قطعات و لوازم يدكي"</f>
        <v>قطعات و لوازم يدكي</v>
      </c>
      <c r="C522" s="1">
        <v>101</v>
      </c>
      <c r="D522" s="1" t="str">
        <f>"انبار قطعات و لوازم يدكي اصفهان"</f>
        <v>انبار قطعات و لوازم يدكي اصفهان</v>
      </c>
      <c r="E522" s="1" t="str">
        <f>"2201020043"</f>
        <v>2201020043</v>
      </c>
      <c r="F522" s="1" t="str">
        <f>"SEAL AIR CV2 S3"</f>
        <v>SEAL AIR CV2 S3</v>
      </c>
      <c r="G522" s="1" t="str">
        <f>"عدد"</f>
        <v>عدد</v>
      </c>
      <c r="H522" s="1">
        <v>4</v>
      </c>
      <c r="I522" s="1">
        <v>392329440</v>
      </c>
      <c r="J522" s="1">
        <v>0</v>
      </c>
      <c r="K522" s="1">
        <v>0</v>
      </c>
      <c r="L522" s="1">
        <v>0</v>
      </c>
      <c r="M522" s="1">
        <v>0</v>
      </c>
      <c r="O522" s="1">
        <v>97</v>
      </c>
      <c r="P522" s="4">
        <f t="shared" si="24"/>
        <v>392329440</v>
      </c>
      <c r="Q522" s="4">
        <f t="shared" si="25"/>
        <v>4</v>
      </c>
      <c r="R522" s="4">
        <f t="shared" si="26"/>
        <v>98082360</v>
      </c>
    </row>
    <row r="523" spans="1:18">
      <c r="A523" s="1">
        <v>2</v>
      </c>
      <c r="B523" s="1" t="str">
        <f>"قطعات و لوازم يدكي"</f>
        <v>قطعات و لوازم يدكي</v>
      </c>
      <c r="C523" s="1">
        <v>101</v>
      </c>
      <c r="D523" s="1" t="str">
        <f>"انبار قطعات و لوازم يدكي اصفهان"</f>
        <v>انبار قطعات و لوازم يدكي اصفهان</v>
      </c>
      <c r="E523" s="1" t="str">
        <f>"2201060023"</f>
        <v>2201060023</v>
      </c>
      <c r="F523" s="1" t="str">
        <f>"TEMP TRNSMITTER"</f>
        <v>TEMP TRNSMITTER</v>
      </c>
      <c r="G523" s="1" t="str">
        <f>"عدد"</f>
        <v>عدد</v>
      </c>
      <c r="H523" s="1">
        <v>5</v>
      </c>
      <c r="I523" s="1">
        <v>55601100</v>
      </c>
      <c r="J523" s="1">
        <v>0</v>
      </c>
      <c r="K523" s="1">
        <v>0</v>
      </c>
      <c r="L523" s="1">
        <v>0</v>
      </c>
      <c r="M523" s="1">
        <v>0</v>
      </c>
      <c r="O523" s="1">
        <v>97</v>
      </c>
      <c r="P523" s="4">
        <f t="shared" si="24"/>
        <v>55601100</v>
      </c>
      <c r="Q523" s="4">
        <f t="shared" si="25"/>
        <v>5</v>
      </c>
      <c r="R523" s="4">
        <f t="shared" si="26"/>
        <v>11120220</v>
      </c>
    </row>
    <row r="524" spans="1:18" hidden="1">
      <c r="A524" s="1">
        <v>2</v>
      </c>
      <c r="B524" s="1" t="str">
        <f>"قطعات و لوازم يدكي"</f>
        <v>قطعات و لوازم يدكي</v>
      </c>
      <c r="C524" s="1">
        <v>101</v>
      </c>
      <c r="D524" s="1" t="str">
        <f>"انبار قطعات و لوازم يدكي اصفهان"</f>
        <v>انبار قطعات و لوازم يدكي اصفهان</v>
      </c>
      <c r="E524" s="1" t="str">
        <f>"2202875253"</f>
        <v>2202875253</v>
      </c>
      <c r="F524" s="1" t="str">
        <f>"گرويل 9197-2252"</f>
        <v>گرويل 9197-2252</v>
      </c>
      <c r="G524" s="1" t="str">
        <f>"عدد"</f>
        <v>عدد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O524" s="1">
        <v>97</v>
      </c>
      <c r="P524" s="1">
        <f t="shared" si="24"/>
        <v>0</v>
      </c>
      <c r="Q524" s="1">
        <f t="shared" si="25"/>
        <v>0</v>
      </c>
      <c r="R524" s="1" t="e">
        <f t="shared" si="26"/>
        <v>#DIV/0!</v>
      </c>
    </row>
    <row r="525" spans="1:18" hidden="1">
      <c r="A525" s="1">
        <v>2</v>
      </c>
      <c r="B525" s="1" t="str">
        <f>"قطعات و لوازم يدكي"</f>
        <v>قطعات و لوازم يدكي</v>
      </c>
      <c r="C525" s="1">
        <v>101</v>
      </c>
      <c r="D525" s="1" t="str">
        <f>"انبار قطعات و لوازم يدكي اصفهان"</f>
        <v>انبار قطعات و لوازم يدكي اصفهان</v>
      </c>
      <c r="E525" s="1" t="str">
        <f>"2202875753"</f>
        <v>2202875753</v>
      </c>
      <c r="F525" s="1" t="str">
        <f>"اورينگ بلو  اف كولر"</f>
        <v>اورينگ بلو  اف كولر</v>
      </c>
      <c r="G525" s="1" t="str">
        <f>"عدد"</f>
        <v>عدد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O525" s="1">
        <v>97</v>
      </c>
      <c r="P525" s="1">
        <f t="shared" si="24"/>
        <v>0</v>
      </c>
      <c r="Q525" s="1">
        <f t="shared" si="25"/>
        <v>0</v>
      </c>
      <c r="R525" s="1" t="e">
        <f t="shared" si="26"/>
        <v>#DIV/0!</v>
      </c>
    </row>
    <row r="526" spans="1:18" hidden="1">
      <c r="A526" s="1">
        <v>2</v>
      </c>
      <c r="B526" s="1" t="str">
        <f>"قطعات و لوازم يدكي"</f>
        <v>قطعات و لوازم يدكي</v>
      </c>
      <c r="C526" s="1">
        <v>101</v>
      </c>
      <c r="D526" s="1" t="str">
        <f>"انبار قطعات و لوازم يدكي اصفهان"</f>
        <v>انبار قطعات و لوازم يدكي اصفهان</v>
      </c>
      <c r="E526" s="1" t="str">
        <f>"2202876213"</f>
        <v>2202876213</v>
      </c>
      <c r="F526" s="1" t="str">
        <f>"كامپنساتور افتر كولر"</f>
        <v>كامپنساتور افتر كولر</v>
      </c>
      <c r="G526" s="1" t="str">
        <f>"عدد"</f>
        <v>عدد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O526" s="1">
        <v>97</v>
      </c>
      <c r="P526" s="1">
        <f t="shared" si="24"/>
        <v>0</v>
      </c>
      <c r="Q526" s="1">
        <f t="shared" si="25"/>
        <v>0</v>
      </c>
      <c r="R526" s="1" t="e">
        <f t="shared" si="26"/>
        <v>#DIV/0!</v>
      </c>
    </row>
    <row r="527" spans="1:18" hidden="1">
      <c r="A527" s="1">
        <v>2</v>
      </c>
      <c r="B527" s="1" t="str">
        <f>"قطعات و لوازم يدكي"</f>
        <v>قطعات و لوازم يدكي</v>
      </c>
      <c r="C527" s="1">
        <v>101</v>
      </c>
      <c r="D527" s="1" t="str">
        <f>"انبار قطعات و لوازم يدكي اصفهان"</f>
        <v>انبار قطعات و لوازم يدكي اصفهان</v>
      </c>
      <c r="E527" s="1" t="str">
        <f>"2202879173"</f>
        <v>2202879173</v>
      </c>
      <c r="F527" s="1" t="str">
        <f>"كاسكت 0100-0650"</f>
        <v>كاسكت 0100-0650</v>
      </c>
      <c r="G527" s="1" t="str">
        <f>"عدد"</f>
        <v>عدد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O527" s="1">
        <v>97</v>
      </c>
      <c r="P527" s="1">
        <f t="shared" si="24"/>
        <v>0</v>
      </c>
      <c r="Q527" s="1">
        <f t="shared" si="25"/>
        <v>0</v>
      </c>
      <c r="R527" s="1" t="e">
        <f t="shared" si="26"/>
        <v>#DIV/0!</v>
      </c>
    </row>
    <row r="528" spans="1:18" hidden="1">
      <c r="A528" s="1">
        <v>2</v>
      </c>
      <c r="B528" s="1" t="str">
        <f>"قطعات و لوازم يدكي"</f>
        <v>قطعات و لوازم يدكي</v>
      </c>
      <c r="C528" s="1">
        <v>101</v>
      </c>
      <c r="D528" s="1" t="str">
        <f>"انبار قطعات و لوازم يدكي اصفهان"</f>
        <v>انبار قطعات و لوازم يدكي اصفهان</v>
      </c>
      <c r="E528" s="1" t="str">
        <f>"2202879273"</f>
        <v>2202879273</v>
      </c>
      <c r="F528" s="1" t="str">
        <f>"نوت 2110-0266"</f>
        <v>نوت 2110-0266</v>
      </c>
      <c r="G528" s="1" t="str">
        <f>"عدد"</f>
        <v>عدد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O528" s="1">
        <v>97</v>
      </c>
      <c r="P528" s="1">
        <f t="shared" si="24"/>
        <v>0</v>
      </c>
      <c r="Q528" s="1">
        <f t="shared" si="25"/>
        <v>0</v>
      </c>
      <c r="R528" s="1" t="e">
        <f t="shared" si="26"/>
        <v>#DIV/0!</v>
      </c>
    </row>
    <row r="529" spans="1:18">
      <c r="A529" s="1">
        <v>2</v>
      </c>
      <c r="B529" s="1" t="str">
        <f>"قطعات و لوازم يدكي"</f>
        <v>قطعات و لوازم يدكي</v>
      </c>
      <c r="C529" s="1">
        <v>101</v>
      </c>
      <c r="D529" s="1" t="str">
        <f>"انبار قطعات و لوازم يدكي اصفهان"</f>
        <v>انبار قطعات و لوازم يدكي اصفهان</v>
      </c>
      <c r="E529" s="1" t="str">
        <f>"2301021143"</f>
        <v>2301021143</v>
      </c>
      <c r="F529" s="1" t="str">
        <f>"emulsifier flowmeter flomec omoo8s512-211"</f>
        <v>emulsifier flowmeter flomec omoo8s512-211</v>
      </c>
      <c r="G529" s="1" t="str">
        <f>"عدد"</f>
        <v>عدد</v>
      </c>
      <c r="H529" s="1">
        <v>1</v>
      </c>
      <c r="I529" s="1">
        <v>56030805</v>
      </c>
      <c r="J529" s="1">
        <v>0</v>
      </c>
      <c r="K529" s="1">
        <v>0</v>
      </c>
      <c r="L529" s="1">
        <v>0</v>
      </c>
      <c r="M529" s="1">
        <v>0</v>
      </c>
      <c r="O529" s="1">
        <v>97</v>
      </c>
      <c r="P529" s="4">
        <f t="shared" si="24"/>
        <v>56030805</v>
      </c>
      <c r="Q529" s="4">
        <f t="shared" si="25"/>
        <v>1</v>
      </c>
      <c r="R529" s="4">
        <f t="shared" si="26"/>
        <v>56030805</v>
      </c>
    </row>
    <row r="530" spans="1:18">
      <c r="A530" s="1">
        <v>2</v>
      </c>
      <c r="B530" s="1" t="str">
        <f>"قطعات و لوازم يدكي"</f>
        <v>قطعات و لوازم يدكي</v>
      </c>
      <c r="C530" s="1">
        <v>101</v>
      </c>
      <c r="D530" s="1" t="str">
        <f>"انبار قطعات و لوازم يدكي اصفهان"</f>
        <v>انبار قطعات و لوازم يدكي اصفهان</v>
      </c>
      <c r="E530" s="1" t="str">
        <f>"2302030083"</f>
        <v>2302030083</v>
      </c>
      <c r="F530" s="1" t="str">
        <f>"COMMUNICATION MODULE QJ71C24N"</f>
        <v>COMMUNICATION MODULE QJ71C24N</v>
      </c>
      <c r="G530" s="1" t="str">
        <f>"عدد"</f>
        <v>عدد</v>
      </c>
      <c r="H530" s="1">
        <v>1</v>
      </c>
      <c r="I530" s="1">
        <v>35909197</v>
      </c>
      <c r="J530" s="1">
        <v>0</v>
      </c>
      <c r="K530" s="1">
        <v>0</v>
      </c>
      <c r="L530" s="1">
        <v>0</v>
      </c>
      <c r="M530" s="1">
        <v>0</v>
      </c>
      <c r="O530" s="1">
        <v>97</v>
      </c>
      <c r="P530" s="4">
        <f t="shared" si="24"/>
        <v>35909197</v>
      </c>
      <c r="Q530" s="4">
        <f t="shared" si="25"/>
        <v>1</v>
      </c>
      <c r="R530" s="4">
        <f t="shared" si="26"/>
        <v>35909197</v>
      </c>
    </row>
    <row r="531" spans="1:18" hidden="1">
      <c r="A531" s="1">
        <v>2</v>
      </c>
      <c r="B531" s="1" t="str">
        <f>"قطعات و لوازم يدكي"</f>
        <v>قطعات و لوازم يدكي</v>
      </c>
      <c r="C531" s="1">
        <v>101</v>
      </c>
      <c r="D531" s="1" t="str">
        <f>"انبار قطعات و لوازم يدكي اصفهان"</f>
        <v>انبار قطعات و لوازم يدكي اصفهان</v>
      </c>
      <c r="E531" s="1" t="str">
        <f>"2441490113"</f>
        <v>2441490113</v>
      </c>
      <c r="F531" s="1" t="str">
        <f>"كوپلينگ اف2-1/2سي اس كمپرسور"</f>
        <v>كوپلينگ اف2-1/2سي اس كمپرسور</v>
      </c>
      <c r="G531" s="1" t="str">
        <f>"عدد"</f>
        <v>عدد</v>
      </c>
      <c r="H531" s="1">
        <v>1</v>
      </c>
      <c r="I531" s="1">
        <v>11102674</v>
      </c>
      <c r="J531" s="1">
        <v>0</v>
      </c>
      <c r="K531" s="1">
        <v>0</v>
      </c>
      <c r="L531" s="1">
        <v>1</v>
      </c>
      <c r="M531" s="1">
        <v>11102674</v>
      </c>
      <c r="O531" s="1">
        <v>97</v>
      </c>
      <c r="P531" s="1">
        <f t="shared" si="24"/>
        <v>0</v>
      </c>
      <c r="Q531" s="1">
        <f t="shared" si="25"/>
        <v>0</v>
      </c>
      <c r="R531" s="1" t="e">
        <f t="shared" si="26"/>
        <v>#DIV/0!</v>
      </c>
    </row>
    <row r="532" spans="1:18">
      <c r="A532" s="1">
        <v>2</v>
      </c>
      <c r="B532" s="1" t="str">
        <f>"قطعات و لوازم يدكي"</f>
        <v>قطعات و لوازم يدكي</v>
      </c>
      <c r="C532" s="1">
        <v>101</v>
      </c>
      <c r="D532" s="1" t="str">
        <f>"انبار قطعات و لوازم يدكي اصفهان"</f>
        <v>انبار قطعات و لوازم يدكي اصفهان</v>
      </c>
      <c r="E532" s="1" t="str">
        <f>"2441490633"</f>
        <v>2441490633</v>
      </c>
      <c r="F532" s="1" t="str">
        <f>"شيم استيل"</f>
        <v>شيم استيل</v>
      </c>
      <c r="G532" s="1" t="str">
        <f>"عدد"</f>
        <v>عدد</v>
      </c>
      <c r="H532" s="1">
        <v>10</v>
      </c>
      <c r="I532" s="1">
        <v>174338</v>
      </c>
      <c r="J532" s="1">
        <v>0</v>
      </c>
      <c r="K532" s="1">
        <v>0</v>
      </c>
      <c r="L532" s="1">
        <v>0</v>
      </c>
      <c r="M532" s="1">
        <v>0</v>
      </c>
      <c r="O532" s="1">
        <v>97</v>
      </c>
      <c r="P532" s="4">
        <f t="shared" si="24"/>
        <v>174338</v>
      </c>
      <c r="Q532" s="4">
        <f t="shared" si="25"/>
        <v>10</v>
      </c>
      <c r="R532" s="4">
        <f t="shared" si="26"/>
        <v>17433.8</v>
      </c>
    </row>
    <row r="533" spans="1:18">
      <c r="A533" s="1">
        <v>2</v>
      </c>
      <c r="B533" s="1" t="str">
        <f>"قطعات و لوازم يدكي"</f>
        <v>قطعات و لوازم يدكي</v>
      </c>
      <c r="C533" s="1">
        <v>101</v>
      </c>
      <c r="D533" s="1" t="str">
        <f>"انبار قطعات و لوازم يدكي اصفهان"</f>
        <v>انبار قطعات و لوازم يدكي اصفهان</v>
      </c>
      <c r="E533" s="1" t="str">
        <f>"2441490723"</f>
        <v>2441490723</v>
      </c>
      <c r="F533" s="1" t="str">
        <f>"ايم پيلر  7-319984"</f>
        <v>ايم پيلر  7-319984</v>
      </c>
      <c r="G533" s="1" t="str">
        <f>"عدد"</f>
        <v>عدد</v>
      </c>
      <c r="H533" s="1">
        <v>1</v>
      </c>
      <c r="I533" s="1">
        <v>304286</v>
      </c>
      <c r="J533" s="1">
        <v>0</v>
      </c>
      <c r="K533" s="1">
        <v>0</v>
      </c>
      <c r="L533" s="1">
        <v>0</v>
      </c>
      <c r="M533" s="1">
        <v>0</v>
      </c>
      <c r="O533" s="1">
        <v>97</v>
      </c>
      <c r="P533" s="4">
        <f t="shared" si="24"/>
        <v>304286</v>
      </c>
      <c r="Q533" s="4">
        <f t="shared" si="25"/>
        <v>1</v>
      </c>
      <c r="R533" s="4">
        <f t="shared" si="26"/>
        <v>304286</v>
      </c>
    </row>
    <row r="534" spans="1:18">
      <c r="A534" s="1">
        <v>2</v>
      </c>
      <c r="B534" s="1" t="str">
        <f>"قطعات و لوازم يدكي"</f>
        <v>قطعات و لوازم يدكي</v>
      </c>
      <c r="C534" s="1">
        <v>101</v>
      </c>
      <c r="D534" s="1" t="str">
        <f>"انبار قطعات و لوازم يدكي اصفهان"</f>
        <v>انبار قطعات و لوازم يدكي اصفهان</v>
      </c>
      <c r="E534" s="1" t="str">
        <f>"2441491523"</f>
        <v>2441491523</v>
      </c>
      <c r="F534" s="1" t="str">
        <f>"كولر كاست كيت"</f>
        <v>كولر كاست كيت</v>
      </c>
      <c r="G534" s="1" t="str">
        <f>"عدد"</f>
        <v>عدد</v>
      </c>
      <c r="H534" s="1">
        <v>1</v>
      </c>
      <c r="I534" s="1">
        <v>52523</v>
      </c>
      <c r="J534" s="1">
        <v>0</v>
      </c>
      <c r="K534" s="1">
        <v>0</v>
      </c>
      <c r="L534" s="1">
        <v>0</v>
      </c>
      <c r="M534" s="1">
        <v>0</v>
      </c>
      <c r="O534" s="1">
        <v>97</v>
      </c>
      <c r="P534" s="4">
        <f t="shared" si="24"/>
        <v>52523</v>
      </c>
      <c r="Q534" s="4">
        <f t="shared" si="25"/>
        <v>1</v>
      </c>
      <c r="R534" s="4">
        <f t="shared" si="26"/>
        <v>52523</v>
      </c>
    </row>
    <row r="535" spans="1:18">
      <c r="A535" s="1">
        <v>2</v>
      </c>
      <c r="B535" s="1" t="str">
        <f>"قطعات و لوازم يدكي"</f>
        <v>قطعات و لوازم يدكي</v>
      </c>
      <c r="C535" s="1">
        <v>101</v>
      </c>
      <c r="D535" s="1" t="str">
        <f>"انبار قطعات و لوازم يدكي اصفهان"</f>
        <v>انبار قطعات و لوازم يدكي اصفهان</v>
      </c>
      <c r="E535" s="1" t="str">
        <f>"2441492343"</f>
        <v>2441492343</v>
      </c>
      <c r="F535" s="1" t="str">
        <f>"كاست كولر 1879سي 63"</f>
        <v>كاست كولر 1879سي 63</v>
      </c>
      <c r="G535" s="1" t="str">
        <f>"عدد"</f>
        <v>عدد</v>
      </c>
      <c r="H535" s="1">
        <v>5</v>
      </c>
      <c r="I535" s="1">
        <v>7226</v>
      </c>
      <c r="J535" s="1">
        <v>0</v>
      </c>
      <c r="K535" s="1">
        <v>0</v>
      </c>
      <c r="L535" s="1">
        <v>0</v>
      </c>
      <c r="M535" s="1">
        <v>0</v>
      </c>
      <c r="O535" s="1">
        <v>97</v>
      </c>
      <c r="P535" s="4">
        <f t="shared" si="24"/>
        <v>7226</v>
      </c>
      <c r="Q535" s="4">
        <f t="shared" si="25"/>
        <v>5</v>
      </c>
      <c r="R535" s="4">
        <f t="shared" si="26"/>
        <v>1445.2</v>
      </c>
    </row>
    <row r="536" spans="1:18" hidden="1">
      <c r="A536" s="1">
        <v>2</v>
      </c>
      <c r="B536" s="1" t="str">
        <f>"قطعات و لوازم يدكي"</f>
        <v>قطعات و لوازم يدكي</v>
      </c>
      <c r="C536" s="1">
        <v>101</v>
      </c>
      <c r="D536" s="1" t="str">
        <f>"انبار قطعات و لوازم يدكي اصفهان"</f>
        <v>انبار قطعات و لوازم يدكي اصفهان</v>
      </c>
      <c r="E536" s="1" t="str">
        <f>"3001010042"</f>
        <v>3001010042</v>
      </c>
      <c r="F536" s="1" t="str">
        <f>"شيشه مخصوص نمونه گيري"</f>
        <v>شيشه مخصوص نمونه گيري</v>
      </c>
      <c r="G536" s="1" t="str">
        <f>"عدد"</f>
        <v>عدد</v>
      </c>
      <c r="H536" s="1">
        <v>2500</v>
      </c>
      <c r="I536" s="1">
        <v>30000000</v>
      </c>
      <c r="J536" s="1">
        <v>0</v>
      </c>
      <c r="K536" s="1">
        <v>0</v>
      </c>
      <c r="L536" s="1">
        <v>2500</v>
      </c>
      <c r="M536" s="1">
        <v>30000000</v>
      </c>
      <c r="O536" s="1">
        <v>97</v>
      </c>
      <c r="P536" s="1">
        <f t="shared" si="24"/>
        <v>0</v>
      </c>
      <c r="Q536" s="1">
        <f t="shared" si="25"/>
        <v>0</v>
      </c>
      <c r="R536" s="1" t="e">
        <f t="shared" si="26"/>
        <v>#DIV/0!</v>
      </c>
    </row>
    <row r="537" spans="1:18">
      <c r="A537" s="1">
        <v>2</v>
      </c>
      <c r="B537" s="1" t="str">
        <f>"قطعات و لوازم يدكي"</f>
        <v>قطعات و لوازم يدكي</v>
      </c>
      <c r="C537" s="1">
        <v>101</v>
      </c>
      <c r="D537" s="1" t="str">
        <f>"انبار قطعات و لوازم يدكي اصفهان"</f>
        <v>انبار قطعات و لوازم يدكي اصفهان</v>
      </c>
      <c r="E537" s="1" t="str">
        <f>"3101010013"</f>
        <v>3101010013</v>
      </c>
      <c r="F537" s="1" t="str">
        <f>"مونتاژ شده قطعات p-1601D"</f>
        <v>مونتاژ شده قطعات p-1601D</v>
      </c>
      <c r="G537" s="1" t="str">
        <f>"ST"</f>
        <v>ST</v>
      </c>
      <c r="H537" s="1">
        <v>1</v>
      </c>
      <c r="I537" s="1">
        <v>1110058600</v>
      </c>
      <c r="J537" s="1">
        <v>0</v>
      </c>
      <c r="K537" s="1">
        <v>0</v>
      </c>
      <c r="L537" s="1">
        <v>0</v>
      </c>
      <c r="M537" s="1">
        <v>0</v>
      </c>
      <c r="O537" s="1">
        <v>97</v>
      </c>
      <c r="P537" s="4">
        <f t="shared" si="24"/>
        <v>1110058600</v>
      </c>
      <c r="Q537" s="4">
        <f t="shared" si="25"/>
        <v>1</v>
      </c>
      <c r="R537" s="4">
        <f t="shared" si="26"/>
        <v>1110058600</v>
      </c>
    </row>
    <row r="538" spans="1:18">
      <c r="A538" s="1">
        <v>2</v>
      </c>
      <c r="B538" s="1" t="str">
        <f>"قطعات و لوازم يدكي"</f>
        <v>قطعات و لوازم يدكي</v>
      </c>
      <c r="C538" s="1">
        <v>101</v>
      </c>
      <c r="D538" s="1" t="str">
        <f>"انبار قطعات و لوازم يدكي اصفهان"</f>
        <v>انبار قطعات و لوازم يدكي اصفهان</v>
      </c>
      <c r="E538" s="1" t="str">
        <f>"3101040023"</f>
        <v>3101040023</v>
      </c>
      <c r="F538" s="1" t="str">
        <f>"HARDENED BUSH"</f>
        <v>HARDENED BUSH</v>
      </c>
      <c r="G538" s="1" t="str">
        <f>"عدد"</f>
        <v>عدد</v>
      </c>
      <c r="H538" s="1">
        <v>14</v>
      </c>
      <c r="I538" s="1">
        <v>6160000</v>
      </c>
      <c r="J538" s="1">
        <v>0</v>
      </c>
      <c r="K538" s="1">
        <v>0</v>
      </c>
      <c r="L538" s="1">
        <v>0</v>
      </c>
      <c r="M538" s="1">
        <v>0</v>
      </c>
      <c r="O538" s="1">
        <v>97</v>
      </c>
      <c r="P538" s="4">
        <f t="shared" si="24"/>
        <v>6160000</v>
      </c>
      <c r="Q538" s="4">
        <f t="shared" si="25"/>
        <v>14</v>
      </c>
      <c r="R538" s="4">
        <f t="shared" si="26"/>
        <v>440000</v>
      </c>
    </row>
    <row r="539" spans="1:18">
      <c r="A539" s="1">
        <v>2</v>
      </c>
      <c r="B539" s="1" t="str">
        <f>"قطعات و لوازم يدكي"</f>
        <v>قطعات و لوازم يدكي</v>
      </c>
      <c r="C539" s="1">
        <v>101</v>
      </c>
      <c r="D539" s="1" t="str">
        <f>"انبار قطعات و لوازم يدكي اصفهان"</f>
        <v>انبار قطعات و لوازم يدكي اصفهان</v>
      </c>
      <c r="E539" s="1" t="str">
        <f>"3101140023"</f>
        <v>3101140023</v>
      </c>
      <c r="F539" s="1" t="str">
        <f>"کاسه نمد 10   52     35 ( P-1605 )"</f>
        <v>کاسه نمد 10   52     35 ( P-1605 )</v>
      </c>
      <c r="G539" s="1" t="str">
        <f>"عدد"</f>
        <v>عدد</v>
      </c>
      <c r="H539" s="1">
        <v>8</v>
      </c>
      <c r="I539" s="1">
        <v>56000</v>
      </c>
      <c r="J539" s="1">
        <v>0</v>
      </c>
      <c r="K539" s="1">
        <v>0</v>
      </c>
      <c r="L539" s="1">
        <v>0</v>
      </c>
      <c r="M539" s="1">
        <v>0</v>
      </c>
      <c r="O539" s="1">
        <v>97</v>
      </c>
      <c r="P539" s="4">
        <f t="shared" si="24"/>
        <v>56000</v>
      </c>
      <c r="Q539" s="4">
        <f t="shared" si="25"/>
        <v>8</v>
      </c>
      <c r="R539" s="4">
        <f t="shared" si="26"/>
        <v>7000</v>
      </c>
    </row>
    <row r="540" spans="1:18">
      <c r="A540" s="1">
        <v>2</v>
      </c>
      <c r="B540" s="1" t="str">
        <f>"قطعات و لوازم يدكي"</f>
        <v>قطعات و لوازم يدكي</v>
      </c>
      <c r="C540" s="1">
        <v>101</v>
      </c>
      <c r="D540" s="1" t="str">
        <f>"انبار قطعات و لوازم يدكي اصفهان"</f>
        <v>انبار قطعات و لوازم يدكي اصفهان</v>
      </c>
      <c r="E540" s="1" t="str">
        <f>"3103023373"</f>
        <v>3103023373</v>
      </c>
      <c r="F540" s="1" t="str">
        <f>"ليپ سل دين 11   52   32"</f>
        <v>ليپ سل دين 11   52   32</v>
      </c>
      <c r="G540" s="1" t="str">
        <f>"عدد"</f>
        <v>عدد</v>
      </c>
      <c r="H540" s="1">
        <v>47</v>
      </c>
      <c r="I540" s="1">
        <v>10527161</v>
      </c>
      <c r="J540" s="1">
        <v>2</v>
      </c>
      <c r="K540" s="1">
        <v>447964</v>
      </c>
      <c r="L540" s="1">
        <v>2</v>
      </c>
      <c r="M540" s="1">
        <v>447964</v>
      </c>
      <c r="O540" s="1">
        <v>97</v>
      </c>
      <c r="P540" s="4">
        <f t="shared" si="24"/>
        <v>10527161</v>
      </c>
      <c r="Q540" s="4">
        <f t="shared" si="25"/>
        <v>47</v>
      </c>
      <c r="R540" s="4">
        <f t="shared" si="26"/>
        <v>223982.14893617021</v>
      </c>
    </row>
    <row r="541" spans="1:18">
      <c r="A541" s="1">
        <v>2</v>
      </c>
      <c r="B541" s="1" t="str">
        <f>"قطعات و لوازم يدكي"</f>
        <v>قطعات و لوازم يدكي</v>
      </c>
      <c r="C541" s="1">
        <v>101</v>
      </c>
      <c r="D541" s="1" t="str">
        <f>"انبار قطعات و لوازم يدكي اصفهان"</f>
        <v>انبار قطعات و لوازم يدكي اصفهان</v>
      </c>
      <c r="E541" s="1" t="str">
        <f>"3103023409"</f>
        <v>3103023409</v>
      </c>
      <c r="F541" s="1" t="str">
        <f>"PAKING FOR MATING RING"</f>
        <v>PAKING FOR MATING RING</v>
      </c>
      <c r="G541" s="1" t="str">
        <f>"عدد"</f>
        <v>عدد</v>
      </c>
      <c r="H541" s="1">
        <v>72</v>
      </c>
      <c r="I541" s="1">
        <v>16688173</v>
      </c>
      <c r="J541" s="1">
        <v>0</v>
      </c>
      <c r="K541" s="1">
        <v>0</v>
      </c>
      <c r="L541" s="1">
        <v>4</v>
      </c>
      <c r="M541" s="1">
        <v>927121</v>
      </c>
      <c r="O541" s="1">
        <v>97</v>
      </c>
      <c r="P541" s="4">
        <f t="shared" si="24"/>
        <v>15761052</v>
      </c>
      <c r="Q541" s="4">
        <f t="shared" si="25"/>
        <v>68</v>
      </c>
      <c r="R541" s="4">
        <f t="shared" si="26"/>
        <v>231780.17647058822</v>
      </c>
    </row>
    <row r="542" spans="1:18">
      <c r="A542" s="1">
        <v>2</v>
      </c>
      <c r="B542" s="1" t="str">
        <f>"قطعات و لوازم يدكي"</f>
        <v>قطعات و لوازم يدكي</v>
      </c>
      <c r="C542" s="1">
        <v>101</v>
      </c>
      <c r="D542" s="1" t="str">
        <f>"انبار قطعات و لوازم يدكي اصفهان"</f>
        <v>انبار قطعات و لوازم يدكي اصفهان</v>
      </c>
      <c r="E542" s="1" t="str">
        <f>"3103023893"</f>
        <v>3103023893</v>
      </c>
      <c r="F542" s="1" t="str">
        <f>"بال بيرينگ 51205 ساکشن ولو 1601"</f>
        <v>بال بيرينگ 51205 ساکشن ولو 1601</v>
      </c>
      <c r="G542" s="1" t="str">
        <f>"عدد"</f>
        <v>عدد</v>
      </c>
      <c r="H542" s="1">
        <v>2</v>
      </c>
      <c r="I542" s="1">
        <v>390000</v>
      </c>
      <c r="J542" s="1">
        <v>0</v>
      </c>
      <c r="K542" s="1">
        <v>0</v>
      </c>
      <c r="L542" s="1">
        <v>0</v>
      </c>
      <c r="M542" s="1">
        <v>0</v>
      </c>
      <c r="O542" s="1">
        <v>97</v>
      </c>
      <c r="P542" s="4">
        <f t="shared" si="24"/>
        <v>390000</v>
      </c>
      <c r="Q542" s="4">
        <f t="shared" si="25"/>
        <v>2</v>
      </c>
      <c r="R542" s="4">
        <f t="shared" si="26"/>
        <v>195000</v>
      </c>
    </row>
    <row r="543" spans="1:18" hidden="1">
      <c r="A543" s="1">
        <v>2</v>
      </c>
      <c r="B543" s="1" t="str">
        <f>"قطعات و لوازم يدكي"</f>
        <v>قطعات و لوازم يدكي</v>
      </c>
      <c r="C543" s="1">
        <v>101</v>
      </c>
      <c r="D543" s="1" t="str">
        <f>"انبار قطعات و لوازم يدكي اصفهان"</f>
        <v>انبار قطعات و لوازم يدكي اصفهان</v>
      </c>
      <c r="E543" s="1" t="str">
        <f>"3103023913"</f>
        <v>3103023913</v>
      </c>
      <c r="F543" s="1" t="str">
        <f>"ديفلکتور P-1601"</f>
        <v>ديفلکتور P-1601</v>
      </c>
      <c r="G543" s="1" t="str">
        <f>"عدد"</f>
        <v>عدد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O543" s="1">
        <v>97</v>
      </c>
      <c r="P543" s="1">
        <f t="shared" si="24"/>
        <v>0</v>
      </c>
      <c r="Q543" s="1">
        <f t="shared" si="25"/>
        <v>0</v>
      </c>
      <c r="R543" s="1" t="e">
        <f t="shared" si="26"/>
        <v>#DIV/0!</v>
      </c>
    </row>
    <row r="544" spans="1:18">
      <c r="A544" s="1">
        <v>2</v>
      </c>
      <c r="B544" s="1" t="str">
        <f>"قطعات و لوازم يدكي"</f>
        <v>قطعات و لوازم يدكي</v>
      </c>
      <c r="C544" s="1">
        <v>101</v>
      </c>
      <c r="D544" s="1" t="str">
        <f>"انبار قطعات و لوازم يدكي اصفهان"</f>
        <v>انبار قطعات و لوازم يدكي اصفهان</v>
      </c>
      <c r="E544" s="1" t="str">
        <f>"3112711023"</f>
        <v>3112711023</v>
      </c>
      <c r="F544" s="1" t="str">
        <f>"ورينگ كاس"</f>
        <v>ورينگ كاس</v>
      </c>
      <c r="G544" s="1" t="str">
        <f>"عدد"</f>
        <v>عدد</v>
      </c>
      <c r="H544" s="1">
        <v>2</v>
      </c>
      <c r="I544" s="1">
        <v>39779439</v>
      </c>
      <c r="J544" s="1">
        <v>0</v>
      </c>
      <c r="K544" s="1">
        <v>0</v>
      </c>
      <c r="L544" s="1">
        <v>0</v>
      </c>
      <c r="M544" s="1">
        <v>0</v>
      </c>
      <c r="O544" s="1">
        <v>97</v>
      </c>
      <c r="P544" s="4">
        <f t="shared" si="24"/>
        <v>39779439</v>
      </c>
      <c r="Q544" s="4">
        <f t="shared" si="25"/>
        <v>2</v>
      </c>
      <c r="R544" s="4">
        <f t="shared" si="26"/>
        <v>19889719.5</v>
      </c>
    </row>
    <row r="545" spans="1:18">
      <c r="A545" s="1">
        <v>2</v>
      </c>
      <c r="B545" s="1" t="str">
        <f>"قطعات و لوازم يدكي"</f>
        <v>قطعات و لوازم يدكي</v>
      </c>
      <c r="C545" s="1">
        <v>101</v>
      </c>
      <c r="D545" s="1" t="str">
        <f>"انبار قطعات و لوازم يدكي اصفهان"</f>
        <v>انبار قطعات و لوازم يدكي اصفهان</v>
      </c>
      <c r="E545" s="1" t="str">
        <f>"3112711513"</f>
        <v>3112711513</v>
      </c>
      <c r="F545" s="1" t="str">
        <f>"ورنينگ (wearning case)"</f>
        <v>ورنينگ (wearning case)</v>
      </c>
      <c r="G545" s="1" t="str">
        <f>"عدد"</f>
        <v>عدد</v>
      </c>
      <c r="H545" s="1">
        <v>2</v>
      </c>
      <c r="I545" s="1">
        <v>11529735</v>
      </c>
      <c r="J545" s="1">
        <v>0</v>
      </c>
      <c r="K545" s="1">
        <v>0</v>
      </c>
      <c r="L545" s="1">
        <v>0</v>
      </c>
      <c r="M545" s="1">
        <v>0</v>
      </c>
      <c r="O545" s="1">
        <v>97</v>
      </c>
      <c r="P545" s="4">
        <f t="shared" si="24"/>
        <v>11529735</v>
      </c>
      <c r="Q545" s="4">
        <f t="shared" si="25"/>
        <v>2</v>
      </c>
      <c r="R545" s="4">
        <f t="shared" si="26"/>
        <v>5764867.5</v>
      </c>
    </row>
    <row r="546" spans="1:18">
      <c r="A546" s="1">
        <v>2</v>
      </c>
      <c r="B546" s="1" t="str">
        <f>"قطعات و لوازم يدكي"</f>
        <v>قطعات و لوازم يدكي</v>
      </c>
      <c r="C546" s="1">
        <v>101</v>
      </c>
      <c r="D546" s="1" t="str">
        <f>"انبار قطعات و لوازم يدكي اصفهان"</f>
        <v>انبار قطعات و لوازم يدكي اصفهان</v>
      </c>
      <c r="E546" s="1" t="str">
        <f>"3112711523"</f>
        <v>3112711523</v>
      </c>
      <c r="F546" s="1" t="str">
        <f>"ورنينگ كاور(wearning cover)"</f>
        <v>ورنينگ كاور(wearning cover)</v>
      </c>
      <c r="G546" s="1" t="str">
        <f>"عدد"</f>
        <v>عدد</v>
      </c>
      <c r="H546" s="1">
        <v>2</v>
      </c>
      <c r="I546" s="1">
        <v>14087779</v>
      </c>
      <c r="J546" s="1">
        <v>0</v>
      </c>
      <c r="K546" s="1">
        <v>0</v>
      </c>
      <c r="L546" s="1">
        <v>0</v>
      </c>
      <c r="M546" s="1">
        <v>0</v>
      </c>
      <c r="O546" s="1">
        <v>97</v>
      </c>
      <c r="P546" s="4">
        <f t="shared" si="24"/>
        <v>14087779</v>
      </c>
      <c r="Q546" s="4">
        <f t="shared" si="25"/>
        <v>2</v>
      </c>
      <c r="R546" s="4">
        <f t="shared" si="26"/>
        <v>7043889.5</v>
      </c>
    </row>
    <row r="547" spans="1:18">
      <c r="A547" s="1">
        <v>2</v>
      </c>
      <c r="B547" s="1" t="str">
        <f>"قطعات و لوازم يدكي"</f>
        <v>قطعات و لوازم يدكي</v>
      </c>
      <c r="C547" s="1">
        <v>101</v>
      </c>
      <c r="D547" s="1" t="str">
        <f>"انبار قطعات و لوازم يدكي اصفهان"</f>
        <v>انبار قطعات و لوازم يدكي اصفهان</v>
      </c>
      <c r="E547" s="1" t="str">
        <f>"3112711593"</f>
        <v>3112711593</v>
      </c>
      <c r="F547" s="1" t="str">
        <f>"گسگت سلو(gasket sleeve)"</f>
        <v>گسگت سلو(gasket sleeve)</v>
      </c>
      <c r="G547" s="1" t="str">
        <f>"عدد"</f>
        <v>عدد</v>
      </c>
      <c r="H547" s="1">
        <v>4</v>
      </c>
      <c r="I547" s="1">
        <v>18833136</v>
      </c>
      <c r="J547" s="1">
        <v>0</v>
      </c>
      <c r="K547" s="1">
        <v>0</v>
      </c>
      <c r="L547" s="1">
        <v>0</v>
      </c>
      <c r="M547" s="1">
        <v>0</v>
      </c>
      <c r="O547" s="1">
        <v>97</v>
      </c>
      <c r="P547" s="4">
        <f t="shared" si="24"/>
        <v>18833136</v>
      </c>
      <c r="Q547" s="4">
        <f t="shared" si="25"/>
        <v>4</v>
      </c>
      <c r="R547" s="4">
        <f t="shared" si="26"/>
        <v>4708284</v>
      </c>
    </row>
    <row r="548" spans="1:18">
      <c r="A548" s="1">
        <v>2</v>
      </c>
      <c r="B548" s="1" t="str">
        <f>"قطعات و لوازم يدكي"</f>
        <v>قطعات و لوازم يدكي</v>
      </c>
      <c r="C548" s="1">
        <v>101</v>
      </c>
      <c r="D548" s="1" t="str">
        <f>"انبار قطعات و لوازم يدكي اصفهان"</f>
        <v>انبار قطعات و لوازم يدكي اصفهان</v>
      </c>
      <c r="E548" s="1" t="str">
        <f>"3114810103"</f>
        <v>3114810103</v>
      </c>
      <c r="F548" s="1" t="str">
        <f>"اسكر ور رايچت مت ."</f>
        <v>اسكر ور رايچت مت .</v>
      </c>
      <c r="G548" s="1" t="str">
        <f>"عدد"</f>
        <v>عدد</v>
      </c>
      <c r="H548" s="1">
        <v>2</v>
      </c>
      <c r="I548" s="1">
        <v>185380</v>
      </c>
      <c r="J548" s="1">
        <v>0</v>
      </c>
      <c r="K548" s="1">
        <v>0</v>
      </c>
      <c r="L548" s="1">
        <v>0</v>
      </c>
      <c r="M548" s="1">
        <v>0</v>
      </c>
      <c r="O548" s="1">
        <v>97</v>
      </c>
      <c r="P548" s="4">
        <f t="shared" si="24"/>
        <v>185380</v>
      </c>
      <c r="Q548" s="4">
        <f t="shared" si="25"/>
        <v>2</v>
      </c>
      <c r="R548" s="4">
        <f t="shared" si="26"/>
        <v>92690</v>
      </c>
    </row>
    <row r="549" spans="1:18">
      <c r="A549" s="1">
        <v>2</v>
      </c>
      <c r="B549" s="1" t="str">
        <f>"قطعات و لوازم يدكي"</f>
        <v>قطعات و لوازم يدكي</v>
      </c>
      <c r="C549" s="1">
        <v>101</v>
      </c>
      <c r="D549" s="1" t="str">
        <f>"انبار قطعات و لوازم يدكي اصفهان"</f>
        <v>انبار قطعات و لوازم يدكي اصفهان</v>
      </c>
      <c r="E549" s="1" t="str">
        <f>"3114810622"</f>
        <v>3114810622</v>
      </c>
      <c r="F549" s="1" t="str">
        <f>"اورينگ 3-80  1002-p"</f>
        <v>اورينگ 3-80  1002-p</v>
      </c>
      <c r="G549" s="1" t="str">
        <f>"عدد"</f>
        <v>عدد</v>
      </c>
      <c r="H549" s="1">
        <v>20</v>
      </c>
      <c r="I549" s="1">
        <v>34999</v>
      </c>
      <c r="J549" s="1">
        <v>0</v>
      </c>
      <c r="K549" s="1">
        <v>0</v>
      </c>
      <c r="L549" s="1">
        <v>0</v>
      </c>
      <c r="M549" s="1">
        <v>0</v>
      </c>
      <c r="O549" s="1">
        <v>97</v>
      </c>
      <c r="P549" s="4">
        <f t="shared" si="24"/>
        <v>34999</v>
      </c>
      <c r="Q549" s="4">
        <f t="shared" si="25"/>
        <v>20</v>
      </c>
      <c r="R549" s="4">
        <f t="shared" si="26"/>
        <v>1749.95</v>
      </c>
    </row>
    <row r="550" spans="1:18">
      <c r="A550" s="1">
        <v>2</v>
      </c>
      <c r="B550" s="1" t="str">
        <f>"قطعات و لوازم يدكي"</f>
        <v>قطعات و لوازم يدكي</v>
      </c>
      <c r="C550" s="1">
        <v>101</v>
      </c>
      <c r="D550" s="1" t="str">
        <f>"انبار قطعات و لوازم يدكي اصفهان"</f>
        <v>انبار قطعات و لوازم يدكي اصفهان</v>
      </c>
      <c r="E550" s="1" t="str">
        <f>"3114812243"</f>
        <v>3114812243</v>
      </c>
      <c r="F550" s="1" t="str">
        <f>"کاسه نمد 10*72*55 A"</f>
        <v>کاسه نمد 10*72*55 A</v>
      </c>
      <c r="G550" s="1" t="str">
        <f>"عدد"</f>
        <v>عدد</v>
      </c>
      <c r="H550" s="1">
        <v>57</v>
      </c>
      <c r="I550" s="1">
        <v>20387731</v>
      </c>
      <c r="J550" s="1">
        <v>0</v>
      </c>
      <c r="K550" s="1">
        <v>0</v>
      </c>
      <c r="L550" s="1">
        <v>3</v>
      </c>
      <c r="M550" s="1">
        <v>1073038</v>
      </c>
      <c r="O550" s="1">
        <v>97</v>
      </c>
      <c r="P550" s="4">
        <f t="shared" si="24"/>
        <v>19314693</v>
      </c>
      <c r="Q550" s="4">
        <f t="shared" si="25"/>
        <v>54</v>
      </c>
      <c r="R550" s="4">
        <f t="shared" si="26"/>
        <v>357679.5</v>
      </c>
    </row>
    <row r="551" spans="1:18">
      <c r="A551" s="1">
        <v>2</v>
      </c>
      <c r="B551" s="1" t="str">
        <f>"قطعات و لوازم يدكي"</f>
        <v>قطعات و لوازم يدكي</v>
      </c>
      <c r="C551" s="1">
        <v>101</v>
      </c>
      <c r="D551" s="1" t="str">
        <f>"انبار قطعات و لوازم يدكي اصفهان"</f>
        <v>انبار قطعات و لوازم يدكي اصفهان</v>
      </c>
      <c r="E551" s="1" t="str">
        <f>"3114816323"</f>
        <v>3114816323</v>
      </c>
      <c r="F551" s="1" t="str">
        <f>"soft packing  ring"</f>
        <v>soft packing  ring</v>
      </c>
      <c r="G551" s="1" t="str">
        <f>"عدد"</f>
        <v>عدد</v>
      </c>
      <c r="H551" s="1">
        <v>16</v>
      </c>
      <c r="I551" s="1">
        <v>13366957</v>
      </c>
      <c r="J551" s="1">
        <v>0</v>
      </c>
      <c r="K551" s="1">
        <v>0</v>
      </c>
      <c r="L551" s="1">
        <v>0</v>
      </c>
      <c r="M551" s="1">
        <v>0</v>
      </c>
      <c r="O551" s="1">
        <v>97</v>
      </c>
      <c r="P551" s="4">
        <f t="shared" si="24"/>
        <v>13366957</v>
      </c>
      <c r="Q551" s="4">
        <f t="shared" si="25"/>
        <v>16</v>
      </c>
      <c r="R551" s="4">
        <f t="shared" si="26"/>
        <v>835434.8125</v>
      </c>
    </row>
    <row r="552" spans="1:18">
      <c r="A552" s="1">
        <v>2</v>
      </c>
      <c r="B552" s="1" t="str">
        <f>"قطعات و لوازم يدكي"</f>
        <v>قطعات و لوازم يدكي</v>
      </c>
      <c r="C552" s="1">
        <v>101</v>
      </c>
      <c r="D552" s="1" t="str">
        <f>"انبار قطعات و لوازم يدكي اصفهان"</f>
        <v>انبار قطعات و لوازم يدكي اصفهان</v>
      </c>
      <c r="E552" s="1" t="str">
        <f>"3300000023"</f>
        <v>3300000023</v>
      </c>
      <c r="F552" s="1" t="str">
        <f>"فيلتر ازاد کردن هوا"</f>
        <v>فيلتر ازاد کردن هوا</v>
      </c>
      <c r="G552" s="1" t="str">
        <f>"عدد"</f>
        <v>عدد</v>
      </c>
      <c r="H552" s="1">
        <v>2</v>
      </c>
      <c r="I552" s="1">
        <v>2000000</v>
      </c>
      <c r="J552" s="1">
        <v>0</v>
      </c>
      <c r="K552" s="1">
        <v>0</v>
      </c>
      <c r="L552" s="1">
        <v>0</v>
      </c>
      <c r="M552" s="1">
        <v>0</v>
      </c>
      <c r="O552" s="1">
        <v>97</v>
      </c>
      <c r="P552" s="4">
        <f t="shared" si="24"/>
        <v>2000000</v>
      </c>
      <c r="Q552" s="4">
        <f t="shared" si="25"/>
        <v>2</v>
      </c>
      <c r="R552" s="4">
        <f t="shared" si="26"/>
        <v>1000000</v>
      </c>
    </row>
    <row r="553" spans="1:18">
      <c r="A553" s="1">
        <v>2</v>
      </c>
      <c r="B553" s="1" t="str">
        <f>"قطعات و لوازم يدكي"</f>
        <v>قطعات و لوازم يدكي</v>
      </c>
      <c r="C553" s="1">
        <v>101</v>
      </c>
      <c r="D553" s="1" t="str">
        <f>"انبار قطعات و لوازم يدكي اصفهان"</f>
        <v>انبار قطعات و لوازم يدكي اصفهان</v>
      </c>
      <c r="E553" s="1" t="str">
        <f>"3300000053"</f>
        <v>3300000053</v>
      </c>
      <c r="F553" s="1" t="str">
        <f>"شافت P-1001"</f>
        <v>شافت P-1001</v>
      </c>
      <c r="G553" s="1" t="str">
        <f>"ST"</f>
        <v>ST</v>
      </c>
      <c r="H553" s="1">
        <v>1</v>
      </c>
      <c r="I553" s="1">
        <v>294000000</v>
      </c>
      <c r="J553" s="1">
        <v>0</v>
      </c>
      <c r="K553" s="1">
        <v>0</v>
      </c>
      <c r="L553" s="1">
        <v>0</v>
      </c>
      <c r="M553" s="1">
        <v>0</v>
      </c>
      <c r="O553" s="1">
        <v>97</v>
      </c>
      <c r="P553" s="4">
        <f t="shared" si="24"/>
        <v>294000000</v>
      </c>
      <c r="Q553" s="4">
        <f t="shared" si="25"/>
        <v>1</v>
      </c>
      <c r="R553" s="4">
        <f t="shared" si="26"/>
        <v>294000000</v>
      </c>
    </row>
    <row r="554" spans="1:18">
      <c r="A554" s="1">
        <v>2</v>
      </c>
      <c r="B554" s="1" t="str">
        <f>"قطعات و لوازم يدكي"</f>
        <v>قطعات و لوازم يدكي</v>
      </c>
      <c r="C554" s="1">
        <v>101</v>
      </c>
      <c r="D554" s="1" t="str">
        <f>"انبار قطعات و لوازم يدكي اصفهان"</f>
        <v>انبار قطعات و لوازم يدكي اصفهان</v>
      </c>
      <c r="E554" s="1" t="str">
        <f>"3114812443"</f>
        <v>3114812443</v>
      </c>
      <c r="F554" s="1" t="str">
        <f>"واشر 109"</f>
        <v>واشر 109</v>
      </c>
      <c r="G554" s="1" t="str">
        <f>"عدد"</f>
        <v>عدد</v>
      </c>
      <c r="H554" s="1">
        <v>12</v>
      </c>
      <c r="I554" s="1">
        <v>15000</v>
      </c>
      <c r="J554" s="1">
        <v>0</v>
      </c>
      <c r="K554" s="1">
        <v>0</v>
      </c>
      <c r="L554" s="1">
        <v>0</v>
      </c>
      <c r="M554" s="1">
        <v>0</v>
      </c>
      <c r="O554" s="1">
        <v>97</v>
      </c>
      <c r="P554" s="4">
        <f t="shared" si="24"/>
        <v>15000</v>
      </c>
      <c r="Q554" s="4">
        <f t="shared" si="25"/>
        <v>12</v>
      </c>
      <c r="R554" s="4">
        <f t="shared" si="26"/>
        <v>1250</v>
      </c>
    </row>
    <row r="555" spans="1:18">
      <c r="A555" s="1">
        <v>2</v>
      </c>
      <c r="B555" s="1" t="str">
        <f>"قطعات و لوازم يدكي"</f>
        <v>قطعات و لوازم يدكي</v>
      </c>
      <c r="C555" s="1">
        <v>101</v>
      </c>
      <c r="D555" s="1" t="str">
        <f>"انبار قطعات و لوازم يدكي اصفهان"</f>
        <v>انبار قطعات و لوازم يدكي اصفهان</v>
      </c>
      <c r="E555" s="1" t="str">
        <f>"3114812643"</f>
        <v>3114812643</v>
      </c>
      <c r="F555" s="1" t="str">
        <f>"ساپت پاگينگ رينگ 230"</f>
        <v>ساپت پاگينگ رينگ 230</v>
      </c>
      <c r="G555" s="1" t="str">
        <f>"عدد"</f>
        <v>عدد</v>
      </c>
      <c r="H555" s="1">
        <v>15</v>
      </c>
      <c r="I555" s="1">
        <v>150000</v>
      </c>
      <c r="J555" s="1">
        <v>0</v>
      </c>
      <c r="K555" s="1">
        <v>0</v>
      </c>
      <c r="L555" s="1">
        <v>0</v>
      </c>
      <c r="M555" s="1">
        <v>0</v>
      </c>
      <c r="O555" s="1">
        <v>97</v>
      </c>
      <c r="P555" s="4">
        <f t="shared" si="24"/>
        <v>150000</v>
      </c>
      <c r="Q555" s="4">
        <f t="shared" si="25"/>
        <v>15</v>
      </c>
      <c r="R555" s="4">
        <f t="shared" si="26"/>
        <v>10000</v>
      </c>
    </row>
    <row r="556" spans="1:18">
      <c r="A556" s="1">
        <v>2</v>
      </c>
      <c r="B556" s="1" t="str">
        <f>"قطعات و لوازم يدكي"</f>
        <v>قطعات و لوازم يدكي</v>
      </c>
      <c r="C556" s="1">
        <v>101</v>
      </c>
      <c r="D556" s="1" t="str">
        <f>"انبار قطعات و لوازم يدكي اصفهان"</f>
        <v>انبار قطعات و لوازم يدكي اصفهان</v>
      </c>
      <c r="E556" s="1" t="str">
        <f>"3114816003"</f>
        <v>3114816003</v>
      </c>
      <c r="F556" s="1" t="str">
        <f>"OIL SEAL 35  52   7"</f>
        <v>OIL SEAL 35  52   7</v>
      </c>
      <c r="G556" s="1" t="str">
        <f>"عدد"</f>
        <v>عدد</v>
      </c>
      <c r="H556" s="1">
        <v>0</v>
      </c>
      <c r="I556" s="1">
        <v>0</v>
      </c>
      <c r="J556" s="1">
        <v>16</v>
      </c>
      <c r="K556" s="1">
        <v>1568000</v>
      </c>
      <c r="L556" s="1">
        <v>4</v>
      </c>
      <c r="M556" s="1">
        <v>392000</v>
      </c>
      <c r="O556" s="1">
        <v>97</v>
      </c>
      <c r="P556" s="4">
        <f t="shared" si="24"/>
        <v>1176000</v>
      </c>
      <c r="Q556" s="4">
        <f t="shared" si="25"/>
        <v>12</v>
      </c>
      <c r="R556" s="4">
        <f t="shared" si="26"/>
        <v>98000</v>
      </c>
    </row>
    <row r="557" spans="1:18">
      <c r="A557" s="1">
        <v>2</v>
      </c>
      <c r="B557" s="1" t="str">
        <f>"قطعات و لوازم يدكي"</f>
        <v>قطعات و لوازم يدكي</v>
      </c>
      <c r="C557" s="1">
        <v>101</v>
      </c>
      <c r="D557" s="1" t="str">
        <f>"انبار قطعات و لوازم يدكي اصفهان"</f>
        <v>انبار قطعات و لوازم يدكي اصفهان</v>
      </c>
      <c r="E557" s="1" t="str">
        <f>"3114816023"</f>
        <v>3114816023</v>
      </c>
      <c r="F557" s="1" t="str">
        <f>"ROOL BEARING   NU206F"</f>
        <v>ROOL BEARING   NU206F</v>
      </c>
      <c r="G557" s="1" t="str">
        <f>"عدد"</f>
        <v>عدد</v>
      </c>
      <c r="H557" s="1">
        <v>0</v>
      </c>
      <c r="I557" s="1">
        <v>0</v>
      </c>
      <c r="J557" s="1">
        <v>4</v>
      </c>
      <c r="K557" s="1">
        <v>8800000</v>
      </c>
      <c r="L557" s="1">
        <v>2</v>
      </c>
      <c r="M557" s="1">
        <v>4400000</v>
      </c>
      <c r="O557" s="1">
        <v>97</v>
      </c>
      <c r="P557" s="4">
        <f t="shared" si="24"/>
        <v>4400000</v>
      </c>
      <c r="Q557" s="4">
        <f t="shared" si="25"/>
        <v>2</v>
      </c>
      <c r="R557" s="4">
        <f t="shared" si="26"/>
        <v>2200000</v>
      </c>
    </row>
    <row r="558" spans="1:18">
      <c r="A558" s="1">
        <v>2</v>
      </c>
      <c r="B558" s="1" t="str">
        <f>"قطعات و لوازم يدكي"</f>
        <v>قطعات و لوازم يدكي</v>
      </c>
      <c r="C558" s="1">
        <v>101</v>
      </c>
      <c r="D558" s="1" t="str">
        <f>"انبار قطعات و لوازم يدكي اصفهان"</f>
        <v>انبار قطعات و لوازم يدكي اصفهان</v>
      </c>
      <c r="E558" s="1" t="str">
        <f>"3114816113"</f>
        <v>3114816113</v>
      </c>
      <c r="F558" s="1" t="str">
        <f>"شافت سيل رينگ"</f>
        <v>شافت سيل رينگ</v>
      </c>
      <c r="G558" s="1" t="str">
        <f>"عدد"</f>
        <v>عدد</v>
      </c>
      <c r="H558" s="1">
        <v>2</v>
      </c>
      <c r="I558" s="1">
        <v>421895</v>
      </c>
      <c r="J558" s="1">
        <v>0</v>
      </c>
      <c r="K558" s="1">
        <v>0</v>
      </c>
      <c r="L558" s="1">
        <v>0</v>
      </c>
      <c r="M558" s="1">
        <v>0</v>
      </c>
      <c r="O558" s="1">
        <v>97</v>
      </c>
      <c r="P558" s="4">
        <f t="shared" si="24"/>
        <v>421895</v>
      </c>
      <c r="Q558" s="4">
        <f t="shared" si="25"/>
        <v>2</v>
      </c>
      <c r="R558" s="4">
        <f t="shared" si="26"/>
        <v>210947.5</v>
      </c>
    </row>
    <row r="559" spans="1:18">
      <c r="A559" s="1">
        <v>2</v>
      </c>
      <c r="B559" s="1" t="str">
        <f>"قطعات و لوازم يدكي"</f>
        <v>قطعات و لوازم يدكي</v>
      </c>
      <c r="C559" s="1">
        <v>101</v>
      </c>
      <c r="D559" s="1" t="str">
        <f>"انبار قطعات و لوازم يدكي اصفهان"</f>
        <v>انبار قطعات و لوازم يدكي اصفهان</v>
      </c>
      <c r="E559" s="1" t="str">
        <f>"3114816193"</f>
        <v>3114816193</v>
      </c>
      <c r="F559" s="1" t="str">
        <f>"گرو ود نت (grooved nut)"</f>
        <v>گرو ود نت (grooved nut)</v>
      </c>
      <c r="G559" s="1" t="str">
        <f>"عدد"</f>
        <v>عدد</v>
      </c>
      <c r="H559" s="1">
        <v>4</v>
      </c>
      <c r="I559" s="1">
        <v>17377045</v>
      </c>
      <c r="J559" s="1">
        <v>0</v>
      </c>
      <c r="K559" s="1">
        <v>0</v>
      </c>
      <c r="L559" s="1">
        <v>0</v>
      </c>
      <c r="M559" s="1">
        <v>0</v>
      </c>
      <c r="O559" s="1">
        <v>97</v>
      </c>
      <c r="P559" s="4">
        <f t="shared" si="24"/>
        <v>17377045</v>
      </c>
      <c r="Q559" s="4">
        <f t="shared" si="25"/>
        <v>4</v>
      </c>
      <c r="R559" s="4">
        <f t="shared" si="26"/>
        <v>4344261.25</v>
      </c>
    </row>
    <row r="560" spans="1:18">
      <c r="A560" s="1">
        <v>2</v>
      </c>
      <c r="B560" s="1" t="str">
        <f>"قطعات و لوازم يدكي"</f>
        <v>قطعات و لوازم يدكي</v>
      </c>
      <c r="C560" s="1">
        <v>101</v>
      </c>
      <c r="D560" s="1" t="str">
        <f>"انبار قطعات و لوازم يدكي اصفهان"</f>
        <v>انبار قطعات و لوازم يدكي اصفهان</v>
      </c>
      <c r="E560" s="1" t="str">
        <f>"3114816313"</f>
        <v>3114816313</v>
      </c>
      <c r="F560" s="1" t="str">
        <f>"اورينگ (o  ring)"</f>
        <v>اورينگ (o  ring)</v>
      </c>
      <c r="G560" s="1" t="str">
        <f>"عدد"</f>
        <v>عدد</v>
      </c>
      <c r="H560" s="1">
        <v>2</v>
      </c>
      <c r="I560" s="1">
        <v>501261</v>
      </c>
      <c r="J560" s="1">
        <v>0</v>
      </c>
      <c r="K560" s="1">
        <v>0</v>
      </c>
      <c r="L560" s="1">
        <v>0</v>
      </c>
      <c r="M560" s="1">
        <v>0</v>
      </c>
      <c r="O560" s="1">
        <v>97</v>
      </c>
      <c r="P560" s="4">
        <f t="shared" si="24"/>
        <v>501261</v>
      </c>
      <c r="Q560" s="4">
        <f t="shared" si="25"/>
        <v>2</v>
      </c>
      <c r="R560" s="4">
        <f t="shared" si="26"/>
        <v>250630.5</v>
      </c>
    </row>
    <row r="561" spans="1:18">
      <c r="A561" s="1">
        <v>2</v>
      </c>
      <c r="B561" s="1" t="str">
        <f>"قطعات و لوازم يدكي"</f>
        <v>قطعات و لوازم يدكي</v>
      </c>
      <c r="C561" s="1">
        <v>101</v>
      </c>
      <c r="D561" s="1" t="str">
        <f>"انبار قطعات و لوازم يدكي اصفهان"</f>
        <v>انبار قطعات و لوازم يدكي اصفهان</v>
      </c>
      <c r="E561" s="1" t="str">
        <f>"3114816403"</f>
        <v>3114816403</v>
      </c>
      <c r="F561" s="1" t="str">
        <f>"بوش 54/8 P-1001.P-1002C.P-1602 A/B/C"</f>
        <v>بوش 54/8 P-1001.P-1002C.P-1602 A/B/C</v>
      </c>
      <c r="G561" s="1" t="str">
        <f>"عدد"</f>
        <v>عدد</v>
      </c>
      <c r="H561" s="1">
        <v>5</v>
      </c>
      <c r="I561" s="1">
        <v>5000000</v>
      </c>
      <c r="J561" s="1">
        <v>0</v>
      </c>
      <c r="K561" s="1">
        <v>0</v>
      </c>
      <c r="L561" s="1">
        <v>0</v>
      </c>
      <c r="M561" s="1">
        <v>0</v>
      </c>
      <c r="O561" s="1">
        <v>97</v>
      </c>
      <c r="P561" s="4">
        <f t="shared" si="24"/>
        <v>5000000</v>
      </c>
      <c r="Q561" s="4">
        <f t="shared" si="25"/>
        <v>5</v>
      </c>
      <c r="R561" s="4">
        <f t="shared" si="26"/>
        <v>1000000</v>
      </c>
    </row>
    <row r="562" spans="1:18">
      <c r="A562" s="1">
        <v>2</v>
      </c>
      <c r="B562" s="1" t="str">
        <f>"قطعات و لوازم يدكي"</f>
        <v>قطعات و لوازم يدكي</v>
      </c>
      <c r="C562" s="1">
        <v>101</v>
      </c>
      <c r="D562" s="1" t="str">
        <f>"انبار قطعات و لوازم يدكي اصفهان"</f>
        <v>انبار قطعات و لوازم يدكي اصفهان</v>
      </c>
      <c r="E562" s="1" t="str">
        <f>"3371155103"</f>
        <v>3371155103</v>
      </c>
      <c r="F562" s="1" t="str">
        <f>"كاسكت بودي اند هوزينگ"</f>
        <v>كاسكت بودي اند هوزينگ</v>
      </c>
      <c r="G562" s="1" t="str">
        <f>"عدد"</f>
        <v>عدد</v>
      </c>
      <c r="H562" s="1">
        <v>7</v>
      </c>
      <c r="I562" s="1">
        <v>210984</v>
      </c>
      <c r="J562" s="1">
        <v>0</v>
      </c>
      <c r="K562" s="1">
        <v>0</v>
      </c>
      <c r="L562" s="1">
        <v>0</v>
      </c>
      <c r="M562" s="1">
        <v>0</v>
      </c>
      <c r="O562" s="1">
        <v>97</v>
      </c>
      <c r="P562" s="4">
        <f t="shared" si="24"/>
        <v>210984</v>
      </c>
      <c r="Q562" s="4">
        <f t="shared" si="25"/>
        <v>7</v>
      </c>
      <c r="R562" s="4">
        <f t="shared" si="26"/>
        <v>30140.571428571428</v>
      </c>
    </row>
    <row r="563" spans="1:18">
      <c r="A563" s="1">
        <v>2</v>
      </c>
      <c r="B563" s="1" t="str">
        <f>"قطعات و لوازم يدكي"</f>
        <v>قطعات و لوازم يدكي</v>
      </c>
      <c r="C563" s="1">
        <v>101</v>
      </c>
      <c r="D563" s="1" t="str">
        <f>"انبار قطعات و لوازم يدكي اصفهان"</f>
        <v>انبار قطعات و لوازم يدكي اصفهان</v>
      </c>
      <c r="E563" s="1" t="str">
        <f>"3371155193"</f>
        <v>3371155193</v>
      </c>
      <c r="F563" s="1" t="str">
        <f>"اورينگ رير كور وتن"</f>
        <v>اورينگ رير كور وتن</v>
      </c>
      <c r="G563" s="1" t="str">
        <f>"عدد"</f>
        <v>عدد</v>
      </c>
      <c r="H563" s="1">
        <v>13</v>
      </c>
      <c r="I563" s="1">
        <v>150760</v>
      </c>
      <c r="J563" s="1">
        <v>0</v>
      </c>
      <c r="K563" s="1">
        <v>0</v>
      </c>
      <c r="L563" s="1">
        <v>0</v>
      </c>
      <c r="M563" s="1">
        <v>0</v>
      </c>
      <c r="O563" s="1">
        <v>97</v>
      </c>
      <c r="P563" s="4">
        <f t="shared" si="24"/>
        <v>150760</v>
      </c>
      <c r="Q563" s="4">
        <f t="shared" si="25"/>
        <v>13</v>
      </c>
      <c r="R563" s="4">
        <f t="shared" si="26"/>
        <v>11596.923076923076</v>
      </c>
    </row>
    <row r="564" spans="1:18">
      <c r="A564" s="1">
        <v>2</v>
      </c>
      <c r="B564" s="1" t="str">
        <f>"قطعات و لوازم يدكي"</f>
        <v>قطعات و لوازم يدكي</v>
      </c>
      <c r="C564" s="1">
        <v>101</v>
      </c>
      <c r="D564" s="1" t="str">
        <f>"انبار قطعات و لوازم يدكي اصفهان"</f>
        <v>انبار قطعات و لوازم يدكي اصفهان</v>
      </c>
      <c r="E564" s="1" t="str">
        <f>"3371205543"</f>
        <v>3371205543</v>
      </c>
      <c r="F564" s="1" t="str">
        <f>"اسلينجر اويل"</f>
        <v>اسلينجر اويل</v>
      </c>
      <c r="G564" s="1" t="str">
        <f>"عدد"</f>
        <v>عدد</v>
      </c>
      <c r="H564" s="1">
        <v>5</v>
      </c>
      <c r="I564" s="1">
        <v>300841</v>
      </c>
      <c r="J564" s="1">
        <v>0</v>
      </c>
      <c r="K564" s="1">
        <v>0</v>
      </c>
      <c r="L564" s="1">
        <v>0</v>
      </c>
      <c r="M564" s="1">
        <v>0</v>
      </c>
      <c r="O564" s="1">
        <v>97</v>
      </c>
      <c r="P564" s="4">
        <f t="shared" si="24"/>
        <v>300841</v>
      </c>
      <c r="Q564" s="4">
        <f t="shared" si="25"/>
        <v>5</v>
      </c>
      <c r="R564" s="4">
        <f t="shared" si="26"/>
        <v>60168.2</v>
      </c>
    </row>
    <row r="565" spans="1:18">
      <c r="A565" s="1">
        <v>2</v>
      </c>
      <c r="B565" s="1" t="str">
        <f>"قطعات و لوازم يدكي"</f>
        <v>قطعات و لوازم يدكي</v>
      </c>
      <c r="C565" s="1">
        <v>101</v>
      </c>
      <c r="D565" s="1" t="str">
        <f>"انبار قطعات و لوازم يدكي اصفهان"</f>
        <v>انبار قطعات و لوازم يدكي اصفهان</v>
      </c>
      <c r="E565" s="1" t="str">
        <f>"3371205563"</f>
        <v>3371205563</v>
      </c>
      <c r="F565" s="1" t="s">
        <v>17</v>
      </c>
      <c r="G565" s="1" t="str">
        <f>"عدد"</f>
        <v>عدد</v>
      </c>
      <c r="H565" s="1">
        <v>8</v>
      </c>
      <c r="I565" s="1">
        <v>19940</v>
      </c>
      <c r="J565" s="1">
        <v>0</v>
      </c>
      <c r="K565" s="1">
        <v>0</v>
      </c>
      <c r="L565" s="1">
        <v>0</v>
      </c>
      <c r="M565" s="1">
        <v>0</v>
      </c>
      <c r="O565" s="1">
        <v>97</v>
      </c>
      <c r="P565" s="4">
        <f t="shared" si="24"/>
        <v>19940</v>
      </c>
      <c r="Q565" s="4">
        <f t="shared" si="25"/>
        <v>8</v>
      </c>
      <c r="R565" s="4">
        <f t="shared" si="26"/>
        <v>2492.5</v>
      </c>
    </row>
    <row r="566" spans="1:18">
      <c r="A566" s="1">
        <v>2</v>
      </c>
      <c r="B566" s="1" t="str">
        <f>"قطعات و لوازم يدكي"</f>
        <v>قطعات و لوازم يدكي</v>
      </c>
      <c r="C566" s="1">
        <v>101</v>
      </c>
      <c r="D566" s="1" t="str">
        <f>"انبار قطعات و لوازم يدكي اصفهان"</f>
        <v>انبار قطعات و لوازم يدكي اصفهان</v>
      </c>
      <c r="E566" s="1" t="str">
        <f>"3371205623"</f>
        <v>3371205623</v>
      </c>
      <c r="F566" s="1" t="str">
        <f>"كي كوپلينگ"</f>
        <v>كي كوپلينگ</v>
      </c>
      <c r="G566" s="1" t="str">
        <f>"عدد"</f>
        <v>عدد</v>
      </c>
      <c r="H566" s="1">
        <v>1</v>
      </c>
      <c r="I566" s="1">
        <v>384</v>
      </c>
      <c r="J566" s="1">
        <v>0</v>
      </c>
      <c r="K566" s="1">
        <v>0</v>
      </c>
      <c r="L566" s="1">
        <v>0</v>
      </c>
      <c r="M566" s="1">
        <v>0</v>
      </c>
      <c r="O566" s="1">
        <v>97</v>
      </c>
      <c r="P566" s="4">
        <f t="shared" si="24"/>
        <v>384</v>
      </c>
      <c r="Q566" s="4">
        <f t="shared" si="25"/>
        <v>1</v>
      </c>
      <c r="R566" s="4">
        <f t="shared" si="26"/>
        <v>384</v>
      </c>
    </row>
    <row r="567" spans="1:18">
      <c r="A567" s="1">
        <v>2</v>
      </c>
      <c r="B567" s="1" t="str">
        <f>"قطعات و لوازم يدكي"</f>
        <v>قطعات و لوازم يدكي</v>
      </c>
      <c r="C567" s="1">
        <v>101</v>
      </c>
      <c r="D567" s="1" t="str">
        <f>"انبار قطعات و لوازم يدكي اصفهان"</f>
        <v>انبار قطعات و لوازم يدكي اصفهان</v>
      </c>
      <c r="E567" s="1" t="str">
        <f>"3371205653"</f>
        <v>3371205653</v>
      </c>
      <c r="F567" s="1" t="str">
        <f>"اسنپ رينگ گر هوزينگ"</f>
        <v>اسنپ رينگ گر هوزينگ</v>
      </c>
      <c r="G567" s="1" t="str">
        <f>"عدد"</f>
        <v>عدد</v>
      </c>
      <c r="H567" s="1">
        <v>22</v>
      </c>
      <c r="I567" s="1">
        <v>22280</v>
      </c>
      <c r="J567" s="1">
        <v>0</v>
      </c>
      <c r="K567" s="1">
        <v>0</v>
      </c>
      <c r="L567" s="1">
        <v>0</v>
      </c>
      <c r="M567" s="1">
        <v>0</v>
      </c>
      <c r="O567" s="1">
        <v>97</v>
      </c>
      <c r="P567" s="4">
        <f t="shared" si="24"/>
        <v>22280</v>
      </c>
      <c r="Q567" s="4">
        <f t="shared" si="25"/>
        <v>22</v>
      </c>
      <c r="R567" s="4">
        <f t="shared" si="26"/>
        <v>1012.7272727272727</v>
      </c>
    </row>
    <row r="568" spans="1:18" hidden="1">
      <c r="A568" s="1">
        <v>2</v>
      </c>
      <c r="B568" s="1" t="str">
        <f>"قطعات و لوازم يدكي"</f>
        <v>قطعات و لوازم يدكي</v>
      </c>
      <c r="C568" s="1">
        <v>101</v>
      </c>
      <c r="D568" s="1" t="str">
        <f>"انبار قطعات و لوازم يدكي اصفهان"</f>
        <v>انبار قطعات و لوازم يدكي اصفهان</v>
      </c>
      <c r="E568" s="1" t="str">
        <f>"4301010173"</f>
        <v>4301010173</v>
      </c>
      <c r="F568" s="1" t="str">
        <f>"ORING (اورينگ گيريبکس همزن"</f>
        <v>ORING (اورينگ گيريبکس همزن</v>
      </c>
      <c r="G568" s="1" t="str">
        <f>"عدد"</f>
        <v>عدد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O568" s="1">
        <v>97</v>
      </c>
      <c r="P568" s="1">
        <f t="shared" si="24"/>
        <v>0</v>
      </c>
      <c r="Q568" s="1">
        <f t="shared" si="25"/>
        <v>0</v>
      </c>
      <c r="R568" s="1" t="e">
        <f t="shared" si="26"/>
        <v>#DIV/0!</v>
      </c>
    </row>
    <row r="569" spans="1:18">
      <c r="A569" s="1">
        <v>2</v>
      </c>
      <c r="B569" s="1" t="str">
        <f>"قطعات و لوازم يدكي"</f>
        <v>قطعات و لوازم يدكي</v>
      </c>
      <c r="C569" s="1">
        <v>101</v>
      </c>
      <c r="D569" s="1" t="str">
        <f>"انبار قطعات و لوازم يدكي اصفهان"</f>
        <v>انبار قطعات و لوازم يدكي اصفهان</v>
      </c>
      <c r="E569" s="1" t="str">
        <f>"4304021133"</f>
        <v>4304021133</v>
      </c>
      <c r="F569" s="1" t="str">
        <f>"ليول انديكاتور"</f>
        <v>ليول انديكاتور</v>
      </c>
      <c r="G569" s="1" t="str">
        <f>"عدد"</f>
        <v>عدد</v>
      </c>
      <c r="H569" s="1">
        <v>2</v>
      </c>
      <c r="I569" s="1">
        <v>170286</v>
      </c>
      <c r="J569" s="1">
        <v>0</v>
      </c>
      <c r="K569" s="1">
        <v>0</v>
      </c>
      <c r="L569" s="1">
        <v>0</v>
      </c>
      <c r="M569" s="1">
        <v>0</v>
      </c>
      <c r="O569" s="1">
        <v>97</v>
      </c>
      <c r="P569" s="4">
        <f t="shared" si="24"/>
        <v>170286</v>
      </c>
      <c r="Q569" s="4">
        <f t="shared" si="25"/>
        <v>2</v>
      </c>
      <c r="R569" s="4">
        <f t="shared" si="26"/>
        <v>85143</v>
      </c>
    </row>
    <row r="570" spans="1:18" hidden="1">
      <c r="A570" s="1">
        <v>2</v>
      </c>
      <c r="B570" s="1" t="str">
        <f>"قطعات و لوازم يدكي"</f>
        <v>قطعات و لوازم يدكي</v>
      </c>
      <c r="C570" s="1">
        <v>101</v>
      </c>
      <c r="D570" s="1" t="str">
        <f>"انبار قطعات و لوازم يدكي اصفهان"</f>
        <v>انبار قطعات و لوازم يدكي اصفهان</v>
      </c>
      <c r="E570" s="1" t="str">
        <f>"4304021273"</f>
        <v>4304021273</v>
      </c>
      <c r="F570" s="1" t="str">
        <f>"اورينگ 548.020"</f>
        <v>اورينگ 548.020</v>
      </c>
      <c r="G570" s="1" t="str">
        <f>"عدد"</f>
        <v>عدد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O570" s="1">
        <v>97</v>
      </c>
      <c r="P570" s="1">
        <f t="shared" si="24"/>
        <v>0</v>
      </c>
      <c r="Q570" s="1">
        <f t="shared" si="25"/>
        <v>0</v>
      </c>
      <c r="R570" s="1" t="e">
        <f t="shared" si="26"/>
        <v>#DIV/0!</v>
      </c>
    </row>
    <row r="571" spans="1:18">
      <c r="A571" s="1">
        <v>2</v>
      </c>
      <c r="B571" s="1" t="str">
        <f>"قطعات و لوازم يدكي"</f>
        <v>قطعات و لوازم يدكي</v>
      </c>
      <c r="C571" s="1">
        <v>101</v>
      </c>
      <c r="D571" s="1" t="str">
        <f>"انبار قطعات و لوازم يدكي اصفهان"</f>
        <v>انبار قطعات و لوازم يدكي اصفهان</v>
      </c>
      <c r="E571" s="1" t="str">
        <f>"4304021329"</f>
        <v>4304021329</v>
      </c>
      <c r="F571" s="1" t="str">
        <f>"برينگ هوزينگ"</f>
        <v>برينگ هوزينگ</v>
      </c>
      <c r="G571" s="1" t="str">
        <f>"عدد"</f>
        <v>عدد</v>
      </c>
      <c r="H571" s="1">
        <v>2</v>
      </c>
      <c r="I571" s="1">
        <v>6845481</v>
      </c>
      <c r="J571" s="1">
        <v>0</v>
      </c>
      <c r="K571" s="1">
        <v>0</v>
      </c>
      <c r="L571" s="1">
        <v>0</v>
      </c>
      <c r="M571" s="1">
        <v>0</v>
      </c>
      <c r="O571" s="1">
        <v>97</v>
      </c>
      <c r="P571" s="4">
        <f t="shared" si="24"/>
        <v>6845481</v>
      </c>
      <c r="Q571" s="4">
        <f t="shared" si="25"/>
        <v>2</v>
      </c>
      <c r="R571" s="4">
        <f t="shared" si="26"/>
        <v>3422740.5</v>
      </c>
    </row>
    <row r="572" spans="1:18">
      <c r="A572" s="1">
        <v>2</v>
      </c>
      <c r="B572" s="1" t="str">
        <f>"قطعات و لوازم يدكي"</f>
        <v>قطعات و لوازم يدكي</v>
      </c>
      <c r="C572" s="1">
        <v>101</v>
      </c>
      <c r="D572" s="1" t="str">
        <f>"انبار قطعات و لوازم يدكي اصفهان"</f>
        <v>انبار قطعات و لوازم يدكي اصفهان</v>
      </c>
      <c r="E572" s="1" t="str">
        <f>"4304021339"</f>
        <v>4304021339</v>
      </c>
      <c r="F572" s="1" t="str">
        <f>"برينگ لا نترين"</f>
        <v>برينگ لا نترين</v>
      </c>
      <c r="G572" s="1" t="str">
        <f>"عدد"</f>
        <v>عدد</v>
      </c>
      <c r="H572" s="1">
        <v>2</v>
      </c>
      <c r="I572" s="1">
        <v>24027299</v>
      </c>
      <c r="J572" s="1">
        <v>0</v>
      </c>
      <c r="K572" s="1">
        <v>0</v>
      </c>
      <c r="L572" s="1">
        <v>0</v>
      </c>
      <c r="M572" s="1">
        <v>0</v>
      </c>
      <c r="O572" s="1">
        <v>97</v>
      </c>
      <c r="P572" s="4">
        <f t="shared" si="24"/>
        <v>24027299</v>
      </c>
      <c r="Q572" s="4">
        <f t="shared" si="25"/>
        <v>2</v>
      </c>
      <c r="R572" s="4">
        <f t="shared" si="26"/>
        <v>12013649.5</v>
      </c>
    </row>
    <row r="573" spans="1:18">
      <c r="A573" s="1">
        <v>2</v>
      </c>
      <c r="B573" s="1" t="str">
        <f>"قطعات و لوازم يدكي"</f>
        <v>قطعات و لوازم يدكي</v>
      </c>
      <c r="C573" s="1">
        <v>101</v>
      </c>
      <c r="D573" s="1" t="str">
        <f>"انبار قطعات و لوازم يدكي اصفهان"</f>
        <v>انبار قطعات و لوازم يدكي اصفهان</v>
      </c>
      <c r="E573" s="1" t="str">
        <f>"4304021423"</f>
        <v>4304021423</v>
      </c>
      <c r="F573" s="1" t="str">
        <f>"سيالينگ هوزينگ"</f>
        <v>سيالينگ هوزينگ</v>
      </c>
      <c r="G573" s="1" t="str">
        <f>"عدد"</f>
        <v>عدد</v>
      </c>
      <c r="H573" s="1">
        <v>2</v>
      </c>
      <c r="I573" s="1">
        <v>9808451</v>
      </c>
      <c r="J573" s="1">
        <v>0</v>
      </c>
      <c r="K573" s="1">
        <v>0</v>
      </c>
      <c r="L573" s="1">
        <v>0</v>
      </c>
      <c r="M573" s="1">
        <v>0</v>
      </c>
      <c r="O573" s="1">
        <v>97</v>
      </c>
      <c r="P573" s="4">
        <f t="shared" si="24"/>
        <v>9808451</v>
      </c>
      <c r="Q573" s="4">
        <f t="shared" si="25"/>
        <v>2</v>
      </c>
      <c r="R573" s="4">
        <f t="shared" si="26"/>
        <v>4904225.5</v>
      </c>
    </row>
    <row r="574" spans="1:18">
      <c r="A574" s="1">
        <v>2</v>
      </c>
      <c r="B574" s="1" t="str">
        <f>"قطعات و لوازم يدكي"</f>
        <v>قطعات و لوازم يدكي</v>
      </c>
      <c r="C574" s="1">
        <v>101</v>
      </c>
      <c r="D574" s="1" t="str">
        <f>"انبار قطعات و لوازم يدكي اصفهان"</f>
        <v>انبار قطعات و لوازم يدكي اصفهان</v>
      </c>
      <c r="E574" s="1" t="str">
        <f>"4327020053"</f>
        <v>4327020053</v>
      </c>
      <c r="F574" s="1" t="str">
        <f>"گسکت E-1601A/B جهت تست"</f>
        <v>گسکت E-1601A/B جهت تست</v>
      </c>
      <c r="G574" s="1" t="str">
        <f>"عدد"</f>
        <v>عدد</v>
      </c>
      <c r="H574" s="1">
        <v>5</v>
      </c>
      <c r="I574" s="1">
        <v>5681128</v>
      </c>
      <c r="J574" s="1">
        <v>0</v>
      </c>
      <c r="K574" s="1">
        <v>0</v>
      </c>
      <c r="L574" s="1">
        <v>0</v>
      </c>
      <c r="M574" s="1">
        <v>0</v>
      </c>
      <c r="O574" s="1">
        <v>97</v>
      </c>
      <c r="P574" s="4">
        <f t="shared" si="24"/>
        <v>5681128</v>
      </c>
      <c r="Q574" s="4">
        <f t="shared" si="25"/>
        <v>5</v>
      </c>
      <c r="R574" s="4">
        <f t="shared" si="26"/>
        <v>1136225.6000000001</v>
      </c>
    </row>
    <row r="575" spans="1:18">
      <c r="A575" s="1">
        <v>2</v>
      </c>
      <c r="B575" s="1" t="str">
        <f>"قطعات و لوازم يدكي"</f>
        <v>قطعات و لوازم يدكي</v>
      </c>
      <c r="C575" s="1">
        <v>101</v>
      </c>
      <c r="D575" s="1" t="str">
        <f>"انبار قطعات و لوازم يدكي اصفهان"</f>
        <v>انبار قطعات و لوازم يدكي اصفهان</v>
      </c>
      <c r="E575" s="1" t="str">
        <f>"4327020072"</f>
        <v>4327020072</v>
      </c>
      <c r="F575" s="1" t="str">
        <f>"گسكت فلزي E-1601A/B (شل)"</f>
        <v>گسكت فلزي E-1601A/B (شل)</v>
      </c>
      <c r="G575" s="1" t="str">
        <f>"عدد"</f>
        <v>عدد</v>
      </c>
      <c r="H575" s="1">
        <v>11</v>
      </c>
      <c r="I575" s="1">
        <v>25389359</v>
      </c>
      <c r="J575" s="1">
        <v>0</v>
      </c>
      <c r="K575" s="1">
        <v>0</v>
      </c>
      <c r="L575" s="1">
        <v>2</v>
      </c>
      <c r="M575" s="1">
        <v>4616247</v>
      </c>
      <c r="O575" s="1">
        <v>97</v>
      </c>
      <c r="P575" s="4">
        <f t="shared" si="24"/>
        <v>20773112</v>
      </c>
      <c r="Q575" s="4">
        <f t="shared" si="25"/>
        <v>9</v>
      </c>
      <c r="R575" s="4">
        <f t="shared" si="26"/>
        <v>2308123.5555555555</v>
      </c>
    </row>
    <row r="576" spans="1:18">
      <c r="A576" s="1">
        <v>2</v>
      </c>
      <c r="B576" s="1" t="str">
        <f>"قطعات و لوازم يدكي"</f>
        <v>قطعات و لوازم يدكي</v>
      </c>
      <c r="C576" s="1">
        <v>101</v>
      </c>
      <c r="D576" s="1" t="str">
        <f>"انبار قطعات و لوازم يدكي اصفهان"</f>
        <v>انبار قطعات و لوازم يدكي اصفهان</v>
      </c>
      <c r="E576" s="1" t="str">
        <f>"4327020092"</f>
        <v>4327020092</v>
      </c>
      <c r="F576" s="1" t="str">
        <f>"گسكت فلزي E-1601A/B (چنل وچنل کاور)"</f>
        <v>گسكت فلزي E-1601A/B (چنل وچنل کاور)</v>
      </c>
      <c r="G576" s="1" t="str">
        <f>"عدد"</f>
        <v>عدد</v>
      </c>
      <c r="H576" s="1">
        <v>13</v>
      </c>
      <c r="I576" s="1">
        <v>28559234</v>
      </c>
      <c r="J576" s="1">
        <v>0</v>
      </c>
      <c r="K576" s="1">
        <v>0</v>
      </c>
      <c r="L576" s="1">
        <v>4</v>
      </c>
      <c r="M576" s="1">
        <v>8787456</v>
      </c>
      <c r="O576" s="1">
        <v>97</v>
      </c>
      <c r="P576" s="4">
        <f t="shared" si="24"/>
        <v>19771778</v>
      </c>
      <c r="Q576" s="4">
        <f t="shared" si="25"/>
        <v>9</v>
      </c>
      <c r="R576" s="4">
        <f t="shared" si="26"/>
        <v>2196864.222222222</v>
      </c>
    </row>
    <row r="577" spans="1:18">
      <c r="A577" s="1">
        <v>2</v>
      </c>
      <c r="B577" s="1" t="str">
        <f>"قطعات و لوازم يدكي"</f>
        <v>قطعات و لوازم يدكي</v>
      </c>
      <c r="C577" s="1">
        <v>101</v>
      </c>
      <c r="D577" s="1" t="str">
        <f>"انبار قطعات و لوازم يدكي اصفهان"</f>
        <v>انبار قطعات و لوازم يدكي اصفهان</v>
      </c>
      <c r="E577" s="1" t="str">
        <f>"4355418592"</f>
        <v>4355418592</v>
      </c>
      <c r="F577" s="1" t="str">
        <f>"خازن بلور فن سايز 13.19.27"</f>
        <v>خازن بلور فن سايز 13.19.27</v>
      </c>
      <c r="G577" s="1" t="str">
        <f>"ST"</f>
        <v>ST</v>
      </c>
      <c r="H577" s="1">
        <v>3</v>
      </c>
      <c r="I577" s="1">
        <v>1776000</v>
      </c>
      <c r="J577" s="1">
        <v>0</v>
      </c>
      <c r="K577" s="1">
        <v>0</v>
      </c>
      <c r="L577" s="1">
        <v>0</v>
      </c>
      <c r="M577" s="1">
        <v>0</v>
      </c>
      <c r="O577" s="1">
        <v>97</v>
      </c>
      <c r="P577" s="4">
        <f t="shared" si="24"/>
        <v>1776000</v>
      </c>
      <c r="Q577" s="4">
        <f t="shared" si="25"/>
        <v>3</v>
      </c>
      <c r="R577" s="4">
        <f t="shared" si="26"/>
        <v>592000</v>
      </c>
    </row>
    <row r="578" spans="1:18" hidden="1">
      <c r="A578" s="1">
        <v>2</v>
      </c>
      <c r="B578" s="1" t="str">
        <f>"قطعات و لوازم يدكي"</f>
        <v>قطعات و لوازم يدكي</v>
      </c>
      <c r="C578" s="1">
        <v>101</v>
      </c>
      <c r="D578" s="1" t="str">
        <f>"انبار قطعات و لوازم يدكي اصفهان"</f>
        <v>انبار قطعات و لوازم يدكي اصفهان</v>
      </c>
      <c r="E578" s="1" t="str">
        <f>"5800083182"</f>
        <v>5800083182</v>
      </c>
      <c r="F578" s="1" t="str">
        <f>"BALL BEARING 6218 RS"</f>
        <v>BALL BEARING 6218 RS</v>
      </c>
      <c r="G578" s="1" t="str">
        <f>"عدد"</f>
        <v>عدد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O578" s="1">
        <v>97</v>
      </c>
      <c r="P578" s="1">
        <f t="shared" si="24"/>
        <v>0</v>
      </c>
      <c r="Q578" s="1">
        <f t="shared" si="25"/>
        <v>0</v>
      </c>
      <c r="R578" s="1" t="e">
        <f t="shared" si="26"/>
        <v>#DIV/0!</v>
      </c>
    </row>
    <row r="579" spans="1:18">
      <c r="A579" s="1">
        <v>2</v>
      </c>
      <c r="B579" s="1" t="str">
        <f>"قطعات و لوازم يدكي"</f>
        <v>قطعات و لوازم يدكي</v>
      </c>
      <c r="C579" s="1">
        <v>101</v>
      </c>
      <c r="D579" s="1" t="str">
        <f>"انبار قطعات و لوازم يدكي اصفهان"</f>
        <v>انبار قطعات و لوازم يدكي اصفهان</v>
      </c>
      <c r="E579" s="1" t="str">
        <f>"5800146162"</f>
        <v>5800146162</v>
      </c>
      <c r="F579" s="1" t="str">
        <f>"بال بيرينگ  6316"</f>
        <v>بال بيرينگ  6316</v>
      </c>
      <c r="G579" s="1" t="str">
        <f>"عدد"</f>
        <v>عدد</v>
      </c>
      <c r="H579" s="1">
        <v>15</v>
      </c>
      <c r="I579" s="1">
        <v>7650000</v>
      </c>
      <c r="J579" s="1">
        <v>0</v>
      </c>
      <c r="K579" s="1">
        <v>0</v>
      </c>
      <c r="L579" s="1">
        <v>2</v>
      </c>
      <c r="M579" s="1">
        <v>1020000</v>
      </c>
      <c r="O579" s="1">
        <v>97</v>
      </c>
      <c r="P579" s="4">
        <f t="shared" ref="P579:P642" si="27">I579+K579-M579</f>
        <v>6630000</v>
      </c>
      <c r="Q579" s="4">
        <f t="shared" ref="Q579:Q642" si="28">H579+J579-L579</f>
        <v>13</v>
      </c>
      <c r="R579" s="4">
        <f t="shared" ref="R579:R642" si="29">P579/Q579</f>
        <v>510000</v>
      </c>
    </row>
    <row r="580" spans="1:18">
      <c r="A580" s="1">
        <v>2</v>
      </c>
      <c r="B580" s="1" t="str">
        <f>"قطعات و لوازم يدكي"</f>
        <v>قطعات و لوازم يدكي</v>
      </c>
      <c r="C580" s="1">
        <v>101</v>
      </c>
      <c r="D580" s="1" t="str">
        <f>"انبار قطعات و لوازم يدكي اصفهان"</f>
        <v>انبار قطعات و لوازم يدكي اصفهان</v>
      </c>
      <c r="E580" s="1" t="str">
        <f>"5800146172"</f>
        <v>5800146172</v>
      </c>
      <c r="F580" s="1" t="str">
        <f>"بال بيرينگ 6317 /C3"</f>
        <v>بال بيرينگ 6317 /C3</v>
      </c>
      <c r="G580" s="1" t="str">
        <f>"عدد"</f>
        <v>عدد</v>
      </c>
      <c r="H580" s="1">
        <v>4</v>
      </c>
      <c r="I580" s="1">
        <v>9960000</v>
      </c>
      <c r="J580" s="1">
        <v>0</v>
      </c>
      <c r="K580" s="1">
        <v>0</v>
      </c>
      <c r="L580" s="1">
        <v>0</v>
      </c>
      <c r="M580" s="1">
        <v>0</v>
      </c>
      <c r="O580" s="1">
        <v>97</v>
      </c>
      <c r="P580" s="4">
        <f t="shared" si="27"/>
        <v>9960000</v>
      </c>
      <c r="Q580" s="4">
        <f t="shared" si="28"/>
        <v>4</v>
      </c>
      <c r="R580" s="4">
        <f t="shared" si="29"/>
        <v>2490000</v>
      </c>
    </row>
    <row r="581" spans="1:18">
      <c r="A581" s="1">
        <v>2</v>
      </c>
      <c r="B581" s="1" t="str">
        <f>"قطعات و لوازم يدكي"</f>
        <v>قطعات و لوازم يدكي</v>
      </c>
      <c r="C581" s="1">
        <v>101</v>
      </c>
      <c r="D581" s="1" t="str">
        <f>"انبار قطعات و لوازم يدكي اصفهان"</f>
        <v>انبار قطعات و لوازم يدكي اصفهان</v>
      </c>
      <c r="E581" s="1" t="str">
        <f>"5800168092"</f>
        <v>5800168092</v>
      </c>
      <c r="F581" s="1" t="str">
        <f>"بال بيرينگ  6309zz"</f>
        <v>بال بيرينگ  6309zz</v>
      </c>
      <c r="G581" s="1" t="str">
        <f>"عدد"</f>
        <v>عدد</v>
      </c>
      <c r="H581" s="1">
        <v>19</v>
      </c>
      <c r="I581" s="1">
        <v>2388300</v>
      </c>
      <c r="J581" s="1">
        <v>0</v>
      </c>
      <c r="K581" s="1">
        <v>0</v>
      </c>
      <c r="L581" s="1">
        <v>0</v>
      </c>
      <c r="M581" s="1">
        <v>0</v>
      </c>
      <c r="O581" s="1">
        <v>97</v>
      </c>
      <c r="P581" s="4">
        <f t="shared" si="27"/>
        <v>2388300</v>
      </c>
      <c r="Q581" s="4">
        <f t="shared" si="28"/>
        <v>19</v>
      </c>
      <c r="R581" s="4">
        <f t="shared" si="29"/>
        <v>125700</v>
      </c>
    </row>
    <row r="582" spans="1:18">
      <c r="A582" s="1">
        <v>2</v>
      </c>
      <c r="B582" s="1" t="str">
        <f>"قطعات و لوازم يدكي"</f>
        <v>قطعات و لوازم يدكي</v>
      </c>
      <c r="C582" s="1">
        <v>101</v>
      </c>
      <c r="D582" s="1" t="str">
        <f>"انبار قطعات و لوازم يدكي اصفهان"</f>
        <v>انبار قطعات و لوازم يدكي اصفهان</v>
      </c>
      <c r="E582" s="1" t="str">
        <f>"5800564152"</f>
        <v>5800564152</v>
      </c>
      <c r="F582" s="1" t="str">
        <f>"بال بيرينگ  nu215"</f>
        <v>بال بيرينگ  nu215</v>
      </c>
      <c r="G582" s="1" t="str">
        <f>"عدد"</f>
        <v>عدد</v>
      </c>
      <c r="H582" s="1">
        <v>20</v>
      </c>
      <c r="I582" s="1">
        <v>9200000</v>
      </c>
      <c r="J582" s="1">
        <v>0</v>
      </c>
      <c r="K582" s="1">
        <v>0</v>
      </c>
      <c r="L582" s="1">
        <v>0</v>
      </c>
      <c r="M582" s="1">
        <v>0</v>
      </c>
      <c r="O582" s="1">
        <v>97</v>
      </c>
      <c r="P582" s="4">
        <f t="shared" si="27"/>
        <v>9200000</v>
      </c>
      <c r="Q582" s="4">
        <f t="shared" si="28"/>
        <v>20</v>
      </c>
      <c r="R582" s="4">
        <f t="shared" si="29"/>
        <v>460000</v>
      </c>
    </row>
    <row r="583" spans="1:18">
      <c r="A583" s="1">
        <v>2</v>
      </c>
      <c r="B583" s="1" t="str">
        <f>"قطعات و لوازم يدكي"</f>
        <v>قطعات و لوازم يدكي</v>
      </c>
      <c r="C583" s="1">
        <v>101</v>
      </c>
      <c r="D583" s="1" t="str">
        <f>"انبار قطعات و لوازم يدكي اصفهان"</f>
        <v>انبار قطعات و لوازم يدكي اصفهان</v>
      </c>
      <c r="E583" s="1" t="str">
        <f>"5800745582"</f>
        <v>5800745582</v>
      </c>
      <c r="F583" s="1" t="str">
        <f>"ROOL BEARING NU2308"</f>
        <v>ROOL BEARING NU2308</v>
      </c>
      <c r="G583" s="1" t="str">
        <f>"عدد"</f>
        <v>عدد</v>
      </c>
      <c r="H583" s="1">
        <v>35</v>
      </c>
      <c r="I583" s="1">
        <v>56375000</v>
      </c>
      <c r="J583" s="1">
        <v>0</v>
      </c>
      <c r="K583" s="1">
        <v>0</v>
      </c>
      <c r="L583" s="1">
        <v>2</v>
      </c>
      <c r="M583" s="1">
        <v>3221429</v>
      </c>
      <c r="O583" s="1">
        <v>97</v>
      </c>
      <c r="P583" s="4">
        <f t="shared" si="27"/>
        <v>53153571</v>
      </c>
      <c r="Q583" s="4">
        <f t="shared" si="28"/>
        <v>33</v>
      </c>
      <c r="R583" s="4">
        <f t="shared" si="29"/>
        <v>1610714.2727272727</v>
      </c>
    </row>
    <row r="584" spans="1:18">
      <c r="A584" s="1">
        <v>2</v>
      </c>
      <c r="B584" s="1" t="str">
        <f>"قطعات و لوازم يدكي"</f>
        <v>قطعات و لوازم يدكي</v>
      </c>
      <c r="C584" s="1">
        <v>101</v>
      </c>
      <c r="D584" s="1" t="str">
        <f>"انبار قطعات و لوازم يدكي اصفهان"</f>
        <v>انبار قطعات و لوازم يدكي اصفهان</v>
      </c>
      <c r="E584" s="1" t="str">
        <f>"5806204082"</f>
        <v>5806204082</v>
      </c>
      <c r="F584" s="1" t="str">
        <f>"ROLL BEARING NU2208 ECP C3"</f>
        <v>ROLL BEARING NU2208 ECP C3</v>
      </c>
      <c r="G584" s="1" t="str">
        <f>"عدد"</f>
        <v>عدد</v>
      </c>
      <c r="H584" s="1">
        <v>4</v>
      </c>
      <c r="I584" s="1">
        <v>5560000</v>
      </c>
      <c r="J584" s="1">
        <v>0</v>
      </c>
      <c r="K584" s="1">
        <v>0</v>
      </c>
      <c r="L584" s="1">
        <v>0</v>
      </c>
      <c r="M584" s="1">
        <v>0</v>
      </c>
      <c r="O584" s="1">
        <v>97</v>
      </c>
      <c r="P584" s="4">
        <f t="shared" si="27"/>
        <v>5560000</v>
      </c>
      <c r="Q584" s="4">
        <f t="shared" si="28"/>
        <v>4</v>
      </c>
      <c r="R584" s="4">
        <f t="shared" si="29"/>
        <v>1390000</v>
      </c>
    </row>
    <row r="585" spans="1:18">
      <c r="A585" s="1">
        <v>2</v>
      </c>
      <c r="B585" s="1" t="str">
        <f>"قطعات و لوازم يدكي"</f>
        <v>قطعات و لوازم يدكي</v>
      </c>
      <c r="C585" s="1">
        <v>101</v>
      </c>
      <c r="D585" s="1" t="str">
        <f>"انبار قطعات و لوازم يدكي اصفهان"</f>
        <v>انبار قطعات و لوازم يدكي اصفهان</v>
      </c>
      <c r="E585" s="1" t="str">
        <f>"5870277132"</f>
        <v>5870277132</v>
      </c>
      <c r="F585" s="1" t="str">
        <f>"کارتريج واش آپ"</f>
        <v>کارتريج واش آپ</v>
      </c>
      <c r="G585" s="1" t="str">
        <f>"عدد"</f>
        <v>عدد</v>
      </c>
      <c r="H585" s="1">
        <v>40</v>
      </c>
      <c r="I585" s="1">
        <v>143296689</v>
      </c>
      <c r="J585" s="1">
        <v>50</v>
      </c>
      <c r="K585" s="1">
        <v>297500000</v>
      </c>
      <c r="L585" s="1">
        <v>70</v>
      </c>
      <c r="M585" s="1">
        <v>329688632</v>
      </c>
      <c r="O585" s="1">
        <v>97</v>
      </c>
      <c r="P585" s="4">
        <f t="shared" si="27"/>
        <v>111108057</v>
      </c>
      <c r="Q585" s="4">
        <f t="shared" si="28"/>
        <v>20</v>
      </c>
      <c r="R585" s="4">
        <f t="shared" si="29"/>
        <v>5555402.8499999996</v>
      </c>
    </row>
    <row r="586" spans="1:18">
      <c r="A586" s="1">
        <v>2</v>
      </c>
      <c r="B586" s="1" t="str">
        <f>"قطعات و لوازم يدكي"</f>
        <v>قطعات و لوازم يدكي</v>
      </c>
      <c r="C586" s="1">
        <v>101</v>
      </c>
      <c r="D586" s="1" t="str">
        <f>"انبار قطعات و لوازم يدكي اصفهان"</f>
        <v>انبار قطعات و لوازم يدكي اصفهان</v>
      </c>
      <c r="E586" s="1" t="str">
        <f>"5905253183"</f>
        <v>5905253183</v>
      </c>
      <c r="F586" s="1" t="str">
        <f>"METER DRIVEراه اندازه گير"</f>
        <v>METER DRIVEراه اندازه گير</v>
      </c>
      <c r="G586" s="1" t="str">
        <f>"عدد"</f>
        <v>عدد</v>
      </c>
      <c r="H586" s="1">
        <v>3</v>
      </c>
      <c r="I586" s="1">
        <v>94489</v>
      </c>
      <c r="J586" s="1">
        <v>0</v>
      </c>
      <c r="K586" s="1">
        <v>0</v>
      </c>
      <c r="L586" s="1">
        <v>0</v>
      </c>
      <c r="M586" s="1">
        <v>0</v>
      </c>
      <c r="O586" s="1">
        <v>97</v>
      </c>
      <c r="P586" s="4">
        <f t="shared" si="27"/>
        <v>94489</v>
      </c>
      <c r="Q586" s="4">
        <f t="shared" si="28"/>
        <v>3</v>
      </c>
      <c r="R586" s="4">
        <f t="shared" si="29"/>
        <v>31496.333333333332</v>
      </c>
    </row>
    <row r="587" spans="1:18">
      <c r="A587" s="1">
        <v>2</v>
      </c>
      <c r="B587" s="1" t="str">
        <f>"قطعات و لوازم يدكي"</f>
        <v>قطعات و لوازم يدكي</v>
      </c>
      <c r="C587" s="1">
        <v>101</v>
      </c>
      <c r="D587" s="1" t="str">
        <f>"انبار قطعات و لوازم يدكي اصفهان"</f>
        <v>انبار قطعات و لوازم يدكي اصفهان</v>
      </c>
      <c r="E587" s="1" t="str">
        <f>"5920391533"</f>
        <v>5920391533</v>
      </c>
      <c r="F587" s="1" t="str">
        <f>"برد"</f>
        <v>برد</v>
      </c>
      <c r="G587" s="1" t="str">
        <f>"عدد"</f>
        <v>عدد</v>
      </c>
      <c r="H587" s="1">
        <v>1</v>
      </c>
      <c r="I587" s="1">
        <v>51600000</v>
      </c>
      <c r="J587" s="1">
        <v>0</v>
      </c>
      <c r="K587" s="1">
        <v>0</v>
      </c>
      <c r="L587" s="1">
        <v>0</v>
      </c>
      <c r="M587" s="1">
        <v>0</v>
      </c>
      <c r="O587" s="1">
        <v>97</v>
      </c>
      <c r="P587" s="4">
        <f t="shared" si="27"/>
        <v>51600000</v>
      </c>
      <c r="Q587" s="4">
        <f t="shared" si="28"/>
        <v>1</v>
      </c>
      <c r="R587" s="4">
        <f t="shared" si="29"/>
        <v>51600000</v>
      </c>
    </row>
    <row r="588" spans="1:18">
      <c r="A588" s="1">
        <v>2</v>
      </c>
      <c r="B588" s="1" t="str">
        <f>"قطعات و لوازم يدكي"</f>
        <v>قطعات و لوازم يدكي</v>
      </c>
      <c r="C588" s="1">
        <v>101</v>
      </c>
      <c r="D588" s="1" t="str">
        <f>"انبار قطعات و لوازم يدكي اصفهان"</f>
        <v>انبار قطعات و لوازم يدكي اصفهان</v>
      </c>
      <c r="E588" s="1" t="str">
        <f>"5923739806"</f>
        <v>5923739806</v>
      </c>
      <c r="F588" s="1" t="str">
        <f>"بال ست"</f>
        <v>بال ست</v>
      </c>
      <c r="G588" s="1" t="str">
        <f>"عدد"</f>
        <v>عدد</v>
      </c>
      <c r="H588" s="1">
        <v>6</v>
      </c>
      <c r="I588" s="1">
        <v>821403</v>
      </c>
      <c r="J588" s="1">
        <v>0</v>
      </c>
      <c r="K588" s="1">
        <v>0</v>
      </c>
      <c r="L588" s="1">
        <v>0</v>
      </c>
      <c r="M588" s="1">
        <v>0</v>
      </c>
      <c r="O588" s="1">
        <v>97</v>
      </c>
      <c r="P588" s="4">
        <f t="shared" si="27"/>
        <v>821403</v>
      </c>
      <c r="Q588" s="4">
        <f t="shared" si="28"/>
        <v>6</v>
      </c>
      <c r="R588" s="4">
        <f t="shared" si="29"/>
        <v>136900.5</v>
      </c>
    </row>
    <row r="589" spans="1:18">
      <c r="A589" s="1">
        <v>2</v>
      </c>
      <c r="B589" s="1" t="str">
        <f>"قطعات و لوازم يدكي"</f>
        <v>قطعات و لوازم يدكي</v>
      </c>
      <c r="C589" s="1">
        <v>101</v>
      </c>
      <c r="D589" s="1" t="str">
        <f>"انبار قطعات و لوازم يدكي اصفهان"</f>
        <v>انبار قطعات و لوازم يدكي اصفهان</v>
      </c>
      <c r="E589" s="1" t="str">
        <f>"5923754143"</f>
        <v>5923754143</v>
      </c>
      <c r="F589" s="1" t="str">
        <f>"والو پلوگ"</f>
        <v>والو پلوگ</v>
      </c>
      <c r="G589" s="1" t="str">
        <f>"عدد"</f>
        <v>عدد</v>
      </c>
      <c r="H589" s="1">
        <v>4</v>
      </c>
      <c r="I589" s="1">
        <v>88748514</v>
      </c>
      <c r="J589" s="1">
        <v>0</v>
      </c>
      <c r="K589" s="1">
        <v>0</v>
      </c>
      <c r="L589" s="1">
        <v>0</v>
      </c>
      <c r="M589" s="1">
        <v>0</v>
      </c>
      <c r="O589" s="1">
        <v>97</v>
      </c>
      <c r="P589" s="4">
        <f t="shared" si="27"/>
        <v>88748514</v>
      </c>
      <c r="Q589" s="4">
        <f t="shared" si="28"/>
        <v>4</v>
      </c>
      <c r="R589" s="4">
        <f t="shared" si="29"/>
        <v>22187128.5</v>
      </c>
    </row>
    <row r="590" spans="1:18">
      <c r="A590" s="1">
        <v>2</v>
      </c>
      <c r="B590" s="1" t="str">
        <f>"قطعات و لوازم يدكي"</f>
        <v>قطعات و لوازم يدكي</v>
      </c>
      <c r="C590" s="1">
        <v>101</v>
      </c>
      <c r="D590" s="1" t="str">
        <f>"انبار قطعات و لوازم يدكي اصفهان"</f>
        <v>انبار قطعات و لوازم يدكي اصفهان</v>
      </c>
      <c r="E590" s="1" t="str">
        <f>"5923754153"</f>
        <v>5923754153</v>
      </c>
      <c r="F590" s="1" t="str">
        <f>"ست رينگ"</f>
        <v>ست رينگ</v>
      </c>
      <c r="G590" s="1" t="str">
        <f>"عدد"</f>
        <v>عدد</v>
      </c>
      <c r="H590" s="1">
        <v>4</v>
      </c>
      <c r="I590" s="1">
        <v>41803354</v>
      </c>
      <c r="J590" s="1">
        <v>0</v>
      </c>
      <c r="K590" s="1">
        <v>0</v>
      </c>
      <c r="L590" s="1">
        <v>0</v>
      </c>
      <c r="M590" s="1">
        <v>0</v>
      </c>
      <c r="O590" s="1">
        <v>97</v>
      </c>
      <c r="P590" s="4">
        <f t="shared" si="27"/>
        <v>41803354</v>
      </c>
      <c r="Q590" s="4">
        <f t="shared" si="28"/>
        <v>4</v>
      </c>
      <c r="R590" s="4">
        <f t="shared" si="29"/>
        <v>10450838.5</v>
      </c>
    </row>
    <row r="591" spans="1:18" hidden="1">
      <c r="A591" s="1">
        <v>2</v>
      </c>
      <c r="B591" s="1" t="str">
        <f>"قطعات و لوازم يدكي"</f>
        <v>قطعات و لوازم يدكي</v>
      </c>
      <c r="C591" s="1">
        <v>101</v>
      </c>
      <c r="D591" s="1" t="str">
        <f>"انبار قطعات و لوازم يدكي اصفهان"</f>
        <v>انبار قطعات و لوازم يدكي اصفهان</v>
      </c>
      <c r="E591" s="1" t="str">
        <f>"3113300013"</f>
        <v>3113300013</v>
      </c>
      <c r="F591" s="1" t="str">
        <f>"OIL SEAL 50  72  10 P-Leitritz"</f>
        <v>OIL SEAL 50  72  10 P-Leitritz</v>
      </c>
      <c r="G591" s="1" t="str">
        <f>"عدد"</f>
        <v>عدد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O591" s="1">
        <v>97</v>
      </c>
      <c r="P591" s="1">
        <f t="shared" si="27"/>
        <v>0</v>
      </c>
      <c r="Q591" s="1">
        <f t="shared" si="28"/>
        <v>0</v>
      </c>
      <c r="R591" s="1" t="e">
        <f t="shared" si="29"/>
        <v>#DIV/0!</v>
      </c>
    </row>
    <row r="592" spans="1:18" hidden="1">
      <c r="A592" s="1">
        <v>2</v>
      </c>
      <c r="B592" s="1" t="str">
        <f>"قطعات و لوازم يدكي"</f>
        <v>قطعات و لوازم يدكي</v>
      </c>
      <c r="C592" s="1">
        <v>101</v>
      </c>
      <c r="D592" s="1" t="str">
        <f>"انبار قطعات و لوازم يدكي اصفهان"</f>
        <v>انبار قطعات و لوازم يدكي اصفهان</v>
      </c>
      <c r="E592" s="1" t="str">
        <f>"3113300023"</f>
        <v>3113300023</v>
      </c>
      <c r="F592" s="1" t="str">
        <f>"ORING 90 x5  P-Leistritz"</f>
        <v>ORING 90 x5  P-Leistritz</v>
      </c>
      <c r="G592" s="1" t="str">
        <f>"عدد"</f>
        <v>عدد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O592" s="1">
        <v>97</v>
      </c>
      <c r="P592" s="1">
        <f t="shared" si="27"/>
        <v>0</v>
      </c>
      <c r="Q592" s="1">
        <f t="shared" si="28"/>
        <v>0</v>
      </c>
      <c r="R592" s="1" t="e">
        <f t="shared" si="29"/>
        <v>#DIV/0!</v>
      </c>
    </row>
    <row r="593" spans="1:18">
      <c r="A593" s="1">
        <v>2</v>
      </c>
      <c r="B593" s="1" t="str">
        <f>"قطعات و لوازم يدكي"</f>
        <v>قطعات و لوازم يدكي</v>
      </c>
      <c r="C593" s="1">
        <v>101</v>
      </c>
      <c r="D593" s="1" t="str">
        <f>"انبار قطعات و لوازم يدكي اصفهان"</f>
        <v>انبار قطعات و لوازم يدكي اصفهان</v>
      </c>
      <c r="E593" s="1" t="str">
        <f>"3114810543"</f>
        <v>3114810543</v>
      </c>
      <c r="F593" s="1" t="str">
        <f>"اورينگ(متوسط) P-1001C"</f>
        <v>اورينگ(متوسط) P-1001C</v>
      </c>
      <c r="G593" s="1" t="str">
        <f>"عدد"</f>
        <v>عدد</v>
      </c>
      <c r="H593" s="1">
        <v>8</v>
      </c>
      <c r="I593" s="1">
        <v>24000</v>
      </c>
      <c r="J593" s="1">
        <v>0</v>
      </c>
      <c r="K593" s="1">
        <v>0</v>
      </c>
      <c r="L593" s="1">
        <v>0</v>
      </c>
      <c r="M593" s="1">
        <v>0</v>
      </c>
      <c r="O593" s="1">
        <v>97</v>
      </c>
      <c r="P593" s="4">
        <f t="shared" si="27"/>
        <v>24000</v>
      </c>
      <c r="Q593" s="4">
        <f t="shared" si="28"/>
        <v>8</v>
      </c>
      <c r="R593" s="4">
        <f t="shared" si="29"/>
        <v>3000</v>
      </c>
    </row>
    <row r="594" spans="1:18">
      <c r="A594" s="1">
        <v>2</v>
      </c>
      <c r="B594" s="1" t="str">
        <f>"قطعات و لوازم يدكي"</f>
        <v>قطعات و لوازم يدكي</v>
      </c>
      <c r="C594" s="1">
        <v>101</v>
      </c>
      <c r="D594" s="1" t="str">
        <f>"انبار قطعات و لوازم يدكي اصفهان"</f>
        <v>انبار قطعات و لوازم يدكي اصفهان</v>
      </c>
      <c r="E594" s="1" t="str">
        <f>"3114810583"</f>
        <v>3114810583</v>
      </c>
      <c r="F594" s="1" t="str">
        <f>"اورينگ 71240233"</f>
        <v>اورينگ 71240233</v>
      </c>
      <c r="G594" s="1" t="str">
        <f>"عدد"</f>
        <v>عدد</v>
      </c>
      <c r="H594" s="1">
        <v>2</v>
      </c>
      <c r="I594" s="1">
        <v>6000</v>
      </c>
      <c r="J594" s="1">
        <v>0</v>
      </c>
      <c r="K594" s="1">
        <v>0</v>
      </c>
      <c r="L594" s="1">
        <v>0</v>
      </c>
      <c r="M594" s="1">
        <v>0</v>
      </c>
      <c r="O594" s="1">
        <v>97</v>
      </c>
      <c r="P594" s="4">
        <f t="shared" si="27"/>
        <v>6000</v>
      </c>
      <c r="Q594" s="4">
        <f t="shared" si="28"/>
        <v>2</v>
      </c>
      <c r="R594" s="4">
        <f t="shared" si="29"/>
        <v>3000</v>
      </c>
    </row>
    <row r="595" spans="1:18">
      <c r="A595" s="1">
        <v>2</v>
      </c>
      <c r="B595" s="1" t="str">
        <f>"قطعات و لوازم يدكي"</f>
        <v>قطعات و لوازم يدكي</v>
      </c>
      <c r="C595" s="1">
        <v>101</v>
      </c>
      <c r="D595" s="1" t="str">
        <f>"انبار قطعات و لوازم يدكي اصفهان"</f>
        <v>انبار قطعات و لوازم يدكي اصفهان</v>
      </c>
      <c r="E595" s="1" t="str">
        <f>"3114810643"</f>
        <v>3114810643</v>
      </c>
      <c r="F595" s="1" t="str">
        <f>"واشر 109212413"</f>
        <v>واشر 109212413</v>
      </c>
      <c r="G595" s="1" t="str">
        <f>"عدد"</f>
        <v>عدد</v>
      </c>
      <c r="H595" s="1">
        <v>4</v>
      </c>
      <c r="I595" s="1">
        <v>4000</v>
      </c>
      <c r="J595" s="1">
        <v>0</v>
      </c>
      <c r="K595" s="1">
        <v>0</v>
      </c>
      <c r="L595" s="1">
        <v>0</v>
      </c>
      <c r="M595" s="1">
        <v>0</v>
      </c>
      <c r="O595" s="1">
        <v>97</v>
      </c>
      <c r="P595" s="4">
        <f t="shared" si="27"/>
        <v>4000</v>
      </c>
      <c r="Q595" s="4">
        <f t="shared" si="28"/>
        <v>4</v>
      </c>
      <c r="R595" s="4">
        <f t="shared" si="29"/>
        <v>1000</v>
      </c>
    </row>
    <row r="596" spans="1:18">
      <c r="A596" s="1">
        <v>2</v>
      </c>
      <c r="B596" s="1" t="str">
        <f>"قطعات و لوازم يدكي"</f>
        <v>قطعات و لوازم يدكي</v>
      </c>
      <c r="C596" s="1">
        <v>101</v>
      </c>
      <c r="D596" s="1" t="str">
        <f>"انبار قطعات و لوازم يدكي اصفهان"</f>
        <v>انبار قطعات و لوازم يدكي اصفهان</v>
      </c>
      <c r="E596" s="1" t="str">
        <f>"3114810679"</f>
        <v>3114810679</v>
      </c>
      <c r="F596" s="1" t="str">
        <f>"ميكا نيكال سل"</f>
        <v>ميكا نيكال سل</v>
      </c>
      <c r="G596" s="1" t="str">
        <f>"عدد"</f>
        <v>عدد</v>
      </c>
      <c r="H596" s="1">
        <v>12</v>
      </c>
      <c r="I596" s="1">
        <v>88656000</v>
      </c>
      <c r="J596" s="1">
        <v>0</v>
      </c>
      <c r="K596" s="1">
        <v>0</v>
      </c>
      <c r="L596" s="1">
        <v>8</v>
      </c>
      <c r="M596" s="1">
        <v>59104000</v>
      </c>
      <c r="O596" s="1">
        <v>97</v>
      </c>
      <c r="P596" s="4">
        <f t="shared" si="27"/>
        <v>29552000</v>
      </c>
      <c r="Q596" s="4">
        <f t="shared" si="28"/>
        <v>4</v>
      </c>
      <c r="R596" s="4">
        <f t="shared" si="29"/>
        <v>7388000</v>
      </c>
    </row>
    <row r="597" spans="1:18">
      <c r="A597" s="1">
        <v>2</v>
      </c>
      <c r="B597" s="1" t="str">
        <f>"قطعات و لوازم يدكي"</f>
        <v>قطعات و لوازم يدكي</v>
      </c>
      <c r="C597" s="1">
        <v>101</v>
      </c>
      <c r="D597" s="1" t="str">
        <f>"انبار قطعات و لوازم يدكي اصفهان"</f>
        <v>انبار قطعات و لوازم يدكي اصفهان</v>
      </c>
      <c r="E597" s="1" t="str">
        <f>"3114812203"</f>
        <v>3114812203</v>
      </c>
      <c r="F597" s="1" t="str">
        <f>"گريرهي"</f>
        <v>گريرهي</v>
      </c>
      <c r="G597" s="1" t="str">
        <f>"عدد"</f>
        <v>عدد</v>
      </c>
      <c r="H597" s="1">
        <v>20</v>
      </c>
      <c r="I597" s="1">
        <v>41486350</v>
      </c>
      <c r="J597" s="1">
        <v>0</v>
      </c>
      <c r="K597" s="1">
        <v>0</v>
      </c>
      <c r="L597" s="1">
        <v>0</v>
      </c>
      <c r="M597" s="1">
        <v>0</v>
      </c>
      <c r="O597" s="1">
        <v>97</v>
      </c>
      <c r="P597" s="4">
        <f t="shared" si="27"/>
        <v>41486350</v>
      </c>
      <c r="Q597" s="4">
        <f t="shared" si="28"/>
        <v>20</v>
      </c>
      <c r="R597" s="4">
        <f t="shared" si="29"/>
        <v>2074317.5</v>
      </c>
    </row>
    <row r="598" spans="1:18">
      <c r="A598" s="1">
        <v>2</v>
      </c>
      <c r="B598" s="1" t="str">
        <f>"قطعات و لوازم يدكي"</f>
        <v>قطعات و لوازم يدكي</v>
      </c>
      <c r="C598" s="1">
        <v>101</v>
      </c>
      <c r="D598" s="1" t="str">
        <f>"انبار قطعات و لوازم يدكي اصفهان"</f>
        <v>انبار قطعات و لوازم يدكي اصفهان</v>
      </c>
      <c r="E598" s="1" t="str">
        <f>"3114812263"</f>
        <v>3114812263</v>
      </c>
      <c r="F598" s="1" t="str">
        <f>"سركليپ فور اي بور 59"</f>
        <v>سركليپ فور اي بور 59</v>
      </c>
      <c r="G598" s="1" t="str">
        <f>"عدد"</f>
        <v>عدد</v>
      </c>
      <c r="H598" s="1">
        <v>12</v>
      </c>
      <c r="I598" s="1">
        <v>15985</v>
      </c>
      <c r="J598" s="1">
        <v>0</v>
      </c>
      <c r="K598" s="1">
        <v>0</v>
      </c>
      <c r="L598" s="1">
        <v>0</v>
      </c>
      <c r="M598" s="1">
        <v>0</v>
      </c>
      <c r="O598" s="1">
        <v>97</v>
      </c>
      <c r="P598" s="4">
        <f t="shared" si="27"/>
        <v>15985</v>
      </c>
      <c r="Q598" s="4">
        <f t="shared" si="28"/>
        <v>12</v>
      </c>
      <c r="R598" s="4">
        <f t="shared" si="29"/>
        <v>1332.0833333333333</v>
      </c>
    </row>
    <row r="599" spans="1:18">
      <c r="A599" s="1">
        <v>2</v>
      </c>
      <c r="B599" s="1" t="str">
        <f>"قطعات و لوازم يدكي"</f>
        <v>قطعات و لوازم يدكي</v>
      </c>
      <c r="C599" s="1">
        <v>101</v>
      </c>
      <c r="D599" s="1" t="str">
        <f>"انبار قطعات و لوازم يدكي اصفهان"</f>
        <v>انبار قطعات و لوازم يدكي اصفهان</v>
      </c>
      <c r="E599" s="1" t="str">
        <f>"3114812313"</f>
        <v>3114812313</v>
      </c>
      <c r="F599" s="1" t="str">
        <f>"لوز شفت كولر 63"</f>
        <v>لوز شفت كولر 63</v>
      </c>
      <c r="G599" s="1" t="str">
        <f>"عدد"</f>
        <v>عدد</v>
      </c>
      <c r="H599" s="1">
        <v>2</v>
      </c>
      <c r="I599" s="1">
        <v>5600</v>
      </c>
      <c r="J599" s="1">
        <v>0</v>
      </c>
      <c r="K599" s="1">
        <v>0</v>
      </c>
      <c r="L599" s="1">
        <v>0</v>
      </c>
      <c r="M599" s="1">
        <v>0</v>
      </c>
      <c r="O599" s="1">
        <v>97</v>
      </c>
      <c r="P599" s="4">
        <f t="shared" si="27"/>
        <v>5600</v>
      </c>
      <c r="Q599" s="4">
        <f t="shared" si="28"/>
        <v>2</v>
      </c>
      <c r="R599" s="4">
        <f t="shared" si="29"/>
        <v>2800</v>
      </c>
    </row>
    <row r="600" spans="1:18">
      <c r="A600" s="1">
        <v>2</v>
      </c>
      <c r="B600" s="1" t="str">
        <f>"قطعات و لوازم يدكي"</f>
        <v>قطعات و لوازم يدكي</v>
      </c>
      <c r="C600" s="1">
        <v>101</v>
      </c>
      <c r="D600" s="1" t="str">
        <f>"انبار قطعات و لوازم يدكي اصفهان"</f>
        <v>انبار قطعات و لوازم يدكي اصفهان</v>
      </c>
      <c r="E600" s="1" t="str">
        <f>"3114812363"</f>
        <v>3114812363</v>
      </c>
      <c r="F600" s="1" t="str">
        <f>"اورينگ 72"</f>
        <v>اورينگ 72</v>
      </c>
      <c r="G600" s="1" t="str">
        <f>"عدد"</f>
        <v>عدد</v>
      </c>
      <c r="H600" s="1">
        <v>3</v>
      </c>
      <c r="I600" s="1">
        <v>15000</v>
      </c>
      <c r="J600" s="1">
        <v>0</v>
      </c>
      <c r="K600" s="1">
        <v>0</v>
      </c>
      <c r="L600" s="1">
        <v>0</v>
      </c>
      <c r="M600" s="1">
        <v>0</v>
      </c>
      <c r="O600" s="1">
        <v>97</v>
      </c>
      <c r="P600" s="4">
        <f t="shared" si="27"/>
        <v>15000</v>
      </c>
      <c r="Q600" s="4">
        <f t="shared" si="28"/>
        <v>3</v>
      </c>
      <c r="R600" s="4">
        <f t="shared" si="29"/>
        <v>5000</v>
      </c>
    </row>
    <row r="601" spans="1:18">
      <c r="A601" s="1">
        <v>2</v>
      </c>
      <c r="B601" s="1" t="str">
        <f>"قطعات و لوازم يدكي"</f>
        <v>قطعات و لوازم يدكي</v>
      </c>
      <c r="C601" s="1">
        <v>101</v>
      </c>
      <c r="D601" s="1" t="str">
        <f>"انبار قطعات و لوازم يدكي اصفهان"</f>
        <v>انبار قطعات و لوازم يدكي اصفهان</v>
      </c>
      <c r="E601" s="1" t="str">
        <f>"3114812729"</f>
        <v>3114812729</v>
      </c>
      <c r="F601" s="1" t="str">
        <f>"ميكا نيكال سيل P-1602A/B/C-P-1002C"</f>
        <v>ميكا نيكال سيل P-1602A/B/C-P-1002C</v>
      </c>
      <c r="G601" s="1" t="str">
        <f>"عدد"</f>
        <v>عدد</v>
      </c>
      <c r="H601" s="1">
        <v>13</v>
      </c>
      <c r="I601" s="1">
        <v>704830572</v>
      </c>
      <c r="J601" s="1">
        <v>0</v>
      </c>
      <c r="K601" s="1">
        <v>0</v>
      </c>
      <c r="L601" s="1">
        <v>4</v>
      </c>
      <c r="M601" s="1">
        <v>216870945</v>
      </c>
      <c r="O601" s="1">
        <v>97</v>
      </c>
      <c r="P601" s="4">
        <f t="shared" si="27"/>
        <v>487959627</v>
      </c>
      <c r="Q601" s="4">
        <f t="shared" si="28"/>
        <v>9</v>
      </c>
      <c r="R601" s="4">
        <f t="shared" si="29"/>
        <v>54217736.333333336</v>
      </c>
    </row>
    <row r="602" spans="1:18">
      <c r="A602" s="1">
        <v>2</v>
      </c>
      <c r="B602" s="1" t="str">
        <f>"قطعات و لوازم يدكي"</f>
        <v>قطعات و لوازم يدكي</v>
      </c>
      <c r="C602" s="1">
        <v>101</v>
      </c>
      <c r="D602" s="1" t="str">
        <f>"انبار قطعات و لوازم يدكي اصفهان"</f>
        <v>انبار قطعات و لوازم يدكي اصفهان</v>
      </c>
      <c r="E602" s="1" t="str">
        <f>"3114816069"</f>
        <v>3114816069</v>
      </c>
      <c r="F602" s="1" t="str">
        <f>"راديال رولر بيرينگ"</f>
        <v>راديال رولر بيرينگ</v>
      </c>
      <c r="G602" s="1" t="str">
        <f>"عدد"</f>
        <v>عدد</v>
      </c>
      <c r="H602" s="1">
        <v>2</v>
      </c>
      <c r="I602" s="1">
        <v>3404397</v>
      </c>
      <c r="J602" s="1">
        <v>0</v>
      </c>
      <c r="K602" s="1">
        <v>0</v>
      </c>
      <c r="L602" s="1">
        <v>0</v>
      </c>
      <c r="M602" s="1">
        <v>0</v>
      </c>
      <c r="O602" s="1">
        <v>97</v>
      </c>
      <c r="P602" s="4">
        <f t="shared" si="27"/>
        <v>3404397</v>
      </c>
      <c r="Q602" s="4">
        <f t="shared" si="28"/>
        <v>2</v>
      </c>
      <c r="R602" s="4">
        <f t="shared" si="29"/>
        <v>1702198.5</v>
      </c>
    </row>
    <row r="603" spans="1:18">
      <c r="A603" s="1">
        <v>2</v>
      </c>
      <c r="B603" s="1" t="str">
        <f>"قطعات و لوازم يدكي"</f>
        <v>قطعات و لوازم يدكي</v>
      </c>
      <c r="C603" s="1">
        <v>101</v>
      </c>
      <c r="D603" s="1" t="str">
        <f>"انبار قطعات و لوازم يدكي اصفهان"</f>
        <v>انبار قطعات و لوازم يدكي اصفهان</v>
      </c>
      <c r="E603" s="1" t="str">
        <f>"3114816079"</f>
        <v>3114816079</v>
      </c>
      <c r="F603" s="1" t="str">
        <f>"رولر بيرينگ"</f>
        <v>رولر بيرينگ</v>
      </c>
      <c r="G603" s="1" t="str">
        <f>"عدد"</f>
        <v>عدد</v>
      </c>
      <c r="H603" s="1">
        <v>2</v>
      </c>
      <c r="I603" s="1">
        <v>3404397</v>
      </c>
      <c r="J603" s="1">
        <v>0</v>
      </c>
      <c r="K603" s="1">
        <v>0</v>
      </c>
      <c r="L603" s="1">
        <v>0</v>
      </c>
      <c r="M603" s="1">
        <v>0</v>
      </c>
      <c r="O603" s="1">
        <v>97</v>
      </c>
      <c r="P603" s="4">
        <f t="shared" si="27"/>
        <v>3404397</v>
      </c>
      <c r="Q603" s="4">
        <f t="shared" si="28"/>
        <v>2</v>
      </c>
      <c r="R603" s="4">
        <f t="shared" si="29"/>
        <v>1702198.5</v>
      </c>
    </row>
    <row r="604" spans="1:18">
      <c r="A604" s="1">
        <v>2</v>
      </c>
      <c r="B604" s="1" t="str">
        <f>"قطعات و لوازم يدكي"</f>
        <v>قطعات و لوازم يدكي</v>
      </c>
      <c r="C604" s="1">
        <v>101</v>
      </c>
      <c r="D604" s="1" t="str">
        <f>"انبار قطعات و لوازم يدكي اصفهان"</f>
        <v>انبار قطعات و لوازم يدكي اصفهان</v>
      </c>
      <c r="E604" s="1" t="str">
        <f>"3114816103"</f>
        <v>3114816103</v>
      </c>
      <c r="F604" s="1" t="str">
        <f>"راديال شافت سيل رينگ"</f>
        <v>راديال شافت سيل رينگ</v>
      </c>
      <c r="G604" s="1" t="str">
        <f>"عدد"</f>
        <v>عدد</v>
      </c>
      <c r="H604" s="1">
        <v>8</v>
      </c>
      <c r="I604" s="1">
        <v>6817148</v>
      </c>
      <c r="J604" s="1">
        <v>0</v>
      </c>
      <c r="K604" s="1">
        <v>0</v>
      </c>
      <c r="L604" s="1">
        <v>0</v>
      </c>
      <c r="M604" s="1">
        <v>0</v>
      </c>
      <c r="O604" s="1">
        <v>97</v>
      </c>
      <c r="P604" s="4">
        <f t="shared" si="27"/>
        <v>6817148</v>
      </c>
      <c r="Q604" s="4">
        <f t="shared" si="28"/>
        <v>8</v>
      </c>
      <c r="R604" s="4">
        <f t="shared" si="29"/>
        <v>852143.5</v>
      </c>
    </row>
    <row r="605" spans="1:18">
      <c r="A605" s="1">
        <v>2</v>
      </c>
      <c r="B605" s="1" t="str">
        <f>"قطعات و لوازم يدكي"</f>
        <v>قطعات و لوازم يدكي</v>
      </c>
      <c r="C605" s="1">
        <v>101</v>
      </c>
      <c r="D605" s="1" t="str">
        <f>"انبار قطعات و لوازم يدكي اصفهان"</f>
        <v>انبار قطعات و لوازم يدكي اصفهان</v>
      </c>
      <c r="E605" s="1" t="str">
        <f>"3371150013"</f>
        <v>3371150013</v>
      </c>
      <c r="F605" s="1" t="str">
        <f>"کاسه نمد  50   156   250"</f>
        <v>کاسه نمد  50   156   250</v>
      </c>
      <c r="G605" s="1" t="str">
        <f>"عدد"</f>
        <v>عدد</v>
      </c>
      <c r="H605" s="1">
        <v>6</v>
      </c>
      <c r="I605" s="1">
        <v>1590000</v>
      </c>
      <c r="J605" s="1">
        <v>0</v>
      </c>
      <c r="K605" s="1">
        <v>0</v>
      </c>
      <c r="L605" s="1">
        <v>0</v>
      </c>
      <c r="M605" s="1">
        <v>0</v>
      </c>
      <c r="O605" s="1">
        <v>97</v>
      </c>
      <c r="P605" s="4">
        <f t="shared" si="27"/>
        <v>1590000</v>
      </c>
      <c r="Q605" s="4">
        <f t="shared" si="28"/>
        <v>6</v>
      </c>
      <c r="R605" s="4">
        <f t="shared" si="29"/>
        <v>265000</v>
      </c>
    </row>
    <row r="606" spans="1:18">
      <c r="A606" s="1">
        <v>2</v>
      </c>
      <c r="B606" s="1" t="str">
        <f>"قطعات و لوازم يدكي"</f>
        <v>قطعات و لوازم يدكي</v>
      </c>
      <c r="C606" s="1">
        <v>101</v>
      </c>
      <c r="D606" s="1" t="str">
        <f>"انبار قطعات و لوازم يدكي اصفهان"</f>
        <v>انبار قطعات و لوازم يدكي اصفهان</v>
      </c>
      <c r="E606" s="1" t="str">
        <f>"3371205773"</f>
        <v>3371205773</v>
      </c>
      <c r="F606" s="1" t="str">
        <f>"برينگ رولر فرنت براكت"</f>
        <v>برينگ رولر فرنت براكت</v>
      </c>
      <c r="G606" s="1" t="str">
        <f>"عدد"</f>
        <v>عدد</v>
      </c>
      <c r="H606" s="1">
        <v>10</v>
      </c>
      <c r="I606" s="1">
        <v>55838</v>
      </c>
      <c r="J606" s="1">
        <v>0</v>
      </c>
      <c r="K606" s="1">
        <v>0</v>
      </c>
      <c r="L606" s="1">
        <v>0</v>
      </c>
      <c r="M606" s="1">
        <v>0</v>
      </c>
      <c r="O606" s="1">
        <v>97</v>
      </c>
      <c r="P606" s="4">
        <f t="shared" si="27"/>
        <v>55838</v>
      </c>
      <c r="Q606" s="4">
        <f t="shared" si="28"/>
        <v>10</v>
      </c>
      <c r="R606" s="4">
        <f t="shared" si="29"/>
        <v>5583.8</v>
      </c>
    </row>
    <row r="607" spans="1:18">
      <c r="A607" s="1">
        <v>2</v>
      </c>
      <c r="B607" s="1" t="str">
        <f>"قطعات و لوازم يدكي"</f>
        <v>قطعات و لوازم يدكي</v>
      </c>
      <c r="C607" s="1">
        <v>101</v>
      </c>
      <c r="D607" s="1" t="str">
        <f>"انبار قطعات و لوازم يدكي اصفهان"</f>
        <v>انبار قطعات و لوازم يدكي اصفهان</v>
      </c>
      <c r="E607" s="1" t="str">
        <f>"3456650023"</f>
        <v>3456650023</v>
      </c>
      <c r="F607" s="1" t="str">
        <f>"اسپاسر روتر"</f>
        <v>اسپاسر روتر</v>
      </c>
      <c r="G607" s="1" t="str">
        <f>"عدد"</f>
        <v>عدد</v>
      </c>
      <c r="H607" s="1">
        <v>1</v>
      </c>
      <c r="I607" s="1">
        <v>12958</v>
      </c>
      <c r="J607" s="1">
        <v>0</v>
      </c>
      <c r="K607" s="1">
        <v>0</v>
      </c>
      <c r="L607" s="1">
        <v>0</v>
      </c>
      <c r="M607" s="1">
        <v>0</v>
      </c>
      <c r="O607" s="1">
        <v>97</v>
      </c>
      <c r="P607" s="4">
        <f t="shared" si="27"/>
        <v>12958</v>
      </c>
      <c r="Q607" s="4">
        <f t="shared" si="28"/>
        <v>1</v>
      </c>
      <c r="R607" s="4">
        <f t="shared" si="29"/>
        <v>12958</v>
      </c>
    </row>
    <row r="608" spans="1:18">
      <c r="A608" s="1">
        <v>2</v>
      </c>
      <c r="B608" s="1" t="str">
        <f>"قطعات و لوازم يدكي"</f>
        <v>قطعات و لوازم يدكي</v>
      </c>
      <c r="C608" s="1">
        <v>101</v>
      </c>
      <c r="D608" s="1" t="str">
        <f>"انبار قطعات و لوازم يدكي اصفهان"</f>
        <v>انبار قطعات و لوازم يدكي اصفهان</v>
      </c>
      <c r="E608" s="1" t="str">
        <f>"3456650093"</f>
        <v>3456650093</v>
      </c>
      <c r="F608" s="1" t="str">
        <f>"اسنپ رينگ رير براكت ."</f>
        <v>اسنپ رينگ رير براكت .</v>
      </c>
      <c r="G608" s="1" t="str">
        <f>"عدد"</f>
        <v>عدد</v>
      </c>
      <c r="H608" s="1">
        <v>1</v>
      </c>
      <c r="I608" s="1">
        <v>1056</v>
      </c>
      <c r="J608" s="1">
        <v>0</v>
      </c>
      <c r="K608" s="1">
        <v>0</v>
      </c>
      <c r="L608" s="1">
        <v>0</v>
      </c>
      <c r="M608" s="1">
        <v>0</v>
      </c>
      <c r="O608" s="1">
        <v>97</v>
      </c>
      <c r="P608" s="4">
        <f t="shared" si="27"/>
        <v>1056</v>
      </c>
      <c r="Q608" s="4">
        <f t="shared" si="28"/>
        <v>1</v>
      </c>
      <c r="R608" s="4">
        <f t="shared" si="29"/>
        <v>1056</v>
      </c>
    </row>
    <row r="609" spans="1:18">
      <c r="A609" s="1">
        <v>2</v>
      </c>
      <c r="B609" s="1" t="str">
        <f>"قطعات و لوازم يدكي"</f>
        <v>قطعات و لوازم يدكي</v>
      </c>
      <c r="C609" s="1">
        <v>101</v>
      </c>
      <c r="D609" s="1" t="str">
        <f>"انبار قطعات و لوازم يدكي اصفهان"</f>
        <v>انبار قطعات و لوازم يدكي اصفهان</v>
      </c>
      <c r="E609" s="1" t="str">
        <f>"4301010012"</f>
        <v>4301010012</v>
      </c>
      <c r="F609" s="1" t="str">
        <f>"کاسه نمد 14*200*170"</f>
        <v>کاسه نمد 14*200*170</v>
      </c>
      <c r="G609" s="1" t="str">
        <f>"عدد"</f>
        <v>عدد</v>
      </c>
      <c r="H609" s="1">
        <v>1</v>
      </c>
      <c r="I609" s="1">
        <v>65000</v>
      </c>
      <c r="J609" s="1">
        <v>0</v>
      </c>
      <c r="K609" s="1">
        <v>0</v>
      </c>
      <c r="L609" s="1">
        <v>0</v>
      </c>
      <c r="M609" s="1">
        <v>0</v>
      </c>
      <c r="O609" s="1">
        <v>97</v>
      </c>
      <c r="P609" s="4">
        <f t="shared" si="27"/>
        <v>65000</v>
      </c>
      <c r="Q609" s="4">
        <f t="shared" si="28"/>
        <v>1</v>
      </c>
      <c r="R609" s="4">
        <f t="shared" si="29"/>
        <v>65000</v>
      </c>
    </row>
    <row r="610" spans="1:18">
      <c r="A610" s="1">
        <v>2</v>
      </c>
      <c r="B610" s="1" t="str">
        <f>"قطعات و لوازم يدكي"</f>
        <v>قطعات و لوازم يدكي</v>
      </c>
      <c r="C610" s="1">
        <v>101</v>
      </c>
      <c r="D610" s="1" t="str">
        <f>"انبار قطعات و لوازم يدكي اصفهان"</f>
        <v>انبار قطعات و لوازم يدكي اصفهان</v>
      </c>
      <c r="E610" s="1" t="str">
        <f>"4301010113"</f>
        <v>4301010113</v>
      </c>
      <c r="F610" s="1" t="str">
        <f>"Dommednut for P2000"</f>
        <v>Dommednut for P2000</v>
      </c>
      <c r="G610" s="1" t="str">
        <f>"عدد"</f>
        <v>عدد</v>
      </c>
      <c r="H610" s="1">
        <v>3</v>
      </c>
      <c r="I610" s="1">
        <v>80607890</v>
      </c>
      <c r="J610" s="1">
        <v>0</v>
      </c>
      <c r="K610" s="1">
        <v>0</v>
      </c>
      <c r="L610" s="1">
        <v>0</v>
      </c>
      <c r="M610" s="1">
        <v>0</v>
      </c>
      <c r="O610" s="1">
        <v>97</v>
      </c>
      <c r="P610" s="4">
        <f t="shared" si="27"/>
        <v>80607890</v>
      </c>
      <c r="Q610" s="4">
        <f t="shared" si="28"/>
        <v>3</v>
      </c>
      <c r="R610" s="4">
        <f t="shared" si="29"/>
        <v>26869296.666666668</v>
      </c>
    </row>
    <row r="611" spans="1:18">
      <c r="A611" s="1">
        <v>2</v>
      </c>
      <c r="B611" s="1" t="str">
        <f>"قطعات و لوازم يدكي"</f>
        <v>قطعات و لوازم يدكي</v>
      </c>
      <c r="C611" s="1">
        <v>101</v>
      </c>
      <c r="D611" s="1" t="str">
        <f>"انبار قطعات و لوازم يدكي اصفهان"</f>
        <v>انبار قطعات و لوازم يدكي اصفهان</v>
      </c>
      <c r="E611" s="1" t="str">
        <f>"4301010192"</f>
        <v>4301010192</v>
      </c>
      <c r="F611" s="1" t="str">
        <f>"OIL SEAL 70  90   12"</f>
        <v>OIL SEAL 70  90   12</v>
      </c>
      <c r="G611" s="1" t="str">
        <f>"عدد"</f>
        <v>عدد</v>
      </c>
      <c r="H611" s="1">
        <v>3</v>
      </c>
      <c r="I611" s="1">
        <v>1140000</v>
      </c>
      <c r="J611" s="1">
        <v>0</v>
      </c>
      <c r="K611" s="1">
        <v>0</v>
      </c>
      <c r="L611" s="1">
        <v>0</v>
      </c>
      <c r="M611" s="1">
        <v>0</v>
      </c>
      <c r="O611" s="1">
        <v>97</v>
      </c>
      <c r="P611" s="4">
        <f t="shared" si="27"/>
        <v>1140000</v>
      </c>
      <c r="Q611" s="4">
        <f t="shared" si="28"/>
        <v>3</v>
      </c>
      <c r="R611" s="4">
        <f t="shared" si="29"/>
        <v>380000</v>
      </c>
    </row>
    <row r="612" spans="1:18">
      <c r="A612" s="1">
        <v>2</v>
      </c>
      <c r="B612" s="1" t="str">
        <f>"قطعات و لوازم يدكي"</f>
        <v>قطعات و لوازم يدكي</v>
      </c>
      <c r="C612" s="1">
        <v>101</v>
      </c>
      <c r="D612" s="1" t="str">
        <f>"انبار قطعات و لوازم يدكي اصفهان"</f>
        <v>انبار قطعات و لوازم يدكي اصفهان</v>
      </c>
      <c r="E612" s="1" t="str">
        <f>"4304021113"</f>
        <v>4304021113</v>
      </c>
      <c r="F612" s="1" t="str">
        <f>"ريتاينينگ رينگ"</f>
        <v>ريتاينينگ رينگ</v>
      </c>
      <c r="G612" s="1" t="str">
        <f>"عدد"</f>
        <v>عدد</v>
      </c>
      <c r="H612" s="1">
        <v>2</v>
      </c>
      <c r="I612" s="1">
        <v>295162</v>
      </c>
      <c r="J612" s="1">
        <v>0</v>
      </c>
      <c r="K612" s="1">
        <v>0</v>
      </c>
      <c r="L612" s="1">
        <v>0</v>
      </c>
      <c r="M612" s="1">
        <v>0</v>
      </c>
      <c r="O612" s="1">
        <v>97</v>
      </c>
      <c r="P612" s="4">
        <f t="shared" si="27"/>
        <v>295162</v>
      </c>
      <c r="Q612" s="4">
        <f t="shared" si="28"/>
        <v>2</v>
      </c>
      <c r="R612" s="4">
        <f t="shared" si="29"/>
        <v>147581</v>
      </c>
    </row>
    <row r="613" spans="1:18" hidden="1">
      <c r="A613" s="1">
        <v>2</v>
      </c>
      <c r="B613" s="1" t="str">
        <f>"قطعات و لوازم يدكي"</f>
        <v>قطعات و لوازم يدكي</v>
      </c>
      <c r="C613" s="1">
        <v>101</v>
      </c>
      <c r="D613" s="1" t="str">
        <f>"انبار قطعات و لوازم يدكي اصفهان"</f>
        <v>انبار قطعات و لوازم يدكي اصفهان</v>
      </c>
      <c r="E613" s="1" t="str">
        <f>"4304021473"</f>
        <v>4304021473</v>
      </c>
      <c r="F613" s="1" t="str">
        <f>"اورينگ وايتون 5/5*435"</f>
        <v>اورينگ وايتون 5/5*435</v>
      </c>
      <c r="G613" s="1" t="str">
        <f>"عدد"</f>
        <v>عدد</v>
      </c>
      <c r="H613" s="1">
        <v>0</v>
      </c>
      <c r="I613" s="1">
        <v>0</v>
      </c>
      <c r="J613" s="1">
        <v>6</v>
      </c>
      <c r="K613" s="1">
        <v>4500000</v>
      </c>
      <c r="L613" s="1">
        <v>6</v>
      </c>
      <c r="M613" s="1">
        <v>4500000</v>
      </c>
      <c r="O613" s="1">
        <v>97</v>
      </c>
      <c r="P613" s="1">
        <f t="shared" si="27"/>
        <v>0</v>
      </c>
      <c r="Q613" s="1">
        <f t="shared" si="28"/>
        <v>0</v>
      </c>
      <c r="R613" s="1" t="e">
        <f t="shared" si="29"/>
        <v>#DIV/0!</v>
      </c>
    </row>
    <row r="614" spans="1:18">
      <c r="A614" s="1">
        <v>2</v>
      </c>
      <c r="B614" s="1" t="str">
        <f>"قطعات و لوازم يدكي"</f>
        <v>قطعات و لوازم يدكي</v>
      </c>
      <c r="C614" s="1">
        <v>101</v>
      </c>
      <c r="D614" s="1" t="str">
        <f>"انبار قطعات و لوازم يدكي اصفهان"</f>
        <v>انبار قطعات و لوازم يدكي اصفهان</v>
      </c>
      <c r="E614" s="1" t="str">
        <f>"4346491512"</f>
        <v>4346491512</v>
      </c>
      <c r="F614" s="1" t="str">
        <f>"فيلتر هوا BL1001"</f>
        <v>فيلتر هوا BL1001</v>
      </c>
      <c r="G614" s="1" t="str">
        <f>"عدد"</f>
        <v>عدد</v>
      </c>
      <c r="H614" s="1">
        <v>12</v>
      </c>
      <c r="I614" s="1">
        <v>33000000</v>
      </c>
      <c r="J614" s="1">
        <v>0</v>
      </c>
      <c r="K614" s="1">
        <v>0</v>
      </c>
      <c r="L614" s="1">
        <v>0</v>
      </c>
      <c r="M614" s="1">
        <v>0</v>
      </c>
      <c r="O614" s="1">
        <v>97</v>
      </c>
      <c r="P614" s="4">
        <f t="shared" si="27"/>
        <v>33000000</v>
      </c>
      <c r="Q614" s="4">
        <f t="shared" si="28"/>
        <v>12</v>
      </c>
      <c r="R614" s="4">
        <f t="shared" si="29"/>
        <v>2750000</v>
      </c>
    </row>
    <row r="615" spans="1:18">
      <c r="A615" s="1">
        <v>2</v>
      </c>
      <c r="B615" s="1" t="str">
        <f>"قطعات و لوازم يدكي"</f>
        <v>قطعات و لوازم يدكي</v>
      </c>
      <c r="C615" s="1">
        <v>101</v>
      </c>
      <c r="D615" s="1" t="str">
        <f>"انبار قطعات و لوازم يدكي اصفهان"</f>
        <v>انبار قطعات و لوازم يدكي اصفهان</v>
      </c>
      <c r="E615" s="1" t="str">
        <f>"5800443082"</f>
        <v>5800443082</v>
      </c>
      <c r="F615" s="1" t="str">
        <f>"بال بيرينگ 3308"</f>
        <v>بال بيرينگ 3308</v>
      </c>
      <c r="G615" s="1" t="str">
        <f>"عدد"</f>
        <v>عدد</v>
      </c>
      <c r="H615" s="1">
        <v>14</v>
      </c>
      <c r="I615" s="1">
        <v>28672000</v>
      </c>
      <c r="J615" s="1">
        <v>0</v>
      </c>
      <c r="K615" s="1">
        <v>0</v>
      </c>
      <c r="L615" s="1">
        <v>4</v>
      </c>
      <c r="M615" s="1">
        <v>8192000</v>
      </c>
      <c r="O615" s="1">
        <v>97</v>
      </c>
      <c r="P615" s="4">
        <f t="shared" si="27"/>
        <v>20480000</v>
      </c>
      <c r="Q615" s="4">
        <f t="shared" si="28"/>
        <v>10</v>
      </c>
      <c r="R615" s="4">
        <f t="shared" si="29"/>
        <v>2048000</v>
      </c>
    </row>
    <row r="616" spans="1:18">
      <c r="A616" s="1">
        <v>2</v>
      </c>
      <c r="B616" s="1" t="str">
        <f>"قطعات و لوازم يدكي"</f>
        <v>قطعات و لوازم يدكي</v>
      </c>
      <c r="C616" s="1">
        <v>101</v>
      </c>
      <c r="D616" s="1" t="str">
        <f>"انبار قطعات و لوازم يدكي اصفهان"</f>
        <v>انبار قطعات و لوازم يدكي اصفهان</v>
      </c>
      <c r="E616" s="1" t="str">
        <f>"5800562222"</f>
        <v>5800562222</v>
      </c>
      <c r="F616" s="1" t="str">
        <f>"بال بيرينگ  NU222"</f>
        <v>بال بيرينگ  NU222</v>
      </c>
      <c r="G616" s="1" t="str">
        <f>"عدد"</f>
        <v>عدد</v>
      </c>
      <c r="H616" s="1">
        <v>20</v>
      </c>
      <c r="I616" s="1">
        <v>21808000</v>
      </c>
      <c r="J616" s="1">
        <v>0</v>
      </c>
      <c r="K616" s="1">
        <v>0</v>
      </c>
      <c r="L616" s="1">
        <v>0</v>
      </c>
      <c r="M616" s="1">
        <v>0</v>
      </c>
      <c r="O616" s="1">
        <v>97</v>
      </c>
      <c r="P616" s="4">
        <f t="shared" si="27"/>
        <v>21808000</v>
      </c>
      <c r="Q616" s="4">
        <f t="shared" si="28"/>
        <v>20</v>
      </c>
      <c r="R616" s="4">
        <f t="shared" si="29"/>
        <v>1090400</v>
      </c>
    </row>
    <row r="617" spans="1:18">
      <c r="A617" s="1">
        <v>2</v>
      </c>
      <c r="B617" s="1" t="str">
        <f>"قطعات و لوازم يدكي"</f>
        <v>قطعات و لوازم يدكي</v>
      </c>
      <c r="C617" s="1">
        <v>101</v>
      </c>
      <c r="D617" s="1" t="str">
        <f>"انبار قطعات و لوازم يدكي اصفهان"</f>
        <v>انبار قطعات و لوازم يدكي اصفهان</v>
      </c>
      <c r="E617" s="1" t="str">
        <f>"5800564242"</f>
        <v>5800564242</v>
      </c>
      <c r="F617" s="1" t="str">
        <f>"بال بيرينگ NU224"</f>
        <v>بال بيرينگ NU224</v>
      </c>
      <c r="G617" s="1" t="str">
        <f>"عدد"</f>
        <v>عدد</v>
      </c>
      <c r="H617" s="1">
        <v>20</v>
      </c>
      <c r="I617" s="1">
        <v>26060000</v>
      </c>
      <c r="J617" s="1">
        <v>0</v>
      </c>
      <c r="K617" s="1">
        <v>0</v>
      </c>
      <c r="L617" s="1">
        <v>0</v>
      </c>
      <c r="M617" s="1">
        <v>0</v>
      </c>
      <c r="O617" s="1">
        <v>97</v>
      </c>
      <c r="P617" s="4">
        <f t="shared" si="27"/>
        <v>26060000</v>
      </c>
      <c r="Q617" s="4">
        <f t="shared" si="28"/>
        <v>20</v>
      </c>
      <c r="R617" s="4">
        <f t="shared" si="29"/>
        <v>1303000</v>
      </c>
    </row>
    <row r="618" spans="1:18">
      <c r="A618" s="1">
        <v>2</v>
      </c>
      <c r="B618" s="1" t="str">
        <f>"قطعات و لوازم يدكي"</f>
        <v>قطعات و لوازم يدكي</v>
      </c>
      <c r="C618" s="1">
        <v>101</v>
      </c>
      <c r="D618" s="1" t="str">
        <f>"انبار قطعات و لوازم يدكي اصفهان"</f>
        <v>انبار قطعات و لوازم يدكي اصفهان</v>
      </c>
      <c r="E618" s="1" t="str">
        <f>"5812961102"</f>
        <v>5812961102</v>
      </c>
      <c r="F618" s="1" t="str">
        <f>"واشر خورشيدي"</f>
        <v>واشر خورشيدي</v>
      </c>
      <c r="G618" s="1" t="str">
        <f>"عدد"</f>
        <v>عدد</v>
      </c>
      <c r="H618" s="1">
        <v>3</v>
      </c>
      <c r="I618" s="1">
        <v>69000</v>
      </c>
      <c r="J618" s="1">
        <v>0</v>
      </c>
      <c r="K618" s="1">
        <v>0</v>
      </c>
      <c r="L618" s="1">
        <v>0</v>
      </c>
      <c r="M618" s="1">
        <v>0</v>
      </c>
      <c r="O618" s="1">
        <v>97</v>
      </c>
      <c r="P618" s="4">
        <f t="shared" si="27"/>
        <v>69000</v>
      </c>
      <c r="Q618" s="4">
        <f t="shared" si="28"/>
        <v>3</v>
      </c>
      <c r="R618" s="4">
        <f t="shared" si="29"/>
        <v>23000</v>
      </c>
    </row>
    <row r="619" spans="1:18">
      <c r="A619" s="1">
        <v>2</v>
      </c>
      <c r="B619" s="1" t="str">
        <f>"قطعات و لوازم يدكي"</f>
        <v>قطعات و لوازم يدكي</v>
      </c>
      <c r="C619" s="1">
        <v>101</v>
      </c>
      <c r="D619" s="1" t="str">
        <f>"انبار قطعات و لوازم يدكي اصفهان"</f>
        <v>انبار قطعات و لوازم يدكي اصفهان</v>
      </c>
      <c r="E619" s="1" t="str">
        <f>"5820899533"</f>
        <v>5820899533</v>
      </c>
      <c r="F619" s="1" t="str">
        <f>"ميکانيکاسيل p-1004"</f>
        <v>ميکانيکاسيل p-1004</v>
      </c>
      <c r="G619" s="1" t="str">
        <f>"عدد"</f>
        <v>عدد</v>
      </c>
      <c r="H619" s="1">
        <v>5</v>
      </c>
      <c r="I619" s="1">
        <v>39000020</v>
      </c>
      <c r="J619" s="1">
        <v>0</v>
      </c>
      <c r="K619" s="1">
        <v>0</v>
      </c>
      <c r="L619" s="1">
        <v>0</v>
      </c>
      <c r="M619" s="1">
        <v>0</v>
      </c>
      <c r="O619" s="1">
        <v>97</v>
      </c>
      <c r="P619" s="4">
        <f t="shared" si="27"/>
        <v>39000020</v>
      </c>
      <c r="Q619" s="4">
        <f t="shared" si="28"/>
        <v>5</v>
      </c>
      <c r="R619" s="4">
        <f t="shared" si="29"/>
        <v>7800004</v>
      </c>
    </row>
    <row r="620" spans="1:18" hidden="1">
      <c r="A620" s="1">
        <v>2</v>
      </c>
      <c r="B620" s="1" t="str">
        <f>"قطعات و لوازم يدكي"</f>
        <v>قطعات و لوازم يدكي</v>
      </c>
      <c r="C620" s="1">
        <v>101</v>
      </c>
      <c r="D620" s="1" t="str">
        <f>"انبار قطعات و لوازم يدكي اصفهان"</f>
        <v>انبار قطعات و لوازم يدكي اصفهان</v>
      </c>
      <c r="E620" s="1" t="str">
        <f>"5865014463"</f>
        <v>5865014463</v>
      </c>
      <c r="F620" s="1" t="str">
        <f>"فيلترهواكمپروسر1601"</f>
        <v>فيلترهواكمپروسر1601</v>
      </c>
      <c r="G620" s="1" t="str">
        <f>"عدد"</f>
        <v>عدد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O620" s="1">
        <v>97</v>
      </c>
      <c r="P620" s="1">
        <f t="shared" si="27"/>
        <v>0</v>
      </c>
      <c r="Q620" s="1">
        <f t="shared" si="28"/>
        <v>0</v>
      </c>
      <c r="R620" s="1" t="e">
        <f t="shared" si="29"/>
        <v>#DIV/0!</v>
      </c>
    </row>
    <row r="621" spans="1:18">
      <c r="A621" s="1">
        <v>2</v>
      </c>
      <c r="B621" s="1" t="str">
        <f>"قطعات و لوازم يدكي"</f>
        <v>قطعات و لوازم يدكي</v>
      </c>
      <c r="C621" s="1">
        <v>101</v>
      </c>
      <c r="D621" s="1" t="str">
        <f>"انبار قطعات و لوازم يدكي اصفهان"</f>
        <v>انبار قطعات و لوازم يدكي اصفهان</v>
      </c>
      <c r="E621" s="1" t="str">
        <f>"5865014522"</f>
        <v>5865014522</v>
      </c>
      <c r="F621" s="1" t="str">
        <f>"فيلتر روغن BL-1001"</f>
        <v>فيلتر روغن BL-1001</v>
      </c>
      <c r="G621" s="1" t="str">
        <f>"عدد"</f>
        <v>عدد</v>
      </c>
      <c r="H621" s="1">
        <v>4</v>
      </c>
      <c r="I621" s="1">
        <v>1645455</v>
      </c>
      <c r="J621" s="1">
        <v>0</v>
      </c>
      <c r="K621" s="1">
        <v>0</v>
      </c>
      <c r="L621" s="1">
        <v>0</v>
      </c>
      <c r="M621" s="1">
        <v>0</v>
      </c>
      <c r="O621" s="1">
        <v>97</v>
      </c>
      <c r="P621" s="4">
        <f t="shared" si="27"/>
        <v>1645455</v>
      </c>
      <c r="Q621" s="4">
        <f t="shared" si="28"/>
        <v>4</v>
      </c>
      <c r="R621" s="4">
        <f t="shared" si="29"/>
        <v>411363.75</v>
      </c>
    </row>
    <row r="622" spans="1:18">
      <c r="A622" s="1">
        <v>2</v>
      </c>
      <c r="B622" s="1" t="str">
        <f>"قطعات و لوازم يدكي"</f>
        <v>قطعات و لوازم يدكي</v>
      </c>
      <c r="C622" s="1">
        <v>101</v>
      </c>
      <c r="D622" s="1" t="str">
        <f>"انبار قطعات و لوازم يدكي اصفهان"</f>
        <v>انبار قطعات و لوازم يدكي اصفهان</v>
      </c>
      <c r="E622" s="1" t="str">
        <f>"5902030053"</f>
        <v>5902030053</v>
      </c>
      <c r="F622" s="1" t="str">
        <f>"CPU MODULE 1214C(6ES7 214-1AG40-0XBO"</f>
        <v>CPU MODULE 1214C(6ES7 214-1AG40-0XBO</v>
      </c>
      <c r="G622" s="1" t="str">
        <f>"عدد"</f>
        <v>عدد</v>
      </c>
      <c r="H622" s="1">
        <v>0</v>
      </c>
      <c r="I622" s="1">
        <v>0</v>
      </c>
      <c r="J622" s="1">
        <v>2</v>
      </c>
      <c r="K622" s="1">
        <v>51022064</v>
      </c>
      <c r="L622" s="1">
        <v>0</v>
      </c>
      <c r="M622" s="1">
        <v>0</v>
      </c>
      <c r="O622" s="1">
        <v>97</v>
      </c>
      <c r="P622" s="4">
        <f t="shared" si="27"/>
        <v>51022064</v>
      </c>
      <c r="Q622" s="4">
        <f t="shared" si="28"/>
        <v>2</v>
      </c>
      <c r="R622" s="4">
        <f t="shared" si="29"/>
        <v>25511032</v>
      </c>
    </row>
    <row r="623" spans="1:18">
      <c r="A623" s="1">
        <v>2</v>
      </c>
      <c r="B623" s="1" t="str">
        <f>"قطعات و لوازم يدكي"</f>
        <v>قطعات و لوازم يدكي</v>
      </c>
      <c r="C623" s="1">
        <v>101</v>
      </c>
      <c r="D623" s="1" t="str">
        <f>"انبار قطعات و لوازم يدكي اصفهان"</f>
        <v>انبار قطعات و لوازم يدكي اصفهان</v>
      </c>
      <c r="E623" s="1" t="str">
        <f>"5905253233"</f>
        <v>5905253233</v>
      </c>
      <c r="F623" s="1" t="str">
        <f>"DIODE ZENER"</f>
        <v>DIODE ZENER</v>
      </c>
      <c r="G623" s="1" t="str">
        <f>"عدد"</f>
        <v>عدد</v>
      </c>
      <c r="H623" s="1">
        <v>5</v>
      </c>
      <c r="I623" s="1">
        <v>5</v>
      </c>
      <c r="J623" s="1">
        <v>0</v>
      </c>
      <c r="K623" s="1">
        <v>0</v>
      </c>
      <c r="L623" s="1">
        <v>0</v>
      </c>
      <c r="M623" s="1">
        <v>0</v>
      </c>
      <c r="O623" s="1">
        <v>97</v>
      </c>
      <c r="P623" s="4">
        <f t="shared" si="27"/>
        <v>5</v>
      </c>
      <c r="Q623" s="4">
        <f t="shared" si="28"/>
        <v>5</v>
      </c>
      <c r="R623" s="4">
        <f t="shared" si="29"/>
        <v>1</v>
      </c>
    </row>
    <row r="624" spans="1:18">
      <c r="A624" s="1">
        <v>2</v>
      </c>
      <c r="B624" s="1" t="str">
        <f>"قطعات و لوازم يدكي"</f>
        <v>قطعات و لوازم يدكي</v>
      </c>
      <c r="C624" s="1">
        <v>101</v>
      </c>
      <c r="D624" s="1" t="str">
        <f>"انبار قطعات و لوازم يدكي اصفهان"</f>
        <v>انبار قطعات و لوازم يدكي اصفهان</v>
      </c>
      <c r="E624" s="1" t="str">
        <f>"5917501213"</f>
        <v>5917501213</v>
      </c>
      <c r="F624" s="1" t="str">
        <f>"سيلومتر"</f>
        <v>سيلومتر</v>
      </c>
      <c r="G624" s="1" t="str">
        <f>"عدد"</f>
        <v>عدد</v>
      </c>
      <c r="H624" s="1">
        <v>1</v>
      </c>
      <c r="I624" s="1">
        <v>1027165</v>
      </c>
      <c r="J624" s="1">
        <v>0</v>
      </c>
      <c r="K624" s="1">
        <v>0</v>
      </c>
      <c r="L624" s="1">
        <v>0</v>
      </c>
      <c r="M624" s="1">
        <v>0</v>
      </c>
      <c r="O624" s="1">
        <v>97</v>
      </c>
      <c r="P624" s="4">
        <f t="shared" si="27"/>
        <v>1027165</v>
      </c>
      <c r="Q624" s="4">
        <f t="shared" si="28"/>
        <v>1</v>
      </c>
      <c r="R624" s="4">
        <f t="shared" si="29"/>
        <v>1027165</v>
      </c>
    </row>
    <row r="625" spans="1:18">
      <c r="A625" s="1">
        <v>2</v>
      </c>
      <c r="B625" s="1" t="str">
        <f>"قطعات و لوازم يدكي"</f>
        <v>قطعات و لوازم يدكي</v>
      </c>
      <c r="C625" s="1">
        <v>101</v>
      </c>
      <c r="D625" s="1" t="str">
        <f>"انبار قطعات و لوازم يدكي اصفهان"</f>
        <v>انبار قطعات و لوازم يدكي اصفهان</v>
      </c>
      <c r="E625" s="1" t="str">
        <f>"5920391523"</f>
        <v>5920391523</v>
      </c>
      <c r="F625" s="1" t="str">
        <f>"امپلي فاير رلهي تايپ 25su3مدل 4166"</f>
        <v>امپلي فاير رلهي تايپ 25su3مدل 4166</v>
      </c>
      <c r="G625" s="1" t="str">
        <f>"عدد"</f>
        <v>عدد</v>
      </c>
      <c r="H625" s="1">
        <v>2</v>
      </c>
      <c r="I625" s="1">
        <v>61167007</v>
      </c>
      <c r="J625" s="1">
        <v>0</v>
      </c>
      <c r="K625" s="1">
        <v>0</v>
      </c>
      <c r="L625" s="1">
        <v>0</v>
      </c>
      <c r="M625" s="1">
        <v>0</v>
      </c>
      <c r="O625" s="1">
        <v>97</v>
      </c>
      <c r="P625" s="4">
        <f t="shared" si="27"/>
        <v>61167007</v>
      </c>
      <c r="Q625" s="4">
        <f t="shared" si="28"/>
        <v>2</v>
      </c>
      <c r="R625" s="4">
        <f t="shared" si="29"/>
        <v>30583503.5</v>
      </c>
    </row>
    <row r="626" spans="1:18">
      <c r="A626" s="1">
        <v>2</v>
      </c>
      <c r="B626" s="1" t="str">
        <f>"قطعات و لوازم يدكي"</f>
        <v>قطعات و لوازم يدكي</v>
      </c>
      <c r="C626" s="1">
        <v>101</v>
      </c>
      <c r="D626" s="1" t="str">
        <f>"انبار قطعات و لوازم يدكي اصفهان"</f>
        <v>انبار قطعات و لوازم يدكي اصفهان</v>
      </c>
      <c r="E626" s="1" t="str">
        <f>"5923762993"</f>
        <v>5923762993</v>
      </c>
      <c r="F626" s="1" t="str">
        <f>"بانت كاسكت"</f>
        <v>بانت كاسكت</v>
      </c>
      <c r="G626" s="1" t="str">
        <f>"عدد"</f>
        <v>عدد</v>
      </c>
      <c r="H626" s="1">
        <v>10</v>
      </c>
      <c r="I626" s="1">
        <v>1220068</v>
      </c>
      <c r="J626" s="1">
        <v>0</v>
      </c>
      <c r="K626" s="1">
        <v>0</v>
      </c>
      <c r="L626" s="1">
        <v>0</v>
      </c>
      <c r="M626" s="1">
        <v>0</v>
      </c>
      <c r="O626" s="1">
        <v>97</v>
      </c>
      <c r="P626" s="4">
        <f t="shared" si="27"/>
        <v>1220068</v>
      </c>
      <c r="Q626" s="4">
        <f t="shared" si="28"/>
        <v>10</v>
      </c>
      <c r="R626" s="4">
        <f t="shared" si="29"/>
        <v>122006.8</v>
      </c>
    </row>
    <row r="627" spans="1:18">
      <c r="A627" s="1">
        <v>2</v>
      </c>
      <c r="B627" s="1" t="str">
        <f>"قطعات و لوازم يدكي"</f>
        <v>قطعات و لوازم يدكي</v>
      </c>
      <c r="C627" s="1">
        <v>101</v>
      </c>
      <c r="D627" s="1" t="str">
        <f>"انبار قطعات و لوازم يدكي اصفهان"</f>
        <v>انبار قطعات و لوازم يدكي اصفهان</v>
      </c>
      <c r="E627" s="1" t="str">
        <f>"5923764273"</f>
        <v>5923764273</v>
      </c>
      <c r="F627" s="1" t="str">
        <f>"كاج كاسكت 1R2861X0042"</f>
        <v>كاج كاسكت 1R2861X0042</v>
      </c>
      <c r="G627" s="1" t="str">
        <f>"عدد"</f>
        <v>عدد</v>
      </c>
      <c r="H627" s="1">
        <v>10</v>
      </c>
      <c r="I627" s="1">
        <v>809075</v>
      </c>
      <c r="J627" s="1">
        <v>0</v>
      </c>
      <c r="K627" s="1">
        <v>0</v>
      </c>
      <c r="L627" s="1">
        <v>0</v>
      </c>
      <c r="M627" s="1">
        <v>0</v>
      </c>
      <c r="O627" s="1">
        <v>97</v>
      </c>
      <c r="P627" s="4">
        <f t="shared" si="27"/>
        <v>809075</v>
      </c>
      <c r="Q627" s="4">
        <f t="shared" si="28"/>
        <v>10</v>
      </c>
      <c r="R627" s="4">
        <f t="shared" si="29"/>
        <v>80907.5</v>
      </c>
    </row>
    <row r="628" spans="1:18">
      <c r="A628" s="1">
        <v>2</v>
      </c>
      <c r="B628" s="1" t="str">
        <f>"قطعات و لوازم يدكي"</f>
        <v>قطعات و لوازم يدكي</v>
      </c>
      <c r="C628" s="1">
        <v>101</v>
      </c>
      <c r="D628" s="1" t="str">
        <f>"انبار قطعات و لوازم يدكي اصفهان"</f>
        <v>انبار قطعات و لوازم يدكي اصفهان</v>
      </c>
      <c r="E628" s="1" t="str">
        <f>"3114812223"</f>
        <v>3114812223</v>
      </c>
      <c r="F628" s="1" t="str">
        <f>"کاسه نمد 10   68    50"</f>
        <v>کاسه نمد 10   68    50</v>
      </c>
      <c r="G628" s="1" t="str">
        <f>"عدد"</f>
        <v>عدد</v>
      </c>
      <c r="H628" s="1">
        <v>75</v>
      </c>
      <c r="I628" s="1">
        <v>26011927</v>
      </c>
      <c r="J628" s="1">
        <v>5</v>
      </c>
      <c r="K628" s="1">
        <v>1734129</v>
      </c>
      <c r="L628" s="1">
        <v>21</v>
      </c>
      <c r="M628" s="1">
        <v>7283340</v>
      </c>
      <c r="O628" s="1">
        <v>97</v>
      </c>
      <c r="P628" s="4">
        <f t="shared" si="27"/>
        <v>20462716</v>
      </c>
      <c r="Q628" s="4">
        <f t="shared" si="28"/>
        <v>59</v>
      </c>
      <c r="R628" s="4">
        <f t="shared" si="29"/>
        <v>346825.69491525425</v>
      </c>
    </row>
    <row r="629" spans="1:18">
      <c r="A629" s="1">
        <v>2</v>
      </c>
      <c r="B629" s="1" t="str">
        <f>"قطعات و لوازم يدكي"</f>
        <v>قطعات و لوازم يدكي</v>
      </c>
      <c r="C629" s="1">
        <v>101</v>
      </c>
      <c r="D629" s="1" t="str">
        <f>"انبار قطعات و لوازم يدكي اصفهان"</f>
        <v>انبار قطعات و لوازم يدكي اصفهان</v>
      </c>
      <c r="E629" s="1" t="str">
        <f>"3114812293"</f>
        <v>3114812293</v>
      </c>
      <c r="F629" s="1" t="str">
        <f>"سركليپ فور شفت 61"</f>
        <v>سركليپ فور شفت 61</v>
      </c>
      <c r="G629" s="1" t="str">
        <f>"عدد"</f>
        <v>عدد</v>
      </c>
      <c r="H629" s="1">
        <v>1</v>
      </c>
      <c r="I629" s="1">
        <v>433</v>
      </c>
      <c r="J629" s="1">
        <v>0</v>
      </c>
      <c r="K629" s="1">
        <v>0</v>
      </c>
      <c r="L629" s="1">
        <v>0</v>
      </c>
      <c r="M629" s="1">
        <v>0</v>
      </c>
      <c r="O629" s="1">
        <v>97</v>
      </c>
      <c r="P629" s="4">
        <f t="shared" si="27"/>
        <v>433</v>
      </c>
      <c r="Q629" s="4">
        <f t="shared" si="28"/>
        <v>1</v>
      </c>
      <c r="R629" s="4">
        <f t="shared" si="29"/>
        <v>433</v>
      </c>
    </row>
    <row r="630" spans="1:18">
      <c r="A630" s="1">
        <v>2</v>
      </c>
      <c r="B630" s="1" t="str">
        <f>"قطعات و لوازم يدكي"</f>
        <v>قطعات و لوازم يدكي</v>
      </c>
      <c r="C630" s="1">
        <v>101</v>
      </c>
      <c r="D630" s="1" t="str">
        <f>"انبار قطعات و لوازم يدكي اصفهان"</f>
        <v>انبار قطعات و لوازم يدكي اصفهان</v>
      </c>
      <c r="E630" s="1" t="str">
        <f>"3114812343"</f>
        <v>3114812343</v>
      </c>
      <c r="F630" s="1" t="str">
        <f>"اورينگ 71"</f>
        <v>اورينگ 71</v>
      </c>
      <c r="G630" s="1" t="str">
        <f>"عدد"</f>
        <v>عدد</v>
      </c>
      <c r="H630" s="1">
        <v>3</v>
      </c>
      <c r="I630" s="1">
        <v>15000</v>
      </c>
      <c r="J630" s="1">
        <v>0</v>
      </c>
      <c r="K630" s="1">
        <v>0</v>
      </c>
      <c r="L630" s="1">
        <v>0</v>
      </c>
      <c r="M630" s="1">
        <v>0</v>
      </c>
      <c r="O630" s="1">
        <v>97</v>
      </c>
      <c r="P630" s="4">
        <f t="shared" si="27"/>
        <v>15000</v>
      </c>
      <c r="Q630" s="4">
        <f t="shared" si="28"/>
        <v>3</v>
      </c>
      <c r="R630" s="4">
        <f t="shared" si="29"/>
        <v>5000</v>
      </c>
    </row>
    <row r="631" spans="1:18">
      <c r="A631" s="1">
        <v>2</v>
      </c>
      <c r="B631" s="1" t="str">
        <f>"قطعات و لوازم يدكي"</f>
        <v>قطعات و لوازم يدكي</v>
      </c>
      <c r="C631" s="1">
        <v>101</v>
      </c>
      <c r="D631" s="1" t="str">
        <f>"انبار قطعات و لوازم يدكي اصفهان"</f>
        <v>انبار قطعات و لوازم يدكي اصفهان</v>
      </c>
      <c r="E631" s="1" t="str">
        <f>"3114812728"</f>
        <v>3114812728</v>
      </c>
      <c r="F631" s="1" t="str">
        <f>"ميکانيکال سيل ( تعميري) P-1001C"</f>
        <v>ميکانيکال سيل ( تعميري) P-1001C</v>
      </c>
      <c r="G631" s="1" t="str">
        <f>"عدد"</f>
        <v>عدد</v>
      </c>
      <c r="H631" s="1">
        <v>4</v>
      </c>
      <c r="I631" s="1">
        <v>20000000</v>
      </c>
      <c r="J631" s="1">
        <v>0</v>
      </c>
      <c r="K631" s="1">
        <v>0</v>
      </c>
      <c r="L631" s="1">
        <v>1</v>
      </c>
      <c r="M631" s="1">
        <v>5000000</v>
      </c>
      <c r="O631" s="1">
        <v>97</v>
      </c>
      <c r="P631" s="4">
        <f t="shared" si="27"/>
        <v>15000000</v>
      </c>
      <c r="Q631" s="4">
        <f t="shared" si="28"/>
        <v>3</v>
      </c>
      <c r="R631" s="4">
        <f t="shared" si="29"/>
        <v>5000000</v>
      </c>
    </row>
    <row r="632" spans="1:18">
      <c r="A632" s="1">
        <v>2</v>
      </c>
      <c r="B632" s="1" t="str">
        <f>"قطعات و لوازم يدكي"</f>
        <v>قطعات و لوازم يدكي</v>
      </c>
      <c r="C632" s="1">
        <v>101</v>
      </c>
      <c r="D632" s="1" t="str">
        <f>"انبار قطعات و لوازم يدكي اصفهان"</f>
        <v>انبار قطعات و لوازم يدكي اصفهان</v>
      </c>
      <c r="E632" s="1" t="str">
        <f>"3114816013"</f>
        <v>3114816013</v>
      </c>
      <c r="F632" s="1" t="str">
        <f>"OIL SEAL 30   42  7"</f>
        <v>OIL SEAL 30   42  7</v>
      </c>
      <c r="G632" s="1" t="str">
        <f>"عدد"</f>
        <v>عدد</v>
      </c>
      <c r="H632" s="1">
        <v>0</v>
      </c>
      <c r="I632" s="1">
        <v>0</v>
      </c>
      <c r="J632" s="1">
        <v>10</v>
      </c>
      <c r="K632" s="1">
        <v>890000</v>
      </c>
      <c r="L632" s="1">
        <v>1</v>
      </c>
      <c r="M632" s="1">
        <v>89000</v>
      </c>
      <c r="O632" s="1">
        <v>97</v>
      </c>
      <c r="P632" s="4">
        <f t="shared" si="27"/>
        <v>801000</v>
      </c>
      <c r="Q632" s="4">
        <f t="shared" si="28"/>
        <v>9</v>
      </c>
      <c r="R632" s="4">
        <f t="shared" si="29"/>
        <v>89000</v>
      </c>
    </row>
    <row r="633" spans="1:18">
      <c r="A633" s="1">
        <v>2</v>
      </c>
      <c r="B633" s="1" t="str">
        <f>"قطعات و لوازم يدكي"</f>
        <v>قطعات و لوازم يدكي</v>
      </c>
      <c r="C633" s="1">
        <v>101</v>
      </c>
      <c r="D633" s="1" t="str">
        <f>"انبار قطعات و لوازم يدكي اصفهان"</f>
        <v>انبار قطعات و لوازم يدكي اصفهان</v>
      </c>
      <c r="E633" s="1" t="str">
        <f>"3114816383"</f>
        <v>3114816383</v>
      </c>
      <c r="F633" s="1" t="str">
        <f>"واشر سايز 90 P-1001,1002C,P-1602A/B.C"</f>
        <v>واشر سايز 90 P-1001,1002C,P-1602A/B.C</v>
      </c>
      <c r="G633" s="1" t="str">
        <f>"عدد"</f>
        <v>عدد</v>
      </c>
      <c r="H633" s="1">
        <v>9</v>
      </c>
      <c r="I633" s="1">
        <v>1350000</v>
      </c>
      <c r="J633" s="1">
        <v>0</v>
      </c>
      <c r="K633" s="1">
        <v>0</v>
      </c>
      <c r="L633" s="1">
        <v>0</v>
      </c>
      <c r="M633" s="1">
        <v>0</v>
      </c>
      <c r="O633" s="1">
        <v>97</v>
      </c>
      <c r="P633" s="4">
        <f t="shared" si="27"/>
        <v>1350000</v>
      </c>
      <c r="Q633" s="4">
        <f t="shared" si="28"/>
        <v>9</v>
      </c>
      <c r="R633" s="4">
        <f t="shared" si="29"/>
        <v>150000</v>
      </c>
    </row>
    <row r="634" spans="1:18">
      <c r="A634" s="1">
        <v>2</v>
      </c>
      <c r="B634" s="1" t="str">
        <f>"قطعات و لوازم يدكي"</f>
        <v>قطعات و لوازم يدكي</v>
      </c>
      <c r="C634" s="1">
        <v>101</v>
      </c>
      <c r="D634" s="1" t="str">
        <f>"انبار قطعات و لوازم يدكي اصفهان"</f>
        <v>انبار قطعات و لوازم يدكي اصفهان</v>
      </c>
      <c r="E634" s="1" t="str">
        <f>"3114816393"</f>
        <v>3114816393</v>
      </c>
      <c r="F634" s="1" t="str">
        <f>"چاک نت همرا با رينگ p-1001 ,1002 c.16020A/B/C"</f>
        <v>چاک نت همرا با رينگ p-1001 ,1002 c.16020A/B/C</v>
      </c>
      <c r="G634" s="1" t="str">
        <f>"جفت"</f>
        <v>جفت</v>
      </c>
      <c r="H634" s="1">
        <v>11</v>
      </c>
      <c r="I634" s="1">
        <v>7150000</v>
      </c>
      <c r="J634" s="1">
        <v>0</v>
      </c>
      <c r="K634" s="1">
        <v>0</v>
      </c>
      <c r="L634" s="1">
        <v>0</v>
      </c>
      <c r="M634" s="1">
        <v>0</v>
      </c>
      <c r="O634" s="1">
        <v>97</v>
      </c>
      <c r="P634" s="4">
        <f t="shared" si="27"/>
        <v>7150000</v>
      </c>
      <c r="Q634" s="4">
        <f t="shared" si="28"/>
        <v>11</v>
      </c>
      <c r="R634" s="4">
        <f t="shared" si="29"/>
        <v>650000</v>
      </c>
    </row>
    <row r="635" spans="1:18">
      <c r="A635" s="1">
        <v>2</v>
      </c>
      <c r="B635" s="1" t="str">
        <f>"قطعات و لوازم يدكي"</f>
        <v>قطعات و لوازم يدكي</v>
      </c>
      <c r="C635" s="1">
        <v>101</v>
      </c>
      <c r="D635" s="1" t="str">
        <f>"انبار قطعات و لوازم يدكي اصفهان"</f>
        <v>انبار قطعات و لوازم يدكي اصفهان</v>
      </c>
      <c r="E635" s="1" t="str">
        <f>"3300000073"</f>
        <v>3300000073</v>
      </c>
      <c r="F635" s="1" t="str">
        <f>"مکانکاسيل سمت چپ"</f>
        <v>مکانکاسيل سمت چپ</v>
      </c>
      <c r="G635" s="1" t="str">
        <f>"عدد"</f>
        <v>عدد</v>
      </c>
      <c r="H635" s="1">
        <v>2</v>
      </c>
      <c r="I635" s="1">
        <v>204000000</v>
      </c>
      <c r="J635" s="1">
        <v>0</v>
      </c>
      <c r="K635" s="1">
        <v>0</v>
      </c>
      <c r="L635" s="1">
        <v>0</v>
      </c>
      <c r="M635" s="1">
        <v>0</v>
      </c>
      <c r="O635" s="1">
        <v>97</v>
      </c>
      <c r="P635" s="4">
        <f t="shared" si="27"/>
        <v>204000000</v>
      </c>
      <c r="Q635" s="4">
        <f t="shared" si="28"/>
        <v>2</v>
      </c>
      <c r="R635" s="4">
        <f t="shared" si="29"/>
        <v>102000000</v>
      </c>
    </row>
    <row r="636" spans="1:18">
      <c r="A636" s="1">
        <v>2</v>
      </c>
      <c r="B636" s="1" t="str">
        <f>"قطعات و لوازم يدكي"</f>
        <v>قطعات و لوازم يدكي</v>
      </c>
      <c r="C636" s="1">
        <v>101</v>
      </c>
      <c r="D636" s="1" t="str">
        <f>"انبار قطعات و لوازم يدكي اصفهان"</f>
        <v>انبار قطعات و لوازم يدكي اصفهان</v>
      </c>
      <c r="E636" s="1" t="str">
        <f>"3371155013"</f>
        <v>3371155013</v>
      </c>
      <c r="F636" s="1" t="str">
        <f>"كامپلت روتاتينگ المنت"</f>
        <v>كامپلت روتاتينگ المنت</v>
      </c>
      <c r="G636" s="1" t="str">
        <f>"عدد"</f>
        <v>عدد</v>
      </c>
      <c r="H636" s="1">
        <v>1</v>
      </c>
      <c r="I636" s="1">
        <v>82664961</v>
      </c>
      <c r="J636" s="1">
        <v>0</v>
      </c>
      <c r="K636" s="1">
        <v>0</v>
      </c>
      <c r="L636" s="1">
        <v>0</v>
      </c>
      <c r="M636" s="1">
        <v>0</v>
      </c>
      <c r="O636" s="1">
        <v>97</v>
      </c>
      <c r="P636" s="4">
        <f t="shared" si="27"/>
        <v>82664961</v>
      </c>
      <c r="Q636" s="4">
        <f t="shared" si="28"/>
        <v>1</v>
      </c>
      <c r="R636" s="4">
        <f t="shared" si="29"/>
        <v>82664961</v>
      </c>
    </row>
    <row r="637" spans="1:18">
      <c r="A637" s="1">
        <v>2</v>
      </c>
      <c r="B637" s="1" t="str">
        <f>"قطعات و لوازم يدكي"</f>
        <v>قطعات و لوازم يدكي</v>
      </c>
      <c r="C637" s="1">
        <v>101</v>
      </c>
      <c r="D637" s="1" t="str">
        <f>"انبار قطعات و لوازم يدكي اصفهان"</f>
        <v>انبار قطعات و لوازم يدكي اصفهان</v>
      </c>
      <c r="E637" s="1" t="str">
        <f>"3371205633"</f>
        <v>3371205633</v>
      </c>
      <c r="F637" s="1" t="str">
        <f>"كي تامينگ گرز"</f>
        <v>كي تامينگ گرز</v>
      </c>
      <c r="G637" s="1" t="str">
        <f>"عدد"</f>
        <v>عدد</v>
      </c>
      <c r="H637" s="1">
        <v>1</v>
      </c>
      <c r="I637" s="1">
        <v>447</v>
      </c>
      <c r="J637" s="1">
        <v>0</v>
      </c>
      <c r="K637" s="1">
        <v>0</v>
      </c>
      <c r="L637" s="1">
        <v>0</v>
      </c>
      <c r="M637" s="1">
        <v>0</v>
      </c>
      <c r="O637" s="1">
        <v>97</v>
      </c>
      <c r="P637" s="4">
        <f t="shared" si="27"/>
        <v>447</v>
      </c>
      <c r="Q637" s="4">
        <f t="shared" si="28"/>
        <v>1</v>
      </c>
      <c r="R637" s="4">
        <f t="shared" si="29"/>
        <v>447</v>
      </c>
    </row>
    <row r="638" spans="1:18">
      <c r="A638" s="1">
        <v>2</v>
      </c>
      <c r="B638" s="1" t="str">
        <f>"قطعات و لوازم يدكي"</f>
        <v>قطعات و لوازم يدكي</v>
      </c>
      <c r="C638" s="1">
        <v>101</v>
      </c>
      <c r="D638" s="1" t="str">
        <f>"انبار قطعات و لوازم يدكي اصفهان"</f>
        <v>انبار قطعات و لوازم يدكي اصفهان</v>
      </c>
      <c r="E638" s="1" t="str">
        <f>"3371205783"</f>
        <v>3371205783</v>
      </c>
      <c r="F638" s="1" t="str">
        <f>"برينگ اينر راس فرنت براك"</f>
        <v>برينگ اينر راس فرنت براك</v>
      </c>
      <c r="G638" s="1" t="str">
        <f>"عدد"</f>
        <v>عدد</v>
      </c>
      <c r="H638" s="1">
        <v>1</v>
      </c>
      <c r="I638" s="1">
        <v>2000</v>
      </c>
      <c r="J638" s="1">
        <v>0</v>
      </c>
      <c r="K638" s="1">
        <v>0</v>
      </c>
      <c r="L638" s="1">
        <v>0</v>
      </c>
      <c r="M638" s="1">
        <v>0</v>
      </c>
      <c r="O638" s="1">
        <v>97</v>
      </c>
      <c r="P638" s="4">
        <f t="shared" si="27"/>
        <v>2000</v>
      </c>
      <c r="Q638" s="4">
        <f t="shared" si="28"/>
        <v>1</v>
      </c>
      <c r="R638" s="4">
        <f t="shared" si="29"/>
        <v>2000</v>
      </c>
    </row>
    <row r="639" spans="1:18">
      <c r="A639" s="1">
        <v>2</v>
      </c>
      <c r="B639" s="1" t="str">
        <f>"قطعات و لوازم يدكي"</f>
        <v>قطعات و لوازم يدكي</v>
      </c>
      <c r="C639" s="1">
        <v>101</v>
      </c>
      <c r="D639" s="1" t="str">
        <f>"انبار قطعات و لوازم يدكي اصفهان"</f>
        <v>انبار قطعات و لوازم يدكي اصفهان</v>
      </c>
      <c r="E639" s="1" t="str">
        <f>"3456650083"</f>
        <v>3456650083</v>
      </c>
      <c r="F639" s="1" t="str">
        <f>"اسنپ رينگ رير براكت"</f>
        <v>اسنپ رينگ رير براكت</v>
      </c>
      <c r="G639" s="1" t="str">
        <f>"عدد"</f>
        <v>عدد</v>
      </c>
      <c r="H639" s="1">
        <v>10</v>
      </c>
      <c r="I639" s="1">
        <v>46415</v>
      </c>
      <c r="J639" s="1">
        <v>0</v>
      </c>
      <c r="K639" s="1">
        <v>0</v>
      </c>
      <c r="L639" s="1">
        <v>0</v>
      </c>
      <c r="M639" s="1">
        <v>0</v>
      </c>
      <c r="O639" s="1">
        <v>97</v>
      </c>
      <c r="P639" s="4">
        <f t="shared" si="27"/>
        <v>46415</v>
      </c>
      <c r="Q639" s="4">
        <f t="shared" si="28"/>
        <v>10</v>
      </c>
      <c r="R639" s="4">
        <f t="shared" si="29"/>
        <v>4641.5</v>
      </c>
    </row>
    <row r="640" spans="1:18">
      <c r="A640" s="1">
        <v>2</v>
      </c>
      <c r="B640" s="1" t="str">
        <f>"قطعات و لوازم يدكي"</f>
        <v>قطعات و لوازم يدكي</v>
      </c>
      <c r="C640" s="1">
        <v>101</v>
      </c>
      <c r="D640" s="1" t="str">
        <f>"انبار قطعات و لوازم يدكي اصفهان"</f>
        <v>انبار قطعات و لوازم يدكي اصفهان</v>
      </c>
      <c r="E640" s="1" t="str">
        <f>"3456650143"</f>
        <v>3456650143</v>
      </c>
      <c r="F640" s="1" t="str">
        <f>"اورينگ 3/5-48  p-1004"</f>
        <v>اورينگ 3/5-48  p-1004</v>
      </c>
      <c r="G640" s="1" t="str">
        <f>"عدد"</f>
        <v>عدد</v>
      </c>
      <c r="H640" s="1">
        <v>4</v>
      </c>
      <c r="I640" s="1">
        <v>4000</v>
      </c>
      <c r="J640" s="1">
        <v>0</v>
      </c>
      <c r="K640" s="1">
        <v>0</v>
      </c>
      <c r="L640" s="1">
        <v>0</v>
      </c>
      <c r="M640" s="1">
        <v>0</v>
      </c>
      <c r="O640" s="1">
        <v>97</v>
      </c>
      <c r="P640" s="4">
        <f t="shared" si="27"/>
        <v>4000</v>
      </c>
      <c r="Q640" s="4">
        <f t="shared" si="28"/>
        <v>4</v>
      </c>
      <c r="R640" s="4">
        <f t="shared" si="29"/>
        <v>1000</v>
      </c>
    </row>
    <row r="641" spans="1:18">
      <c r="A641" s="1">
        <v>2</v>
      </c>
      <c r="B641" s="1" t="str">
        <f>"قطعات و لوازم يدكي"</f>
        <v>قطعات و لوازم يدكي</v>
      </c>
      <c r="C641" s="1">
        <v>101</v>
      </c>
      <c r="D641" s="1" t="str">
        <f>"انبار قطعات و لوازم يدكي اصفهان"</f>
        <v>انبار قطعات و لوازم يدكي اصفهان</v>
      </c>
      <c r="E641" s="1" t="str">
        <f>"4301010022"</f>
        <v>4301010022</v>
      </c>
      <c r="F641" s="1" t="str">
        <f>"کاسه نمد 10*90*70"</f>
        <v>کاسه نمد 10*90*70</v>
      </c>
      <c r="G641" s="1" t="str">
        <f>"عدد"</f>
        <v>عدد</v>
      </c>
      <c r="H641" s="1">
        <v>2</v>
      </c>
      <c r="I641" s="1">
        <v>40000</v>
      </c>
      <c r="J641" s="1">
        <v>0</v>
      </c>
      <c r="K641" s="1">
        <v>0</v>
      </c>
      <c r="L641" s="1">
        <v>0</v>
      </c>
      <c r="M641" s="1">
        <v>0</v>
      </c>
      <c r="O641" s="1">
        <v>97</v>
      </c>
      <c r="P641" s="4">
        <f t="shared" si="27"/>
        <v>40000</v>
      </c>
      <c r="Q641" s="4">
        <f t="shared" si="28"/>
        <v>2</v>
      </c>
      <c r="R641" s="4">
        <f t="shared" si="29"/>
        <v>20000</v>
      </c>
    </row>
    <row r="642" spans="1:18">
      <c r="A642" s="1">
        <v>2</v>
      </c>
      <c r="B642" s="1" t="str">
        <f>"قطعات و لوازم يدكي"</f>
        <v>قطعات و لوازم يدكي</v>
      </c>
      <c r="C642" s="1">
        <v>101</v>
      </c>
      <c r="D642" s="1" t="str">
        <f>"انبار قطعات و لوازم يدكي اصفهان"</f>
        <v>انبار قطعات و لوازم يدكي اصفهان</v>
      </c>
      <c r="E642" s="1" t="str">
        <f>"4301010153"</f>
        <v>4301010153</v>
      </c>
      <c r="F642" s="1" t="str">
        <f>"کاسه نمد CR58716 ميکسر"</f>
        <v>کاسه نمد CR58716 ميکسر</v>
      </c>
      <c r="G642" s="1" t="str">
        <f>"عدد"</f>
        <v>عدد</v>
      </c>
      <c r="H642" s="1">
        <v>1</v>
      </c>
      <c r="I642" s="1">
        <v>2900000</v>
      </c>
      <c r="J642" s="1">
        <v>0</v>
      </c>
      <c r="K642" s="1">
        <v>0</v>
      </c>
      <c r="L642" s="1">
        <v>0</v>
      </c>
      <c r="M642" s="1">
        <v>0</v>
      </c>
      <c r="O642" s="1">
        <v>97</v>
      </c>
      <c r="P642" s="4">
        <f t="shared" si="27"/>
        <v>2900000</v>
      </c>
      <c r="Q642" s="4">
        <f t="shared" si="28"/>
        <v>1</v>
      </c>
      <c r="R642" s="4">
        <f t="shared" si="29"/>
        <v>2900000</v>
      </c>
    </row>
    <row r="643" spans="1:18" hidden="1">
      <c r="A643" s="1">
        <v>2</v>
      </c>
      <c r="B643" s="1" t="str">
        <f>"قطعات و لوازم يدكي"</f>
        <v>قطعات و لوازم يدكي</v>
      </c>
      <c r="C643" s="1">
        <v>101</v>
      </c>
      <c r="D643" s="1" t="str">
        <f>"انبار قطعات و لوازم يدكي اصفهان"</f>
        <v>انبار قطعات و لوازم يدكي اصفهان</v>
      </c>
      <c r="E643" s="1" t="str">
        <f>"4301010183"</f>
        <v>4301010183</v>
      </c>
      <c r="F643" s="1" t="str">
        <f>"SPIRING"</f>
        <v>SPIRING</v>
      </c>
      <c r="G643" s="1" t="str">
        <f>"عدد"</f>
        <v>عدد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O643" s="1">
        <v>97</v>
      </c>
      <c r="P643" s="1">
        <f t="shared" ref="P643:P706" si="30">I643+K643-M643</f>
        <v>0</v>
      </c>
      <c r="Q643" s="1">
        <f t="shared" ref="Q643:Q706" si="31">H643+J643-L643</f>
        <v>0</v>
      </c>
      <c r="R643" s="1" t="e">
        <f t="shared" ref="R643:R706" si="32">P643/Q643</f>
        <v>#DIV/0!</v>
      </c>
    </row>
    <row r="644" spans="1:18">
      <c r="A644" s="1">
        <v>2</v>
      </c>
      <c r="B644" s="1" t="str">
        <f>"قطعات و لوازم يدكي"</f>
        <v>قطعات و لوازم يدكي</v>
      </c>
      <c r="C644" s="1">
        <v>101</v>
      </c>
      <c r="D644" s="1" t="str">
        <f>"انبار قطعات و لوازم يدكي اصفهان"</f>
        <v>انبار قطعات و لوازم يدكي اصفهان</v>
      </c>
      <c r="E644" s="1" t="str">
        <f>"4301020073"</f>
        <v>4301020073</v>
      </c>
      <c r="F644" s="1" t="str">
        <f>"بوش مخروطي BC3535F80"</f>
        <v>بوش مخروطي BC3535F80</v>
      </c>
      <c r="G644" s="1" t="str">
        <f>"عدد"</f>
        <v>عدد</v>
      </c>
      <c r="H644" s="1">
        <v>1</v>
      </c>
      <c r="I644" s="1">
        <v>1620000</v>
      </c>
      <c r="J644" s="1">
        <v>0</v>
      </c>
      <c r="K644" s="1">
        <v>0</v>
      </c>
      <c r="L644" s="1">
        <v>0</v>
      </c>
      <c r="M644" s="1">
        <v>0</v>
      </c>
      <c r="O644" s="1">
        <v>97</v>
      </c>
      <c r="P644" s="4">
        <f t="shared" si="30"/>
        <v>1620000</v>
      </c>
      <c r="Q644" s="4">
        <f t="shared" si="31"/>
        <v>1</v>
      </c>
      <c r="R644" s="4">
        <f t="shared" si="32"/>
        <v>1620000</v>
      </c>
    </row>
    <row r="645" spans="1:18">
      <c r="A645" s="1">
        <v>2</v>
      </c>
      <c r="B645" s="1" t="str">
        <f>"قطعات و لوازم يدكي"</f>
        <v>قطعات و لوازم يدكي</v>
      </c>
      <c r="C645" s="1">
        <v>101</v>
      </c>
      <c r="D645" s="1" t="str">
        <f>"انبار قطعات و لوازم يدكي اصفهان"</f>
        <v>انبار قطعات و لوازم يدكي اصفهان</v>
      </c>
      <c r="E645" s="1" t="str">
        <f>"4304021123"</f>
        <v>4304021123</v>
      </c>
      <c r="F645" s="1" t="str">
        <f>"اورينگ 027-585"</f>
        <v>اورينگ 027-585</v>
      </c>
      <c r="G645" s="1" t="str">
        <f>"عدد"</f>
        <v>عدد</v>
      </c>
      <c r="H645" s="1">
        <v>6</v>
      </c>
      <c r="I645" s="1">
        <v>170286</v>
      </c>
      <c r="J645" s="1">
        <v>0</v>
      </c>
      <c r="K645" s="1">
        <v>0</v>
      </c>
      <c r="L645" s="1">
        <v>0</v>
      </c>
      <c r="M645" s="1">
        <v>0</v>
      </c>
      <c r="O645" s="1">
        <v>97</v>
      </c>
      <c r="P645" s="4">
        <f t="shared" si="30"/>
        <v>170286</v>
      </c>
      <c r="Q645" s="4">
        <f t="shared" si="31"/>
        <v>6</v>
      </c>
      <c r="R645" s="4">
        <f t="shared" si="32"/>
        <v>28381</v>
      </c>
    </row>
    <row r="646" spans="1:18">
      <c r="A646" s="1">
        <v>2</v>
      </c>
      <c r="B646" s="1" t="str">
        <f>"قطعات و لوازم يدكي"</f>
        <v>قطعات و لوازم يدكي</v>
      </c>
      <c r="C646" s="1">
        <v>101</v>
      </c>
      <c r="D646" s="1" t="str">
        <f>"انبار قطعات و لوازم يدكي اصفهان"</f>
        <v>انبار قطعات و لوازم يدكي اصفهان</v>
      </c>
      <c r="E646" s="1" t="str">
        <f>"4304021223"</f>
        <v>4304021223</v>
      </c>
      <c r="F646" s="1" t="str">
        <f>"هوزينگ سل رينگ بي"</f>
        <v>هوزينگ سل رينگ بي</v>
      </c>
      <c r="G646" s="1" t="str">
        <f>"عدد"</f>
        <v>عدد</v>
      </c>
      <c r="H646" s="1">
        <v>3</v>
      </c>
      <c r="I646" s="1">
        <v>25862126</v>
      </c>
      <c r="J646" s="1">
        <v>0</v>
      </c>
      <c r="K646" s="1">
        <v>0</v>
      </c>
      <c r="L646" s="1">
        <v>0</v>
      </c>
      <c r="M646" s="1">
        <v>0</v>
      </c>
      <c r="O646" s="1">
        <v>97</v>
      </c>
      <c r="P646" s="4">
        <f t="shared" si="30"/>
        <v>25862126</v>
      </c>
      <c r="Q646" s="4">
        <f t="shared" si="31"/>
        <v>3</v>
      </c>
      <c r="R646" s="4">
        <f t="shared" si="32"/>
        <v>8620708.666666666</v>
      </c>
    </row>
    <row r="647" spans="1:18">
      <c r="A647" s="1">
        <v>2</v>
      </c>
      <c r="B647" s="1" t="str">
        <f>"قطعات و لوازم يدكي"</f>
        <v>قطعات و لوازم يدكي</v>
      </c>
      <c r="C647" s="1">
        <v>101</v>
      </c>
      <c r="D647" s="1" t="str">
        <f>"انبار قطعات و لوازم يدكي اصفهان"</f>
        <v>انبار قطعات و لوازم يدكي اصفهان</v>
      </c>
      <c r="E647" s="1" t="str">
        <f>"4304021253"</f>
        <v>4304021253</v>
      </c>
      <c r="F647" s="1" t="str">
        <f>"اورينگ 023-548"</f>
        <v>اورينگ 023-548</v>
      </c>
      <c r="G647" s="1" t="str">
        <f>"عدد"</f>
        <v>عدد</v>
      </c>
      <c r="H647" s="1">
        <v>1</v>
      </c>
      <c r="I647" s="1">
        <v>214276</v>
      </c>
      <c r="J647" s="1">
        <v>0</v>
      </c>
      <c r="K647" s="1">
        <v>0</v>
      </c>
      <c r="L647" s="1">
        <v>0</v>
      </c>
      <c r="M647" s="1">
        <v>0</v>
      </c>
      <c r="O647" s="1">
        <v>97</v>
      </c>
      <c r="P647" s="4">
        <f t="shared" si="30"/>
        <v>214276</v>
      </c>
      <c r="Q647" s="4">
        <f t="shared" si="31"/>
        <v>1</v>
      </c>
      <c r="R647" s="4">
        <f t="shared" si="32"/>
        <v>214276</v>
      </c>
    </row>
    <row r="648" spans="1:18">
      <c r="A648" s="1">
        <v>2</v>
      </c>
      <c r="B648" s="1" t="str">
        <f>"قطعات و لوازم يدكي"</f>
        <v>قطعات و لوازم يدكي</v>
      </c>
      <c r="C648" s="1">
        <v>101</v>
      </c>
      <c r="D648" s="1" t="str">
        <f>"انبار قطعات و لوازم يدكي اصفهان"</f>
        <v>انبار قطعات و لوازم يدكي اصفهان</v>
      </c>
      <c r="E648" s="1" t="str">
        <f>"4304021263"</f>
        <v>4304021263</v>
      </c>
      <c r="F648" s="1" t="str">
        <f>"اورينگ 548.022"</f>
        <v>اورينگ 548.022</v>
      </c>
      <c r="G648" s="1" t="str">
        <f>"عدد"</f>
        <v>عدد</v>
      </c>
      <c r="H648" s="1">
        <v>1</v>
      </c>
      <c r="I648" s="1">
        <v>151838</v>
      </c>
      <c r="J648" s="1">
        <v>0</v>
      </c>
      <c r="K648" s="1">
        <v>0</v>
      </c>
      <c r="L648" s="1">
        <v>0</v>
      </c>
      <c r="M648" s="1">
        <v>0</v>
      </c>
      <c r="O648" s="1">
        <v>97</v>
      </c>
      <c r="P648" s="4">
        <f t="shared" si="30"/>
        <v>151838</v>
      </c>
      <c r="Q648" s="4">
        <f t="shared" si="31"/>
        <v>1</v>
      </c>
      <c r="R648" s="4">
        <f t="shared" si="32"/>
        <v>151838</v>
      </c>
    </row>
    <row r="649" spans="1:18">
      <c r="A649" s="1">
        <v>2</v>
      </c>
      <c r="B649" s="1" t="str">
        <f>"قطعات و لوازم يدكي"</f>
        <v>قطعات و لوازم يدكي</v>
      </c>
      <c r="C649" s="1">
        <v>101</v>
      </c>
      <c r="D649" s="1" t="str">
        <f>"انبار قطعات و لوازم يدكي اصفهان"</f>
        <v>انبار قطعات و لوازم يدكي اصفهان</v>
      </c>
      <c r="E649" s="1" t="str">
        <f>"4304021313"</f>
        <v>4304021313</v>
      </c>
      <c r="F649" s="1" t="str">
        <f>"سنتري فوگل ديسك"</f>
        <v>سنتري فوگل ديسك</v>
      </c>
      <c r="G649" s="1" t="str">
        <f>"عدد"</f>
        <v>عدد</v>
      </c>
      <c r="H649" s="1">
        <v>2</v>
      </c>
      <c r="I649" s="1">
        <v>3783179</v>
      </c>
      <c r="J649" s="1">
        <v>0</v>
      </c>
      <c r="K649" s="1">
        <v>0</v>
      </c>
      <c r="L649" s="1">
        <v>0</v>
      </c>
      <c r="M649" s="1">
        <v>0</v>
      </c>
      <c r="O649" s="1">
        <v>97</v>
      </c>
      <c r="P649" s="4">
        <f t="shared" si="30"/>
        <v>3783179</v>
      </c>
      <c r="Q649" s="4">
        <f t="shared" si="31"/>
        <v>2</v>
      </c>
      <c r="R649" s="4">
        <f t="shared" si="32"/>
        <v>1891589.5</v>
      </c>
    </row>
    <row r="650" spans="1:18">
      <c r="A650" s="1">
        <v>2</v>
      </c>
      <c r="B650" s="1" t="str">
        <f>"قطعات و لوازم يدكي"</f>
        <v>قطعات و لوازم يدكي</v>
      </c>
      <c r="C650" s="1">
        <v>101</v>
      </c>
      <c r="D650" s="1" t="str">
        <f>"انبار قطعات و لوازم يدكي اصفهان"</f>
        <v>انبار قطعات و لوازم يدكي اصفهان</v>
      </c>
      <c r="E650" s="1" t="str">
        <f>"4304021373"</f>
        <v>4304021373</v>
      </c>
      <c r="F650" s="1" t="str">
        <f>"اورينگ 016-548"</f>
        <v>اورينگ 016-548</v>
      </c>
      <c r="G650" s="1" t="str">
        <f>"عدد"</f>
        <v>عدد</v>
      </c>
      <c r="H650" s="1">
        <v>1</v>
      </c>
      <c r="I650" s="1">
        <v>144743</v>
      </c>
      <c r="J650" s="1">
        <v>0</v>
      </c>
      <c r="K650" s="1">
        <v>0</v>
      </c>
      <c r="L650" s="1">
        <v>0</v>
      </c>
      <c r="M650" s="1">
        <v>0</v>
      </c>
      <c r="O650" s="1">
        <v>97</v>
      </c>
      <c r="P650" s="4">
        <f t="shared" si="30"/>
        <v>144743</v>
      </c>
      <c r="Q650" s="4">
        <f t="shared" si="31"/>
        <v>1</v>
      </c>
      <c r="R650" s="4">
        <f t="shared" si="32"/>
        <v>144743</v>
      </c>
    </row>
    <row r="651" spans="1:18">
      <c r="A651" s="1">
        <v>2</v>
      </c>
      <c r="B651" s="1" t="str">
        <f>"قطعات و لوازم يدكي"</f>
        <v>قطعات و لوازم يدكي</v>
      </c>
      <c r="C651" s="1">
        <v>101</v>
      </c>
      <c r="D651" s="1" t="str">
        <f>"انبار قطعات و لوازم يدكي اصفهان"</f>
        <v>انبار قطعات و لوازم يدكي اصفهان</v>
      </c>
      <c r="E651" s="1" t="str">
        <f>"4304021383"</f>
        <v>4304021383</v>
      </c>
      <c r="F651" s="1" t="str">
        <f>"فيكسينگ سگمنت"</f>
        <v>فيكسينگ سگمنت</v>
      </c>
      <c r="G651" s="1" t="str">
        <f>"عدد"</f>
        <v>عدد</v>
      </c>
      <c r="H651" s="1">
        <v>2</v>
      </c>
      <c r="I651" s="1">
        <v>39723</v>
      </c>
      <c r="J651" s="1">
        <v>0</v>
      </c>
      <c r="K651" s="1">
        <v>0</v>
      </c>
      <c r="L651" s="1">
        <v>0</v>
      </c>
      <c r="M651" s="1">
        <v>0</v>
      </c>
      <c r="O651" s="1">
        <v>97</v>
      </c>
      <c r="P651" s="4">
        <f t="shared" si="30"/>
        <v>39723</v>
      </c>
      <c r="Q651" s="4">
        <f t="shared" si="31"/>
        <v>2</v>
      </c>
      <c r="R651" s="4">
        <f t="shared" si="32"/>
        <v>19861.5</v>
      </c>
    </row>
    <row r="652" spans="1:18">
      <c r="A652" s="1">
        <v>2</v>
      </c>
      <c r="B652" s="1" t="str">
        <f>"قطعات و لوازم يدكي"</f>
        <v>قطعات و لوازم يدكي</v>
      </c>
      <c r="C652" s="1">
        <v>101</v>
      </c>
      <c r="D652" s="1" t="str">
        <f>"انبار قطعات و لوازم يدكي اصفهان"</f>
        <v>انبار قطعات و لوازم يدكي اصفهان</v>
      </c>
      <c r="E652" s="1" t="str">
        <f>"4304021413"</f>
        <v>4304021413</v>
      </c>
      <c r="F652" s="1" t="str">
        <f>"فلانگ ديسك"</f>
        <v>فلانگ ديسك</v>
      </c>
      <c r="G652" s="1" t="str">
        <f>"عدد"</f>
        <v>عدد</v>
      </c>
      <c r="H652" s="1">
        <v>2</v>
      </c>
      <c r="I652" s="1">
        <v>10918145</v>
      </c>
      <c r="J652" s="1">
        <v>0</v>
      </c>
      <c r="K652" s="1">
        <v>0</v>
      </c>
      <c r="L652" s="1">
        <v>0</v>
      </c>
      <c r="M652" s="1">
        <v>0</v>
      </c>
      <c r="O652" s="1">
        <v>97</v>
      </c>
      <c r="P652" s="4">
        <f t="shared" si="30"/>
        <v>10918145</v>
      </c>
      <c r="Q652" s="4">
        <f t="shared" si="31"/>
        <v>2</v>
      </c>
      <c r="R652" s="4">
        <f t="shared" si="32"/>
        <v>5459072.5</v>
      </c>
    </row>
    <row r="653" spans="1:18">
      <c r="A653" s="1">
        <v>2</v>
      </c>
      <c r="B653" s="1" t="str">
        <f>"قطعات و لوازم يدكي"</f>
        <v>قطعات و لوازم يدكي</v>
      </c>
      <c r="C653" s="1">
        <v>101</v>
      </c>
      <c r="D653" s="1" t="str">
        <f>"انبار قطعات و لوازم يدكي اصفهان"</f>
        <v>انبار قطعات و لوازم يدكي اصفهان</v>
      </c>
      <c r="E653" s="1" t="str">
        <f>"4314700012"</f>
        <v>4314700012</v>
      </c>
      <c r="F653" s="1" t="str">
        <f>"رينگ نگهدارنده ايگنيشن"</f>
        <v>رينگ نگهدارنده ايگنيشن</v>
      </c>
      <c r="G653" s="1" t="str">
        <f>"عدد"</f>
        <v>عدد</v>
      </c>
      <c r="H653" s="1">
        <v>22</v>
      </c>
      <c r="I653" s="1">
        <v>4950000</v>
      </c>
      <c r="J653" s="1">
        <v>0</v>
      </c>
      <c r="K653" s="1">
        <v>0</v>
      </c>
      <c r="L653" s="1">
        <v>4</v>
      </c>
      <c r="M653" s="1">
        <v>900000</v>
      </c>
      <c r="O653" s="1">
        <v>97</v>
      </c>
      <c r="P653" s="4">
        <f t="shared" si="30"/>
        <v>4050000</v>
      </c>
      <c r="Q653" s="4">
        <f t="shared" si="31"/>
        <v>18</v>
      </c>
      <c r="R653" s="4">
        <f t="shared" si="32"/>
        <v>225000</v>
      </c>
    </row>
    <row r="654" spans="1:18">
      <c r="A654" s="1">
        <v>2</v>
      </c>
      <c r="B654" s="1" t="str">
        <f>"قطعات و لوازم يدكي"</f>
        <v>قطعات و لوازم يدكي</v>
      </c>
      <c r="C654" s="1">
        <v>101</v>
      </c>
      <c r="D654" s="1" t="str">
        <f>"انبار قطعات و لوازم يدكي اصفهان"</f>
        <v>انبار قطعات و لوازم يدكي اصفهان</v>
      </c>
      <c r="E654" s="1" t="str">
        <f>"4353021562"</f>
        <v>4353021562</v>
      </c>
      <c r="F654" s="1" t="str">
        <f>"گسگت فلزي E-1001A/B (شل)"</f>
        <v>گسگت فلزي E-1001A/B (شل)</v>
      </c>
      <c r="G654" s="1" t="str">
        <f>"عدد"</f>
        <v>عدد</v>
      </c>
      <c r="H654" s="1">
        <v>7</v>
      </c>
      <c r="I654" s="1">
        <v>117723709</v>
      </c>
      <c r="J654" s="1">
        <v>5</v>
      </c>
      <c r="K654" s="1">
        <v>62678500</v>
      </c>
      <c r="L654" s="1">
        <v>2</v>
      </c>
      <c r="M654" s="1">
        <v>33635346</v>
      </c>
      <c r="O654" s="1">
        <v>97</v>
      </c>
      <c r="P654" s="4">
        <f t="shared" si="30"/>
        <v>146766863</v>
      </c>
      <c r="Q654" s="4">
        <f t="shared" si="31"/>
        <v>10</v>
      </c>
      <c r="R654" s="4">
        <f t="shared" si="32"/>
        <v>14676686.300000001</v>
      </c>
    </row>
    <row r="655" spans="1:18" hidden="1">
      <c r="A655" s="1">
        <v>2</v>
      </c>
      <c r="B655" s="1" t="str">
        <f>"قطعات و لوازم يدكي"</f>
        <v>قطعات و لوازم يدكي</v>
      </c>
      <c r="C655" s="1">
        <v>101</v>
      </c>
      <c r="D655" s="1" t="str">
        <f>"انبار قطعات و لوازم يدكي اصفهان"</f>
        <v>انبار قطعات و لوازم يدكي اصفهان</v>
      </c>
      <c r="E655" s="1" t="str">
        <f>"5800083142"</f>
        <v>5800083142</v>
      </c>
      <c r="F655" s="1" t="str">
        <f>"BALL BEARING 6214 rz"</f>
        <v>BALL BEARING 6214 rz</v>
      </c>
      <c r="G655" s="1" t="str">
        <f>"عدد"</f>
        <v>عدد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O655" s="1">
        <v>97</v>
      </c>
      <c r="P655" s="1">
        <f t="shared" si="30"/>
        <v>0</v>
      </c>
      <c r="Q655" s="1">
        <f t="shared" si="31"/>
        <v>0</v>
      </c>
      <c r="R655" s="1" t="e">
        <f t="shared" si="32"/>
        <v>#DIV/0!</v>
      </c>
    </row>
    <row r="656" spans="1:18">
      <c r="A656" s="1">
        <v>2</v>
      </c>
      <c r="B656" s="1" t="str">
        <f>"قطعات و لوازم يدكي"</f>
        <v>قطعات و لوازم يدكي</v>
      </c>
      <c r="C656" s="1">
        <v>101</v>
      </c>
      <c r="D656" s="1" t="str">
        <f>"انبار قطعات و لوازم يدكي اصفهان"</f>
        <v>انبار قطعات و لوازم يدكي اصفهان</v>
      </c>
      <c r="E656" s="1" t="str">
        <f>"5800146122"</f>
        <v>5800146122</v>
      </c>
      <c r="F656" s="1" t="str">
        <f>"BALL BEARING 6312 2Z C3"</f>
        <v>BALL BEARING 6312 2Z C3</v>
      </c>
      <c r="G656" s="1" t="str">
        <f>"عدد"</f>
        <v>عدد</v>
      </c>
      <c r="H656" s="1">
        <v>2</v>
      </c>
      <c r="I656" s="1">
        <v>2700000</v>
      </c>
      <c r="J656" s="1">
        <v>0</v>
      </c>
      <c r="K656" s="1">
        <v>0</v>
      </c>
      <c r="L656" s="1">
        <v>0</v>
      </c>
      <c r="M656" s="1">
        <v>0</v>
      </c>
      <c r="O656" s="1">
        <v>97</v>
      </c>
      <c r="P656" s="4">
        <f t="shared" si="30"/>
        <v>2700000</v>
      </c>
      <c r="Q656" s="4">
        <f t="shared" si="31"/>
        <v>2</v>
      </c>
      <c r="R656" s="4">
        <f t="shared" si="32"/>
        <v>1350000</v>
      </c>
    </row>
    <row r="657" spans="1:18">
      <c r="A657" s="1">
        <v>2</v>
      </c>
      <c r="B657" s="1" t="str">
        <f>"قطعات و لوازم يدكي"</f>
        <v>قطعات و لوازم يدكي</v>
      </c>
      <c r="C657" s="1">
        <v>101</v>
      </c>
      <c r="D657" s="1" t="str">
        <f>"انبار قطعات و لوازم يدكي اصفهان"</f>
        <v>انبار قطعات و لوازم يدكي اصفهان</v>
      </c>
      <c r="E657" s="1" t="str">
        <f>"5800168042"</f>
        <v>5800168042</v>
      </c>
      <c r="F657" s="1" t="str">
        <f>"بال بيرينگ 6304-2z/c3"</f>
        <v>بال بيرينگ 6304-2z/c3</v>
      </c>
      <c r="G657" s="1" t="str">
        <f>"عدد"</f>
        <v>عدد</v>
      </c>
      <c r="H657" s="1">
        <v>3</v>
      </c>
      <c r="I657" s="1">
        <v>105000</v>
      </c>
      <c r="J657" s="1">
        <v>0</v>
      </c>
      <c r="K657" s="1">
        <v>0</v>
      </c>
      <c r="L657" s="1">
        <v>0</v>
      </c>
      <c r="M657" s="1">
        <v>0</v>
      </c>
      <c r="O657" s="1">
        <v>97</v>
      </c>
      <c r="P657" s="4">
        <f t="shared" si="30"/>
        <v>105000</v>
      </c>
      <c r="Q657" s="4">
        <f t="shared" si="31"/>
        <v>3</v>
      </c>
      <c r="R657" s="4">
        <f t="shared" si="32"/>
        <v>35000</v>
      </c>
    </row>
    <row r="658" spans="1:18" hidden="1">
      <c r="A658" s="1">
        <v>2</v>
      </c>
      <c r="B658" s="1" t="str">
        <f>"قطعات و لوازم يدكي"</f>
        <v>قطعات و لوازم يدكي</v>
      </c>
      <c r="C658" s="1">
        <v>101</v>
      </c>
      <c r="D658" s="1" t="str">
        <f>"انبار قطعات و لوازم يدكي اصفهان"</f>
        <v>انبار قطعات و لوازم يدكي اصفهان</v>
      </c>
      <c r="E658" s="1" t="str">
        <f>"5820786073"</f>
        <v>5820786073</v>
      </c>
      <c r="F658" s="1" t="str">
        <f>"مكاني كال سيل پكينگ(mechanical seal packing)"</f>
        <v>مكاني كال سيل پكينگ(mechanical seal packing)</v>
      </c>
      <c r="G658" s="1" t="str">
        <f>"عدد"</f>
        <v>عدد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O658" s="1">
        <v>97</v>
      </c>
      <c r="P658" s="1">
        <f t="shared" si="30"/>
        <v>0</v>
      </c>
      <c r="Q658" s="1">
        <f t="shared" si="31"/>
        <v>0</v>
      </c>
      <c r="R658" s="1" t="e">
        <f t="shared" si="32"/>
        <v>#DIV/0!</v>
      </c>
    </row>
    <row r="659" spans="1:18" hidden="1">
      <c r="A659" s="1">
        <v>2</v>
      </c>
      <c r="B659" s="1" t="str">
        <f>"قطعات و لوازم يدكي"</f>
        <v>قطعات و لوازم يدكي</v>
      </c>
      <c r="C659" s="1">
        <v>101</v>
      </c>
      <c r="D659" s="1" t="str">
        <f>"انبار قطعات و لوازم يدكي اصفهان"</f>
        <v>انبار قطعات و لوازم يدكي اصفهان</v>
      </c>
      <c r="E659" s="1" t="str">
        <f>"5870277152"</f>
        <v>5870277152</v>
      </c>
      <c r="F659" s="1" t="str">
        <f>"پيچ حلزوني مخصوص ولو"</f>
        <v>پيچ حلزوني مخصوص ولو</v>
      </c>
      <c r="G659" s="1" t="str">
        <f>"عدد"</f>
        <v>عدد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O659" s="1">
        <v>97</v>
      </c>
      <c r="P659" s="1">
        <f t="shared" si="30"/>
        <v>0</v>
      </c>
      <c r="Q659" s="1">
        <f t="shared" si="31"/>
        <v>0</v>
      </c>
      <c r="R659" s="1" t="e">
        <f t="shared" si="32"/>
        <v>#DIV/0!</v>
      </c>
    </row>
    <row r="660" spans="1:18">
      <c r="A660" s="1">
        <v>2</v>
      </c>
      <c r="B660" s="1" t="str">
        <f>"قطعات و لوازم يدكي"</f>
        <v>قطعات و لوازم يدكي</v>
      </c>
      <c r="C660" s="1">
        <v>101</v>
      </c>
      <c r="D660" s="1" t="str">
        <f>"انبار قطعات و لوازم يدكي اصفهان"</f>
        <v>انبار قطعات و لوازم يدكي اصفهان</v>
      </c>
      <c r="E660" s="1" t="str">
        <f>"5902030033"</f>
        <v>5902030033</v>
      </c>
      <c r="F660" s="1" t="str">
        <f>"POWER SUPPLY DC 24V/2.5A(6EP1332-1SH71"</f>
        <v>POWER SUPPLY DC 24V/2.5A(6EP1332-1SH71</v>
      </c>
      <c r="G660" s="1" t="str">
        <f>"عدد"</f>
        <v>عدد</v>
      </c>
      <c r="H660" s="1">
        <v>0</v>
      </c>
      <c r="I660" s="1">
        <v>0</v>
      </c>
      <c r="J660" s="1">
        <v>2</v>
      </c>
      <c r="K660" s="1">
        <v>12792782</v>
      </c>
      <c r="L660" s="1">
        <v>0</v>
      </c>
      <c r="M660" s="1">
        <v>0</v>
      </c>
      <c r="O660" s="1">
        <v>97</v>
      </c>
      <c r="P660" s="4">
        <f t="shared" si="30"/>
        <v>12792782</v>
      </c>
      <c r="Q660" s="4">
        <f t="shared" si="31"/>
        <v>2</v>
      </c>
      <c r="R660" s="4">
        <f t="shared" si="32"/>
        <v>6396391</v>
      </c>
    </row>
    <row r="661" spans="1:18">
      <c r="A661" s="1">
        <v>2</v>
      </c>
      <c r="B661" s="1" t="str">
        <f>"قطعات و لوازم يدكي"</f>
        <v>قطعات و لوازم يدكي</v>
      </c>
      <c r="C661" s="1">
        <v>101</v>
      </c>
      <c r="D661" s="1" t="str">
        <f>"انبار قطعات و لوازم يدكي اصفهان"</f>
        <v>انبار قطعات و لوازم يدكي اصفهان</v>
      </c>
      <c r="E661" s="1" t="str">
        <f>"5923754213"</f>
        <v>5923754213</v>
      </c>
      <c r="F661" s="1" t="str">
        <f>"بوشينگ 1c9858*0022"</f>
        <v>بوشينگ 1c9858*0022</v>
      </c>
      <c r="G661" s="1" t="str">
        <f>"عدد"</f>
        <v>عدد</v>
      </c>
      <c r="H661" s="1">
        <v>3</v>
      </c>
      <c r="I661" s="1">
        <v>59162535</v>
      </c>
      <c r="J661" s="1">
        <v>0</v>
      </c>
      <c r="K661" s="1">
        <v>0</v>
      </c>
      <c r="L661" s="1">
        <v>0</v>
      </c>
      <c r="M661" s="1">
        <v>0</v>
      </c>
      <c r="O661" s="1">
        <v>97</v>
      </c>
      <c r="P661" s="4">
        <f t="shared" si="30"/>
        <v>59162535</v>
      </c>
      <c r="Q661" s="4">
        <f t="shared" si="31"/>
        <v>3</v>
      </c>
      <c r="R661" s="4">
        <f t="shared" si="32"/>
        <v>19720845</v>
      </c>
    </row>
    <row r="662" spans="1:18">
      <c r="A662" s="1">
        <v>2</v>
      </c>
      <c r="B662" s="1" t="str">
        <f>"قطعات و لوازم يدكي"</f>
        <v>قطعات و لوازم يدكي</v>
      </c>
      <c r="C662" s="1">
        <v>101</v>
      </c>
      <c r="D662" s="1" t="str">
        <f>"انبار قطعات و لوازم يدكي اصفهان"</f>
        <v>انبار قطعات و لوازم يدكي اصفهان</v>
      </c>
      <c r="E662" s="1" t="str">
        <f>"5923774763"</f>
        <v>5923774763</v>
      </c>
      <c r="F662" s="1" t="str">
        <f>"كاسكت ا.اس.بي.نيت"</f>
        <v>كاسكت ا.اس.بي.نيت</v>
      </c>
      <c r="G662" s="1" t="str">
        <f>"عدد"</f>
        <v>عدد</v>
      </c>
      <c r="H662" s="1">
        <v>9</v>
      </c>
      <c r="I662" s="1">
        <v>2303671</v>
      </c>
      <c r="J662" s="1">
        <v>0</v>
      </c>
      <c r="K662" s="1">
        <v>0</v>
      </c>
      <c r="L662" s="1">
        <v>0</v>
      </c>
      <c r="M662" s="1">
        <v>0</v>
      </c>
      <c r="O662" s="1">
        <v>97</v>
      </c>
      <c r="P662" s="4">
        <f t="shared" si="30"/>
        <v>2303671</v>
      </c>
      <c r="Q662" s="4">
        <f t="shared" si="31"/>
        <v>9</v>
      </c>
      <c r="R662" s="4">
        <f t="shared" si="32"/>
        <v>255963.44444444444</v>
      </c>
    </row>
    <row r="663" spans="1:18">
      <c r="A663" s="1">
        <v>2</v>
      </c>
      <c r="B663" s="1" t="str">
        <f>"قطعات و لوازم يدكي"</f>
        <v>قطعات و لوازم يدكي</v>
      </c>
      <c r="C663" s="1">
        <v>101</v>
      </c>
      <c r="D663" s="1" t="str">
        <f>"انبار قطعات و لوازم يدكي اصفهان"</f>
        <v>انبار قطعات و لوازم يدكي اصفهان</v>
      </c>
      <c r="E663" s="1" t="str">
        <f>"5923784163"</f>
        <v>5923784163</v>
      </c>
      <c r="F663" s="1" t="str">
        <f>"كاسكت 99282-3722"</f>
        <v>كاسكت 99282-3722</v>
      </c>
      <c r="G663" s="1" t="str">
        <f>"عدد"</f>
        <v>عدد</v>
      </c>
      <c r="H663" s="1">
        <v>9</v>
      </c>
      <c r="I663" s="1">
        <v>3429121</v>
      </c>
      <c r="J663" s="1">
        <v>0</v>
      </c>
      <c r="K663" s="1">
        <v>0</v>
      </c>
      <c r="L663" s="1">
        <v>0</v>
      </c>
      <c r="M663" s="1">
        <v>0</v>
      </c>
      <c r="O663" s="1">
        <v>97</v>
      </c>
      <c r="P663" s="4">
        <f t="shared" si="30"/>
        <v>3429121</v>
      </c>
      <c r="Q663" s="4">
        <f t="shared" si="31"/>
        <v>9</v>
      </c>
      <c r="R663" s="4">
        <f t="shared" si="32"/>
        <v>381013.44444444444</v>
      </c>
    </row>
    <row r="664" spans="1:18">
      <c r="A664" s="1">
        <v>2</v>
      </c>
      <c r="B664" s="1" t="str">
        <f>"قطعات و لوازم يدكي"</f>
        <v>قطعات و لوازم يدكي</v>
      </c>
      <c r="C664" s="1">
        <v>101</v>
      </c>
      <c r="D664" s="1" t="str">
        <f>"انبار قطعات و لوازم يدكي اصفهان"</f>
        <v>انبار قطعات و لوازم يدكي اصفهان</v>
      </c>
      <c r="E664" s="1" t="str">
        <f>"6900000022"</f>
        <v>6900000022</v>
      </c>
      <c r="F664" s="1" t="str">
        <f>"گلند کامل ضد انفجار"</f>
        <v>گلند کامل ضد انفجار</v>
      </c>
      <c r="G664" s="1" t="str">
        <f>"عدد"</f>
        <v>عدد</v>
      </c>
      <c r="H664" s="1">
        <v>11</v>
      </c>
      <c r="I664" s="1">
        <v>2530000</v>
      </c>
      <c r="J664" s="1">
        <v>0</v>
      </c>
      <c r="K664" s="1">
        <v>0</v>
      </c>
      <c r="L664" s="1">
        <v>4</v>
      </c>
      <c r="M664" s="1">
        <v>920000</v>
      </c>
      <c r="O664" s="1">
        <v>97</v>
      </c>
      <c r="P664" s="4">
        <f t="shared" si="30"/>
        <v>1610000</v>
      </c>
      <c r="Q664" s="4">
        <f t="shared" si="31"/>
        <v>7</v>
      </c>
      <c r="R664" s="4">
        <f t="shared" si="32"/>
        <v>230000</v>
      </c>
    </row>
    <row r="665" spans="1:18" hidden="1">
      <c r="A665" s="1">
        <v>2</v>
      </c>
      <c r="B665" s="1" t="str">
        <f>"قطعات و لوازم يدكي"</f>
        <v>قطعات و لوازم يدكي</v>
      </c>
      <c r="C665" s="1">
        <v>101</v>
      </c>
      <c r="D665" s="1" t="str">
        <f>"انبار قطعات و لوازم يدكي اصفهان"</f>
        <v>انبار قطعات و لوازم يدكي اصفهان</v>
      </c>
      <c r="E665" s="1" t="str">
        <f>"6901020032"</f>
        <v>6901020032</v>
      </c>
      <c r="F665" s="1" t="str">
        <f>"چراغ ضد و نم غبار سه ماژول"</f>
        <v>چراغ ضد و نم غبار سه ماژول</v>
      </c>
      <c r="G665" s="1" t="str">
        <f>"عدد"</f>
        <v>عدد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O665" s="1">
        <v>97</v>
      </c>
      <c r="P665" s="1">
        <f t="shared" si="30"/>
        <v>0</v>
      </c>
      <c r="Q665" s="1">
        <f t="shared" si="31"/>
        <v>0</v>
      </c>
      <c r="R665" s="1" t="e">
        <f t="shared" si="32"/>
        <v>#DIV/0!</v>
      </c>
    </row>
    <row r="666" spans="1:18" hidden="1">
      <c r="A666" s="1">
        <v>2</v>
      </c>
      <c r="B666" s="1" t="str">
        <f>"قطعات و لوازم يدكي"</f>
        <v>قطعات و لوازم يدكي</v>
      </c>
      <c r="C666" s="1">
        <v>101</v>
      </c>
      <c r="D666" s="1" t="str">
        <f>"انبار قطعات و لوازم يدكي اصفهان"</f>
        <v>انبار قطعات و لوازم يدكي اصفهان</v>
      </c>
      <c r="E666" s="1" t="str">
        <f>"6901020182"</f>
        <v>6901020182</v>
      </c>
      <c r="F666" s="1" t="str">
        <f>"بست چنگالي 1 اينچ"</f>
        <v>بست چنگالي 1 اينچ</v>
      </c>
      <c r="G666" s="1" t="str">
        <f>"عدد"</f>
        <v>عدد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O666" s="1">
        <v>97</v>
      </c>
      <c r="P666" s="1">
        <f t="shared" si="30"/>
        <v>0</v>
      </c>
      <c r="Q666" s="1">
        <f t="shared" si="31"/>
        <v>0</v>
      </c>
      <c r="R666" s="1" t="e">
        <f t="shared" si="32"/>
        <v>#DIV/0!</v>
      </c>
    </row>
    <row r="667" spans="1:18">
      <c r="A667" s="1">
        <v>2</v>
      </c>
      <c r="B667" s="1" t="str">
        <f>"قطعات و لوازم يدكي"</f>
        <v>قطعات و لوازم يدكي</v>
      </c>
      <c r="C667" s="1">
        <v>101</v>
      </c>
      <c r="D667" s="1" t="str">
        <f>"انبار قطعات و لوازم يدكي اصفهان"</f>
        <v>انبار قطعات و لوازم يدكي اصفهان</v>
      </c>
      <c r="E667" s="1" t="str">
        <f>"6901400202"</f>
        <v>6901400202</v>
      </c>
      <c r="F667" s="1" t="str">
        <f>"لامپ كم مصرف مهتابي 18w"</f>
        <v>لامپ كم مصرف مهتابي 18w</v>
      </c>
      <c r="G667" s="1" t="str">
        <f>"عدد"</f>
        <v>عدد</v>
      </c>
      <c r="H667" s="1">
        <v>0</v>
      </c>
      <c r="I667" s="1">
        <v>0</v>
      </c>
      <c r="J667" s="1">
        <v>50</v>
      </c>
      <c r="K667" s="1">
        <v>4250000</v>
      </c>
      <c r="L667" s="1">
        <v>45</v>
      </c>
      <c r="M667" s="1">
        <v>3825000</v>
      </c>
      <c r="O667" s="1">
        <v>97</v>
      </c>
      <c r="P667" s="4">
        <f t="shared" si="30"/>
        <v>425000</v>
      </c>
      <c r="Q667" s="4">
        <f t="shared" si="31"/>
        <v>5</v>
      </c>
      <c r="R667" s="4">
        <f t="shared" si="32"/>
        <v>85000</v>
      </c>
    </row>
    <row r="668" spans="1:18">
      <c r="A668" s="1">
        <v>2</v>
      </c>
      <c r="B668" s="1" t="str">
        <f>"قطعات و لوازم يدكي"</f>
        <v>قطعات و لوازم يدكي</v>
      </c>
      <c r="C668" s="1">
        <v>101</v>
      </c>
      <c r="D668" s="1" t="str">
        <f>"انبار قطعات و لوازم يدكي اصفهان"</f>
        <v>انبار قطعات و لوازم يدكي اصفهان</v>
      </c>
      <c r="E668" s="1" t="str">
        <f>"6941781422"</f>
        <v>6941781422</v>
      </c>
      <c r="F668" s="1" t="str">
        <f>"لامپ افتابي 40w"</f>
        <v>لامپ افتابي 40w</v>
      </c>
      <c r="G668" s="1" t="str">
        <f>"عدد"</f>
        <v>عدد</v>
      </c>
      <c r="H668" s="1">
        <v>119</v>
      </c>
      <c r="I668" s="1">
        <v>2077772</v>
      </c>
      <c r="J668" s="1">
        <v>0</v>
      </c>
      <c r="K668" s="1">
        <v>0</v>
      </c>
      <c r="L668" s="1">
        <v>60</v>
      </c>
      <c r="M668" s="1">
        <v>1047616</v>
      </c>
      <c r="O668" s="1">
        <v>97</v>
      </c>
      <c r="P668" s="4">
        <f t="shared" si="30"/>
        <v>1030156</v>
      </c>
      <c r="Q668" s="4">
        <f t="shared" si="31"/>
        <v>59</v>
      </c>
      <c r="R668" s="4">
        <f t="shared" si="32"/>
        <v>17460.271186440677</v>
      </c>
    </row>
    <row r="669" spans="1:18">
      <c r="A669" s="1">
        <v>2</v>
      </c>
      <c r="B669" s="1" t="str">
        <f>"قطعات و لوازم يدكي"</f>
        <v>قطعات و لوازم يدكي</v>
      </c>
      <c r="C669" s="1">
        <v>101</v>
      </c>
      <c r="D669" s="1" t="str">
        <f>"انبار قطعات و لوازم يدكي اصفهان"</f>
        <v>انبار قطعات و لوازم يدكي اصفهان</v>
      </c>
      <c r="E669" s="1" t="str">
        <f>"6941781442"</f>
        <v>6941781442</v>
      </c>
      <c r="F669" s="1" t="str">
        <f>"لامپ LED 18W  مهتابي"</f>
        <v>لامپ LED 18W  مهتابي</v>
      </c>
      <c r="G669" s="1" t="str">
        <f>"عدد"</f>
        <v>عدد</v>
      </c>
      <c r="H669" s="1">
        <v>0</v>
      </c>
      <c r="I669" s="1">
        <v>0</v>
      </c>
      <c r="J669" s="1">
        <v>50</v>
      </c>
      <c r="K669" s="1">
        <v>23000000</v>
      </c>
      <c r="L669" s="1">
        <v>0</v>
      </c>
      <c r="M669" s="1">
        <v>0</v>
      </c>
      <c r="O669" s="1">
        <v>97</v>
      </c>
      <c r="P669" s="4">
        <f t="shared" si="30"/>
        <v>23000000</v>
      </c>
      <c r="Q669" s="4">
        <f t="shared" si="31"/>
        <v>50</v>
      </c>
      <c r="R669" s="4">
        <f t="shared" si="32"/>
        <v>460000</v>
      </c>
    </row>
    <row r="670" spans="1:18">
      <c r="A670" s="1">
        <v>2</v>
      </c>
      <c r="B670" s="1" t="str">
        <f>"قطعات و لوازم يدكي"</f>
        <v>قطعات و لوازم يدكي</v>
      </c>
      <c r="C670" s="1">
        <v>101</v>
      </c>
      <c r="D670" s="1" t="str">
        <f>"انبار قطعات و لوازم يدكي اصفهان"</f>
        <v>انبار قطعات و لوازم يدكي اصفهان</v>
      </c>
      <c r="E670" s="1" t="str">
        <f>"6952025622"</f>
        <v>6952025622</v>
      </c>
      <c r="F670" s="1" t="str">
        <f>"پايه مهتابي"</f>
        <v>پايه مهتابي</v>
      </c>
      <c r="G670" s="1" t="str">
        <f>"عدد"</f>
        <v>عدد</v>
      </c>
      <c r="H670" s="1">
        <v>7</v>
      </c>
      <c r="I670" s="1">
        <v>17723</v>
      </c>
      <c r="J670" s="1">
        <v>0</v>
      </c>
      <c r="K670" s="1">
        <v>0</v>
      </c>
      <c r="L670" s="1">
        <v>0</v>
      </c>
      <c r="M670" s="1">
        <v>0</v>
      </c>
      <c r="O670" s="1">
        <v>97</v>
      </c>
      <c r="P670" s="4">
        <f t="shared" si="30"/>
        <v>17723</v>
      </c>
      <c r="Q670" s="4">
        <f t="shared" si="31"/>
        <v>7</v>
      </c>
      <c r="R670" s="4">
        <f t="shared" si="32"/>
        <v>2531.8571428571427</v>
      </c>
    </row>
    <row r="671" spans="1:18">
      <c r="A671" s="1">
        <v>2</v>
      </c>
      <c r="B671" s="1" t="str">
        <f>"قطعات و لوازم يدكي"</f>
        <v>قطعات و لوازم يدكي</v>
      </c>
      <c r="C671" s="1">
        <v>101</v>
      </c>
      <c r="D671" s="1" t="str">
        <f>"انبار قطعات و لوازم يدكي اصفهان"</f>
        <v>انبار قطعات و لوازم يدكي اصفهان</v>
      </c>
      <c r="E671" s="1" t="str">
        <f>"6981591152"</f>
        <v>6981591152</v>
      </c>
      <c r="F671" s="1" t="str">
        <f>"هولدر لامپ"</f>
        <v>هولدر لامپ</v>
      </c>
      <c r="G671" s="1" t="str">
        <f>"عدد"</f>
        <v>عدد</v>
      </c>
      <c r="H671" s="1">
        <v>51</v>
      </c>
      <c r="I671" s="1">
        <v>10630</v>
      </c>
      <c r="J671" s="1">
        <v>0</v>
      </c>
      <c r="K671" s="1">
        <v>0</v>
      </c>
      <c r="L671" s="1">
        <v>1</v>
      </c>
      <c r="M671" s="1">
        <v>208</v>
      </c>
      <c r="O671" s="1">
        <v>97</v>
      </c>
      <c r="P671" s="4">
        <f t="shared" si="30"/>
        <v>10422</v>
      </c>
      <c r="Q671" s="4">
        <f t="shared" si="31"/>
        <v>50</v>
      </c>
      <c r="R671" s="4">
        <f t="shared" si="32"/>
        <v>208.44</v>
      </c>
    </row>
    <row r="672" spans="1:18">
      <c r="A672" s="1">
        <v>2</v>
      </c>
      <c r="B672" s="1" t="str">
        <f>"قطعات و لوازم يدكي"</f>
        <v>قطعات و لوازم يدكي</v>
      </c>
      <c r="C672" s="1">
        <v>101</v>
      </c>
      <c r="D672" s="1" t="str">
        <f>"انبار قطعات و لوازم يدكي اصفهان"</f>
        <v>انبار قطعات و لوازم يدكي اصفهان</v>
      </c>
      <c r="E672" s="1" t="str">
        <f>"7001010032"</f>
        <v>7001010032</v>
      </c>
      <c r="F672" s="1" t="str">
        <f>"رله آندر ولتاژ 230 ولت"</f>
        <v>رله آندر ولتاژ 230 ولت</v>
      </c>
      <c r="G672" s="1" t="str">
        <f>"عدد"</f>
        <v>عدد</v>
      </c>
      <c r="H672" s="1">
        <v>3</v>
      </c>
      <c r="I672" s="1">
        <v>12500000</v>
      </c>
      <c r="J672" s="1">
        <v>0</v>
      </c>
      <c r="K672" s="1">
        <v>0</v>
      </c>
      <c r="L672" s="1">
        <v>0</v>
      </c>
      <c r="M672" s="1">
        <v>0</v>
      </c>
      <c r="O672" s="1">
        <v>97</v>
      </c>
      <c r="P672" s="4">
        <f t="shared" si="30"/>
        <v>12500000</v>
      </c>
      <c r="Q672" s="4">
        <f t="shared" si="31"/>
        <v>3</v>
      </c>
      <c r="R672" s="4">
        <f t="shared" si="32"/>
        <v>4166666.6666666665</v>
      </c>
    </row>
    <row r="673" spans="1:18">
      <c r="A673" s="1">
        <v>2</v>
      </c>
      <c r="B673" s="1" t="str">
        <f>"قطعات و لوازم يدكي"</f>
        <v>قطعات و لوازم يدكي</v>
      </c>
      <c r="C673" s="1">
        <v>101</v>
      </c>
      <c r="D673" s="1" t="str">
        <f>"انبار قطعات و لوازم يدكي اصفهان"</f>
        <v>انبار قطعات و لوازم يدكي اصفهان</v>
      </c>
      <c r="E673" s="1" t="str">
        <f>"7092040382"</f>
        <v>7092040382</v>
      </c>
      <c r="F673" s="1" t="str">
        <f>"دوشاخه گلابي شكل"</f>
        <v>دوشاخه گلابي شكل</v>
      </c>
      <c r="G673" s="1" t="str">
        <f>"عدد"</f>
        <v>عدد</v>
      </c>
      <c r="H673" s="1">
        <v>8</v>
      </c>
      <c r="I673" s="1">
        <v>170908</v>
      </c>
      <c r="J673" s="1">
        <v>40</v>
      </c>
      <c r="K673" s="1">
        <v>1000000</v>
      </c>
      <c r="L673" s="1">
        <v>9</v>
      </c>
      <c r="M673" s="1">
        <v>219546</v>
      </c>
      <c r="O673" s="1">
        <v>97</v>
      </c>
      <c r="P673" s="4">
        <f t="shared" si="30"/>
        <v>951362</v>
      </c>
      <c r="Q673" s="4">
        <f t="shared" si="31"/>
        <v>39</v>
      </c>
      <c r="R673" s="4">
        <f t="shared" si="32"/>
        <v>24393.897435897437</v>
      </c>
    </row>
    <row r="674" spans="1:18" hidden="1">
      <c r="A674" s="1">
        <v>2</v>
      </c>
      <c r="B674" s="1" t="str">
        <f>"قطعات و لوازم يدكي"</f>
        <v>قطعات و لوازم يدكي</v>
      </c>
      <c r="C674" s="1">
        <v>101</v>
      </c>
      <c r="D674" s="1" t="str">
        <f>"انبار قطعات و لوازم يدكي اصفهان"</f>
        <v>انبار قطعات و لوازم يدكي اصفهان</v>
      </c>
      <c r="E674" s="1" t="str">
        <f>"7098980062"</f>
        <v>7098980062</v>
      </c>
      <c r="F674" s="1" t="str">
        <f>"چراغ تونلي بيضي شکل"</f>
        <v>چراغ تونلي بيضي شکل</v>
      </c>
      <c r="G674" s="1" t="str">
        <f>"عدد"</f>
        <v>عدد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O674" s="1">
        <v>97</v>
      </c>
      <c r="P674" s="1">
        <f t="shared" si="30"/>
        <v>0</v>
      </c>
      <c r="Q674" s="1">
        <f t="shared" si="31"/>
        <v>0</v>
      </c>
      <c r="R674" s="1" t="e">
        <f t="shared" si="32"/>
        <v>#DIV/0!</v>
      </c>
    </row>
    <row r="675" spans="1:18">
      <c r="A675" s="1">
        <v>2</v>
      </c>
      <c r="B675" s="1" t="str">
        <f>"قطعات و لوازم يدكي"</f>
        <v>قطعات و لوازم يدكي</v>
      </c>
      <c r="C675" s="1">
        <v>101</v>
      </c>
      <c r="D675" s="1" t="str">
        <f>"انبار قطعات و لوازم يدكي اصفهان"</f>
        <v>انبار قطعات و لوازم يدكي اصفهان</v>
      </c>
      <c r="E675" s="1" t="str">
        <f>"7413110242"</f>
        <v>7413110242</v>
      </c>
      <c r="F675" s="1" t="str">
        <f>"PIPE 1/2 SH80 GALV"</f>
        <v>PIPE 1/2 SH80 GALV</v>
      </c>
      <c r="G675" s="1" t="str">
        <f>"فوت"</f>
        <v>فوت</v>
      </c>
      <c r="H675" s="1">
        <v>240</v>
      </c>
      <c r="I675" s="1">
        <v>8400000</v>
      </c>
      <c r="J675" s="1">
        <v>0</v>
      </c>
      <c r="K675" s="1">
        <v>0</v>
      </c>
      <c r="L675" s="1">
        <v>0</v>
      </c>
      <c r="M675" s="1">
        <v>0</v>
      </c>
      <c r="O675" s="1">
        <v>97</v>
      </c>
      <c r="P675" s="4">
        <f t="shared" si="30"/>
        <v>8400000</v>
      </c>
      <c r="Q675" s="4">
        <f t="shared" si="31"/>
        <v>240</v>
      </c>
      <c r="R675" s="4">
        <f t="shared" si="32"/>
        <v>35000</v>
      </c>
    </row>
    <row r="676" spans="1:18">
      <c r="A676" s="1">
        <v>2</v>
      </c>
      <c r="B676" s="1" t="str">
        <f>"قطعات و لوازم يدكي"</f>
        <v>قطعات و لوازم يدكي</v>
      </c>
      <c r="C676" s="1">
        <v>101</v>
      </c>
      <c r="D676" s="1" t="str">
        <f>"انبار قطعات و لوازم يدكي اصفهان"</f>
        <v>انبار قطعات و لوازم يدكي اصفهان</v>
      </c>
      <c r="E676" s="1" t="str">
        <f>"7413233862"</f>
        <v>7413233862</v>
      </c>
      <c r="F676" s="1" t="str">
        <f>"لوله 18اينچ  sh-40"</f>
        <v>لوله 18اينچ  sh-40</v>
      </c>
      <c r="G676" s="1" t="str">
        <f>"فوت"</f>
        <v>فوت</v>
      </c>
      <c r="H676" s="1">
        <v>55</v>
      </c>
      <c r="I676" s="1">
        <v>37537500</v>
      </c>
      <c r="J676" s="1">
        <v>0</v>
      </c>
      <c r="K676" s="1">
        <v>0</v>
      </c>
      <c r="L676" s="1">
        <v>0</v>
      </c>
      <c r="M676" s="1">
        <v>0</v>
      </c>
      <c r="O676" s="1">
        <v>97</v>
      </c>
      <c r="P676" s="4">
        <f t="shared" si="30"/>
        <v>37537500</v>
      </c>
      <c r="Q676" s="4">
        <f t="shared" si="31"/>
        <v>55</v>
      </c>
      <c r="R676" s="4">
        <f t="shared" si="32"/>
        <v>682500</v>
      </c>
    </row>
    <row r="677" spans="1:18">
      <c r="A677" s="1">
        <v>2</v>
      </c>
      <c r="B677" s="1" t="str">
        <f>"قطعات و لوازم يدكي"</f>
        <v>قطعات و لوازم يدكي</v>
      </c>
      <c r="C677" s="1">
        <v>101</v>
      </c>
      <c r="D677" s="1" t="str">
        <f>"انبار قطعات و لوازم يدكي اصفهان"</f>
        <v>انبار قطعات و لوازم يدكي اصفهان</v>
      </c>
      <c r="E677" s="1" t="str">
        <f>"7413310202"</f>
        <v>7413310202</v>
      </c>
      <c r="F677" s="1" t="s">
        <v>18</v>
      </c>
      <c r="G677" s="1" t="str">
        <f>"فوت"</f>
        <v>فوت</v>
      </c>
      <c r="H677" s="1">
        <v>115</v>
      </c>
      <c r="I677" s="1">
        <v>2105562</v>
      </c>
      <c r="J677" s="1">
        <v>400</v>
      </c>
      <c r="K677" s="1">
        <v>17000000</v>
      </c>
      <c r="L677" s="1">
        <v>135</v>
      </c>
      <c r="M677" s="1">
        <v>5008255</v>
      </c>
      <c r="O677" s="1">
        <v>97</v>
      </c>
      <c r="P677" s="4">
        <f t="shared" si="30"/>
        <v>14097307</v>
      </c>
      <c r="Q677" s="4">
        <f t="shared" si="31"/>
        <v>380</v>
      </c>
      <c r="R677" s="4">
        <f t="shared" si="32"/>
        <v>37098.176315789475</v>
      </c>
    </row>
    <row r="678" spans="1:18" hidden="1">
      <c r="A678" s="1">
        <v>2</v>
      </c>
      <c r="B678" s="1" t="str">
        <f>"قطعات و لوازم يدكي"</f>
        <v>قطعات و لوازم يدكي</v>
      </c>
      <c r="C678" s="1">
        <v>101</v>
      </c>
      <c r="D678" s="1" t="str">
        <f>"انبار قطعات و لوازم يدكي اصفهان"</f>
        <v>انبار قطعات و لوازم يدكي اصفهان</v>
      </c>
      <c r="E678" s="1" t="str">
        <f>"7501010072"</f>
        <v>7501010072</v>
      </c>
      <c r="F678" s="1" t="str">
        <f>"شير ترموستاتيک TCV **3/4 با پايه و سنسور"</f>
        <v>شير ترموستاتيک TCV **3/4 با پايه و سنسور</v>
      </c>
      <c r="G678" s="1" t="str">
        <f>"عدد"</f>
        <v>عدد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O678" s="1">
        <v>97</v>
      </c>
      <c r="P678" s="1">
        <f t="shared" si="30"/>
        <v>0</v>
      </c>
      <c r="Q678" s="1">
        <f t="shared" si="31"/>
        <v>0</v>
      </c>
      <c r="R678" s="1" t="e">
        <f t="shared" si="32"/>
        <v>#DIV/0!</v>
      </c>
    </row>
    <row r="679" spans="1:18">
      <c r="A679" s="1">
        <v>2</v>
      </c>
      <c r="B679" s="1" t="str">
        <f>"قطعات و لوازم يدكي"</f>
        <v>قطعات و لوازم يدكي</v>
      </c>
      <c r="C679" s="1">
        <v>101</v>
      </c>
      <c r="D679" s="1" t="str">
        <f>"انبار قطعات و لوازم يدكي اصفهان"</f>
        <v>انبار قطعات و لوازم يدكي اصفهان</v>
      </c>
      <c r="E679" s="1" t="str">
        <f>"7501010092"</f>
        <v>7501010092</v>
      </c>
      <c r="F679" s="1" t="str">
        <f>"شير برنجي 1/2-1"</f>
        <v>شير برنجي 1/2-1</v>
      </c>
      <c r="G679" s="1" t="str">
        <f>"عدد"</f>
        <v>عدد</v>
      </c>
      <c r="H679" s="1">
        <v>85</v>
      </c>
      <c r="I679" s="1">
        <v>127500000</v>
      </c>
      <c r="J679" s="1">
        <v>0</v>
      </c>
      <c r="K679" s="1">
        <v>0</v>
      </c>
      <c r="L679" s="1">
        <v>50</v>
      </c>
      <c r="M679" s="1">
        <v>75000000</v>
      </c>
      <c r="O679" s="1">
        <v>97</v>
      </c>
      <c r="P679" s="4">
        <f t="shared" si="30"/>
        <v>52500000</v>
      </c>
      <c r="Q679" s="4">
        <f t="shared" si="31"/>
        <v>35</v>
      </c>
      <c r="R679" s="4">
        <f t="shared" si="32"/>
        <v>1500000</v>
      </c>
    </row>
    <row r="680" spans="1:18">
      <c r="A680" s="1">
        <v>2</v>
      </c>
      <c r="B680" s="1" t="str">
        <f>"قطعات و لوازم يدكي"</f>
        <v>قطعات و لوازم يدكي</v>
      </c>
      <c r="C680" s="1">
        <v>101</v>
      </c>
      <c r="D680" s="1" t="str">
        <f>"انبار قطعات و لوازم يدكي اصفهان"</f>
        <v>انبار قطعات و لوازم يدكي اصفهان</v>
      </c>
      <c r="E680" s="1" t="str">
        <f>"7525164052"</f>
        <v>7525164052</v>
      </c>
      <c r="F680" s="1" t="s">
        <v>19</v>
      </c>
      <c r="G680" s="1" t="str">
        <f>"عدد"</f>
        <v>عدد</v>
      </c>
      <c r="H680" s="1">
        <v>32</v>
      </c>
      <c r="I680" s="1">
        <v>15947579</v>
      </c>
      <c r="J680" s="1">
        <v>1</v>
      </c>
      <c r="K680" s="1">
        <v>498362</v>
      </c>
      <c r="L680" s="1">
        <v>5</v>
      </c>
      <c r="M680" s="1">
        <v>2491810</v>
      </c>
      <c r="O680" s="1">
        <v>97</v>
      </c>
      <c r="P680" s="4">
        <f t="shared" si="30"/>
        <v>13954131</v>
      </c>
      <c r="Q680" s="4">
        <f t="shared" si="31"/>
        <v>28</v>
      </c>
      <c r="R680" s="4">
        <f t="shared" si="32"/>
        <v>498361.82142857142</v>
      </c>
    </row>
    <row r="681" spans="1:18">
      <c r="A681" s="1">
        <v>2</v>
      </c>
      <c r="B681" s="1" t="str">
        <f>"قطعات و لوازم يدكي"</f>
        <v>قطعات و لوازم يدكي</v>
      </c>
      <c r="C681" s="1">
        <v>101</v>
      </c>
      <c r="D681" s="1" t="str">
        <f>"انبار قطعات و لوازم يدكي اصفهان"</f>
        <v>انبار قطعات و لوازم يدكي اصفهان</v>
      </c>
      <c r="E681" s="1" t="str">
        <f>"7525164072"</f>
        <v>7525164072</v>
      </c>
      <c r="F681" s="1" t="s">
        <v>20</v>
      </c>
      <c r="G681" s="1" t="str">
        <f>"عدد"</f>
        <v>عدد</v>
      </c>
      <c r="H681" s="1">
        <v>24</v>
      </c>
      <c r="I681" s="1">
        <v>13680000</v>
      </c>
      <c r="J681" s="1">
        <v>0</v>
      </c>
      <c r="K681" s="1">
        <v>0</v>
      </c>
      <c r="L681" s="1">
        <v>14</v>
      </c>
      <c r="M681" s="1">
        <v>7980000</v>
      </c>
      <c r="O681" s="1">
        <v>97</v>
      </c>
      <c r="P681" s="4">
        <f t="shared" si="30"/>
        <v>5700000</v>
      </c>
      <c r="Q681" s="4">
        <f t="shared" si="31"/>
        <v>10</v>
      </c>
      <c r="R681" s="4">
        <f t="shared" si="32"/>
        <v>570000</v>
      </c>
    </row>
    <row r="682" spans="1:18">
      <c r="A682" s="1">
        <v>2</v>
      </c>
      <c r="B682" s="1" t="str">
        <f>"قطعات و لوازم يدكي"</f>
        <v>قطعات و لوازم يدكي</v>
      </c>
      <c r="C682" s="1">
        <v>101</v>
      </c>
      <c r="D682" s="1" t="str">
        <f>"انبار قطعات و لوازم يدكي اصفهان"</f>
        <v>انبار قطعات و لوازم يدكي اصفهان</v>
      </c>
      <c r="E682" s="1" t="str">
        <f>"7525164082"</f>
        <v>7525164082</v>
      </c>
      <c r="F682" s="1" t="s">
        <v>21</v>
      </c>
      <c r="G682" s="1" t="str">
        <f>"عدد"</f>
        <v>عدد</v>
      </c>
      <c r="H682" s="1">
        <v>17</v>
      </c>
      <c r="I682" s="1">
        <v>13600000</v>
      </c>
      <c r="J682" s="1">
        <v>1</v>
      </c>
      <c r="K682" s="1">
        <v>800000</v>
      </c>
      <c r="L682" s="1">
        <v>10</v>
      </c>
      <c r="M682" s="1">
        <v>8000000</v>
      </c>
      <c r="O682" s="1">
        <v>97</v>
      </c>
      <c r="P682" s="4">
        <f t="shared" si="30"/>
        <v>6400000</v>
      </c>
      <c r="Q682" s="4">
        <f t="shared" si="31"/>
        <v>8</v>
      </c>
      <c r="R682" s="4">
        <f t="shared" si="32"/>
        <v>800000</v>
      </c>
    </row>
    <row r="683" spans="1:18" hidden="1">
      <c r="A683" s="1">
        <v>2</v>
      </c>
      <c r="B683" s="1" t="str">
        <f>"قطعات و لوازم يدكي"</f>
        <v>قطعات و لوازم يدكي</v>
      </c>
      <c r="C683" s="1">
        <v>101</v>
      </c>
      <c r="D683" s="1" t="str">
        <f>"انبار قطعات و لوازم يدكي اصفهان"</f>
        <v>انبار قطعات و لوازم يدكي اصفهان</v>
      </c>
      <c r="E683" s="1" t="str">
        <f>"7537101042"</f>
        <v>7537101042</v>
      </c>
      <c r="F683" s="1" t="s">
        <v>22</v>
      </c>
      <c r="G683" s="1" t="str">
        <f>"عدد"</f>
        <v>عدد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O683" s="1">
        <v>97</v>
      </c>
      <c r="P683" s="1">
        <f t="shared" si="30"/>
        <v>0</v>
      </c>
      <c r="Q683" s="1">
        <f t="shared" si="31"/>
        <v>0</v>
      </c>
      <c r="R683" s="1" t="e">
        <f t="shared" si="32"/>
        <v>#DIV/0!</v>
      </c>
    </row>
    <row r="684" spans="1:18">
      <c r="A684" s="1">
        <v>2</v>
      </c>
      <c r="B684" s="1" t="str">
        <f>"قطعات و لوازم يدكي"</f>
        <v>قطعات و لوازم يدكي</v>
      </c>
      <c r="C684" s="1">
        <v>101</v>
      </c>
      <c r="D684" s="1" t="str">
        <f>"انبار قطعات و لوازم يدكي اصفهان"</f>
        <v>انبار قطعات و لوازم يدكي اصفهان</v>
      </c>
      <c r="E684" s="1" t="str">
        <f>"7537121162"</f>
        <v>7537121162</v>
      </c>
      <c r="F684" s="1" t="s">
        <v>23</v>
      </c>
      <c r="G684" s="1" t="str">
        <f>"عدد"</f>
        <v>عدد</v>
      </c>
      <c r="H684" s="1">
        <v>3</v>
      </c>
      <c r="I684" s="1">
        <v>2829258</v>
      </c>
      <c r="J684" s="1">
        <v>2</v>
      </c>
      <c r="K684" s="1">
        <v>43200000</v>
      </c>
      <c r="L684" s="1">
        <v>2</v>
      </c>
      <c r="M684" s="1">
        <v>1886172</v>
      </c>
      <c r="O684" s="1">
        <v>97</v>
      </c>
      <c r="P684" s="4">
        <f t="shared" si="30"/>
        <v>44143086</v>
      </c>
      <c r="Q684" s="4">
        <f t="shared" si="31"/>
        <v>3</v>
      </c>
      <c r="R684" s="4">
        <f t="shared" si="32"/>
        <v>14714362</v>
      </c>
    </row>
    <row r="685" spans="1:18">
      <c r="A685" s="1">
        <v>2</v>
      </c>
      <c r="B685" s="1" t="str">
        <f>"قطعات و لوازم يدكي"</f>
        <v>قطعات و لوازم يدكي</v>
      </c>
      <c r="C685" s="1">
        <v>101</v>
      </c>
      <c r="D685" s="1" t="str">
        <f>"انبار قطعات و لوازم يدكي اصفهان"</f>
        <v>انبار قطعات و لوازم يدكي اصفهان</v>
      </c>
      <c r="E685" s="1" t="str">
        <f>"7537331162"</f>
        <v>7537331162</v>
      </c>
      <c r="F685" s="1" t="str">
        <f>"گيت ولو2انچ 300(gate valve)"</f>
        <v>گيت ولو2انچ 300(gate valve)</v>
      </c>
      <c r="G685" s="1" t="str">
        <f>"عدد"</f>
        <v>عدد</v>
      </c>
      <c r="H685" s="1">
        <v>3</v>
      </c>
      <c r="I685" s="1">
        <v>9134589</v>
      </c>
      <c r="J685" s="1">
        <v>4</v>
      </c>
      <c r="K685" s="1">
        <v>144000000</v>
      </c>
      <c r="L685" s="1">
        <v>5</v>
      </c>
      <c r="M685" s="1">
        <v>94316644</v>
      </c>
      <c r="O685" s="1">
        <v>97</v>
      </c>
      <c r="P685" s="4">
        <f t="shared" si="30"/>
        <v>58817945</v>
      </c>
      <c r="Q685" s="4">
        <f t="shared" si="31"/>
        <v>2</v>
      </c>
      <c r="R685" s="4">
        <f t="shared" si="32"/>
        <v>29408972.5</v>
      </c>
    </row>
    <row r="686" spans="1:18">
      <c r="A686" s="1">
        <v>2</v>
      </c>
      <c r="B686" s="1" t="str">
        <f>"قطعات و لوازم يدكي"</f>
        <v>قطعات و لوازم يدكي</v>
      </c>
      <c r="C686" s="1">
        <v>101</v>
      </c>
      <c r="D686" s="1" t="str">
        <f>"انبار قطعات و لوازم يدكي اصفهان"</f>
        <v>انبار قطعات و لوازم يدكي اصفهان</v>
      </c>
      <c r="E686" s="1" t="str">
        <f>"7537421202"</f>
        <v>7537421202</v>
      </c>
      <c r="F686" s="1" t="s">
        <v>24</v>
      </c>
      <c r="G686" s="1" t="str">
        <f>"عدد"</f>
        <v>عدد</v>
      </c>
      <c r="H686" s="1">
        <v>0</v>
      </c>
      <c r="I686" s="1">
        <v>0</v>
      </c>
      <c r="J686" s="1">
        <v>1</v>
      </c>
      <c r="K686" s="1">
        <v>38000000</v>
      </c>
      <c r="L686" s="1">
        <v>0</v>
      </c>
      <c r="M686" s="1">
        <v>0</v>
      </c>
      <c r="O686" s="1">
        <v>97</v>
      </c>
      <c r="P686" s="4">
        <f t="shared" si="30"/>
        <v>38000000</v>
      </c>
      <c r="Q686" s="4">
        <f t="shared" si="31"/>
        <v>1</v>
      </c>
      <c r="R686" s="4">
        <f t="shared" si="32"/>
        <v>38000000</v>
      </c>
    </row>
    <row r="687" spans="1:18">
      <c r="A687" s="1">
        <v>2</v>
      </c>
      <c r="B687" s="1" t="str">
        <f>"قطعات و لوازم يدكي"</f>
        <v>قطعات و لوازم يدكي</v>
      </c>
      <c r="C687" s="1">
        <v>101</v>
      </c>
      <c r="D687" s="1" t="str">
        <f>"انبار قطعات و لوازم يدكي اصفهان"</f>
        <v>انبار قطعات و لوازم يدكي اصفهان</v>
      </c>
      <c r="E687" s="1" t="str">
        <f>"7556351122"</f>
        <v>7556351122</v>
      </c>
      <c r="F687" s="1" t="str">
        <f>"گيت ولو 2  / 1-1 جوشي كلاس800"</f>
        <v>گيت ولو 2  / 1-1 جوشي كلاس800</v>
      </c>
      <c r="G687" s="1" t="str">
        <f>"عدد"</f>
        <v>عدد</v>
      </c>
      <c r="H687" s="1">
        <v>6</v>
      </c>
      <c r="I687" s="1">
        <v>10257039</v>
      </c>
      <c r="J687" s="1">
        <v>9</v>
      </c>
      <c r="K687" s="1">
        <v>40347236</v>
      </c>
      <c r="L687" s="1">
        <v>9</v>
      </c>
      <c r="M687" s="1">
        <v>30362566</v>
      </c>
      <c r="O687" s="1">
        <v>97</v>
      </c>
      <c r="P687" s="4">
        <f t="shared" si="30"/>
        <v>20241709</v>
      </c>
      <c r="Q687" s="4">
        <f t="shared" si="31"/>
        <v>6</v>
      </c>
      <c r="R687" s="4">
        <f t="shared" si="32"/>
        <v>3373618.1666666665</v>
      </c>
    </row>
    <row r="688" spans="1:18">
      <c r="A688" s="1">
        <v>2</v>
      </c>
      <c r="B688" s="1" t="str">
        <f>"قطعات و لوازم يدكي"</f>
        <v>قطعات و لوازم يدكي</v>
      </c>
      <c r="C688" s="1">
        <v>101</v>
      </c>
      <c r="D688" s="1" t="str">
        <f>"انبار قطعات و لوازم يدكي اصفهان"</f>
        <v>انبار قطعات و لوازم يدكي اصفهان</v>
      </c>
      <c r="E688" s="1" t="str">
        <f>"7556451062"</f>
        <v>7556451062</v>
      </c>
      <c r="F688" s="1" t="str">
        <f>"گلوب ولو جوشي 3/4 اينچ 800 (golob valve)"</f>
        <v>گلوب ولو جوشي 3/4 اينچ 800 (golob valve)</v>
      </c>
      <c r="G688" s="1" t="str">
        <f>"عدد"</f>
        <v>عدد</v>
      </c>
      <c r="H688" s="1">
        <v>0</v>
      </c>
      <c r="I688" s="1">
        <v>0</v>
      </c>
      <c r="J688" s="1">
        <v>12</v>
      </c>
      <c r="K688" s="1">
        <v>20400000</v>
      </c>
      <c r="L688" s="1">
        <v>7</v>
      </c>
      <c r="M688" s="1">
        <v>11900000</v>
      </c>
      <c r="O688" s="1">
        <v>97</v>
      </c>
      <c r="P688" s="4">
        <f t="shared" si="30"/>
        <v>8500000</v>
      </c>
      <c r="Q688" s="4">
        <f t="shared" si="31"/>
        <v>5</v>
      </c>
      <c r="R688" s="4">
        <f t="shared" si="32"/>
        <v>1700000</v>
      </c>
    </row>
    <row r="689" spans="1:18">
      <c r="A689" s="1">
        <v>2</v>
      </c>
      <c r="B689" s="1" t="str">
        <f>"قطعات و لوازم يدكي"</f>
        <v>قطعات و لوازم يدكي</v>
      </c>
      <c r="C689" s="1">
        <v>101</v>
      </c>
      <c r="D689" s="1" t="str">
        <f>"انبار قطعات و لوازم يدكي اصفهان"</f>
        <v>انبار قطعات و لوازم يدكي اصفهان</v>
      </c>
      <c r="E689" s="1" t="str">
        <f>"7557351042"</f>
        <v>7557351042</v>
      </c>
      <c r="F689" s="1" t="str">
        <f>"گيت ولو 1/2اينچ 800"</f>
        <v>گيت ولو 1/2اينچ 800</v>
      </c>
      <c r="G689" s="1" t="str">
        <f>"عدد"</f>
        <v>عدد</v>
      </c>
      <c r="H689" s="1">
        <v>9</v>
      </c>
      <c r="I689" s="1">
        <v>36002</v>
      </c>
      <c r="J689" s="1">
        <v>0</v>
      </c>
      <c r="K689" s="1">
        <v>0</v>
      </c>
      <c r="L689" s="1">
        <v>0</v>
      </c>
      <c r="M689" s="1">
        <v>0</v>
      </c>
      <c r="O689" s="1">
        <v>97</v>
      </c>
      <c r="P689" s="4">
        <f t="shared" si="30"/>
        <v>36002</v>
      </c>
      <c r="Q689" s="4">
        <f t="shared" si="31"/>
        <v>9</v>
      </c>
      <c r="R689" s="4">
        <f t="shared" si="32"/>
        <v>4000.2222222222222</v>
      </c>
    </row>
    <row r="690" spans="1:18">
      <c r="A690" s="1">
        <v>2</v>
      </c>
      <c r="B690" s="1" t="str">
        <f>"قطعات و لوازم يدكي"</f>
        <v>قطعات و لوازم يدكي</v>
      </c>
      <c r="C690" s="1">
        <v>101</v>
      </c>
      <c r="D690" s="1" t="str">
        <f>"انبار قطعات و لوازم يدكي اصفهان"</f>
        <v>انبار قطعات و لوازم يدكي اصفهان</v>
      </c>
      <c r="E690" s="1" t="str">
        <f>"7589795162"</f>
        <v>7589795162</v>
      </c>
      <c r="F690" s="1" t="str">
        <f>"استيم تراپ (تله بخار)3/4اينچ800"</f>
        <v>استيم تراپ (تله بخار)3/4اينچ800</v>
      </c>
      <c r="G690" s="1" t="str">
        <f>"عدد"</f>
        <v>عدد</v>
      </c>
      <c r="H690" s="1">
        <v>15</v>
      </c>
      <c r="I690" s="1">
        <v>49479398</v>
      </c>
      <c r="J690" s="1">
        <v>51</v>
      </c>
      <c r="K690" s="1">
        <v>853298626</v>
      </c>
      <c r="L690" s="1">
        <v>17</v>
      </c>
      <c r="M690" s="1">
        <v>82942089</v>
      </c>
      <c r="O690" s="1">
        <v>97</v>
      </c>
      <c r="P690" s="4">
        <f t="shared" si="30"/>
        <v>819835935</v>
      </c>
      <c r="Q690" s="4">
        <f t="shared" si="31"/>
        <v>49</v>
      </c>
      <c r="R690" s="4">
        <f t="shared" si="32"/>
        <v>16731345.612244898</v>
      </c>
    </row>
    <row r="691" spans="1:18">
      <c r="A691" s="1">
        <v>2</v>
      </c>
      <c r="B691" s="1" t="str">
        <f>"قطعات و لوازم يدكي"</f>
        <v>قطعات و لوازم يدكي</v>
      </c>
      <c r="C691" s="1">
        <v>101</v>
      </c>
      <c r="D691" s="1" t="str">
        <f>"انبار قطعات و لوازم يدكي اصفهان"</f>
        <v>انبار قطعات و لوازم يدكي اصفهان</v>
      </c>
      <c r="E691" s="1" t="str">
        <f>"7605140362"</f>
        <v>7605140362</v>
      </c>
      <c r="F691" s="1" t="str">
        <f>"بوشينگ 1/2 * 3/4 A-105"</f>
        <v>بوشينگ 1/2 * 3/4 A-105</v>
      </c>
      <c r="G691" s="1" t="str">
        <f>"عدد"</f>
        <v>عدد</v>
      </c>
      <c r="H691" s="1">
        <v>46</v>
      </c>
      <c r="I691" s="1">
        <v>2745951</v>
      </c>
      <c r="J691" s="1">
        <v>0</v>
      </c>
      <c r="K691" s="1">
        <v>0</v>
      </c>
      <c r="L691" s="1">
        <v>5</v>
      </c>
      <c r="M691" s="1">
        <v>298474</v>
      </c>
      <c r="O691" s="1">
        <v>97</v>
      </c>
      <c r="P691" s="4">
        <f t="shared" si="30"/>
        <v>2447477</v>
      </c>
      <c r="Q691" s="4">
        <f t="shared" si="31"/>
        <v>41</v>
      </c>
      <c r="R691" s="4">
        <f t="shared" si="32"/>
        <v>59694.560975609755</v>
      </c>
    </row>
    <row r="692" spans="1:18">
      <c r="A692" s="1">
        <v>2</v>
      </c>
      <c r="B692" s="1" t="str">
        <f>"قطعات و لوازم يدكي"</f>
        <v>قطعات و لوازم يدكي</v>
      </c>
      <c r="C692" s="1">
        <v>101</v>
      </c>
      <c r="D692" s="1" t="str">
        <f>"انبار قطعات و لوازم يدكي اصفهان"</f>
        <v>انبار قطعات و لوازم يدكي اصفهان</v>
      </c>
      <c r="E692" s="1" t="str">
        <f>"7605181082"</f>
        <v>7605181082</v>
      </c>
      <c r="F692" s="1" t="str">
        <f>"كپ دنده اي 1/2اينچ 3000"</f>
        <v>كپ دنده اي 1/2اينچ 3000</v>
      </c>
      <c r="G692" s="1" t="str">
        <f>"عدد"</f>
        <v>عدد</v>
      </c>
      <c r="H692" s="1">
        <v>8</v>
      </c>
      <c r="I692" s="1">
        <v>270428</v>
      </c>
      <c r="J692" s="1">
        <v>11</v>
      </c>
      <c r="K692" s="1">
        <v>966860</v>
      </c>
      <c r="L692" s="1">
        <v>2</v>
      </c>
      <c r="M692" s="1">
        <v>100664</v>
      </c>
      <c r="O692" s="1">
        <v>97</v>
      </c>
      <c r="P692" s="4">
        <f t="shared" si="30"/>
        <v>1136624</v>
      </c>
      <c r="Q692" s="4">
        <f t="shared" si="31"/>
        <v>17</v>
      </c>
      <c r="R692" s="4">
        <f t="shared" si="32"/>
        <v>66860.23529411765</v>
      </c>
    </row>
    <row r="693" spans="1:18">
      <c r="A693" s="1">
        <v>2</v>
      </c>
      <c r="B693" s="1" t="str">
        <f>"قطعات و لوازم يدكي"</f>
        <v>قطعات و لوازم يدكي</v>
      </c>
      <c r="C693" s="1">
        <v>101</v>
      </c>
      <c r="D693" s="1" t="str">
        <f>"انبار قطعات و لوازم يدكي اصفهان"</f>
        <v>انبار قطعات و لوازم يدكي اصفهان</v>
      </c>
      <c r="E693" s="1" t="str">
        <f>"7605381122"</f>
        <v>7605381122</v>
      </c>
      <c r="F693" s="1" t="str">
        <f>"زانوي 45درجه دنده اي 3/4اينچ 3000"</f>
        <v>زانوي 45درجه دنده اي 3/4اينچ 3000</v>
      </c>
      <c r="G693" s="1" t="str">
        <f>"عدد"</f>
        <v>عدد</v>
      </c>
      <c r="H693" s="1">
        <v>31</v>
      </c>
      <c r="I693" s="1">
        <v>3174644</v>
      </c>
      <c r="J693" s="1">
        <v>0</v>
      </c>
      <c r="K693" s="1">
        <v>0</v>
      </c>
      <c r="L693" s="1">
        <v>0</v>
      </c>
      <c r="M693" s="1">
        <v>0</v>
      </c>
      <c r="O693" s="1">
        <v>97</v>
      </c>
      <c r="P693" s="4">
        <f t="shared" si="30"/>
        <v>3174644</v>
      </c>
      <c r="Q693" s="4">
        <f t="shared" si="31"/>
        <v>31</v>
      </c>
      <c r="R693" s="4">
        <f t="shared" si="32"/>
        <v>102407.87096774194</v>
      </c>
    </row>
    <row r="694" spans="1:18">
      <c r="A694" s="1">
        <v>2</v>
      </c>
      <c r="B694" s="1" t="str">
        <f>"قطعات و لوازم يدكي"</f>
        <v>قطعات و لوازم يدكي</v>
      </c>
      <c r="C694" s="1">
        <v>101</v>
      </c>
      <c r="D694" s="1" t="str">
        <f>"انبار قطعات و لوازم يدكي اصفهان"</f>
        <v>انبار قطعات و لوازم يدكي اصفهان</v>
      </c>
      <c r="E694" s="1" t="str">
        <f>"7605381182"</f>
        <v>7605381182</v>
      </c>
      <c r="F694" s="1" t="str">
        <f>"زانوي 45درجه 1/2-1اينچ 3000"</f>
        <v>زانوي 45درجه 1/2-1اينچ 3000</v>
      </c>
      <c r="G694" s="1" t="str">
        <f>"عدد"</f>
        <v>عدد</v>
      </c>
      <c r="H694" s="1">
        <v>5</v>
      </c>
      <c r="I694" s="1">
        <v>179151</v>
      </c>
      <c r="J694" s="1">
        <v>0</v>
      </c>
      <c r="K694" s="1">
        <v>0</v>
      </c>
      <c r="L694" s="1">
        <v>0</v>
      </c>
      <c r="M694" s="1">
        <v>0</v>
      </c>
      <c r="O694" s="1">
        <v>97</v>
      </c>
      <c r="P694" s="4">
        <f t="shared" si="30"/>
        <v>179151</v>
      </c>
      <c r="Q694" s="4">
        <f t="shared" si="31"/>
        <v>5</v>
      </c>
      <c r="R694" s="4">
        <f t="shared" si="32"/>
        <v>35830.199999999997</v>
      </c>
    </row>
    <row r="695" spans="1:18">
      <c r="A695" s="1">
        <v>2</v>
      </c>
      <c r="B695" s="1" t="str">
        <f>"قطعات و لوازم يدكي"</f>
        <v>قطعات و لوازم يدكي</v>
      </c>
      <c r="C695" s="1">
        <v>101</v>
      </c>
      <c r="D695" s="1" t="str">
        <f>"انبار قطعات و لوازم يدكي اصفهان"</f>
        <v>انبار قطعات و لوازم يدكي اصفهان</v>
      </c>
      <c r="E695" s="1" t="str">
        <f>"7605560382"</f>
        <v>7605560382</v>
      </c>
      <c r="F695" s="1" t="s">
        <v>25</v>
      </c>
      <c r="G695" s="1" t="str">
        <f>"عدد"</f>
        <v>عدد</v>
      </c>
      <c r="H695" s="1">
        <v>19</v>
      </c>
      <c r="I695" s="1">
        <v>375096</v>
      </c>
      <c r="J695" s="1">
        <v>0</v>
      </c>
      <c r="K695" s="1">
        <v>0</v>
      </c>
      <c r="L695" s="1">
        <v>4</v>
      </c>
      <c r="M695" s="1">
        <v>78968</v>
      </c>
      <c r="O695" s="1">
        <v>97</v>
      </c>
      <c r="P695" s="4">
        <f t="shared" si="30"/>
        <v>296128</v>
      </c>
      <c r="Q695" s="4">
        <f t="shared" si="31"/>
        <v>15</v>
      </c>
      <c r="R695" s="4">
        <f t="shared" si="32"/>
        <v>19741.866666666665</v>
      </c>
    </row>
    <row r="696" spans="1:18">
      <c r="A696" s="1">
        <v>2</v>
      </c>
      <c r="B696" s="1" t="str">
        <f>"قطعات و لوازم يدكي"</f>
        <v>قطعات و لوازم يدكي</v>
      </c>
      <c r="C696" s="1">
        <v>101</v>
      </c>
      <c r="D696" s="1" t="str">
        <f>"انبار قطعات و لوازم يدكي اصفهان"</f>
        <v>انبار قطعات و لوازم يدكي اصفهان</v>
      </c>
      <c r="E696" s="1" t="str">
        <f>"7605563492"</f>
        <v>7605563492</v>
      </c>
      <c r="F696" s="1" t="str">
        <f>"نيپل دنده اي 100*3/8 رده 80"</f>
        <v>نيپل دنده اي 100*3/8 رده 80</v>
      </c>
      <c r="G696" s="1" t="str">
        <f>"عدد"</f>
        <v>عدد</v>
      </c>
      <c r="H696" s="1">
        <v>19</v>
      </c>
      <c r="I696" s="1">
        <v>770554</v>
      </c>
      <c r="J696" s="1">
        <v>0</v>
      </c>
      <c r="K696" s="1">
        <v>0</v>
      </c>
      <c r="L696" s="1">
        <v>0</v>
      </c>
      <c r="M696" s="1">
        <v>0</v>
      </c>
      <c r="O696" s="1">
        <v>97</v>
      </c>
      <c r="P696" s="4">
        <f t="shared" si="30"/>
        <v>770554</v>
      </c>
      <c r="Q696" s="4">
        <f t="shared" si="31"/>
        <v>19</v>
      </c>
      <c r="R696" s="4">
        <f t="shared" si="32"/>
        <v>40555.473684210527</v>
      </c>
    </row>
    <row r="697" spans="1:18">
      <c r="A697" s="1">
        <v>2</v>
      </c>
      <c r="B697" s="1" t="str">
        <f>"قطعات و لوازم يدكي"</f>
        <v>قطعات و لوازم يدكي</v>
      </c>
      <c r="C697" s="1">
        <v>101</v>
      </c>
      <c r="D697" s="1" t="str">
        <f>"انبار قطعات و لوازم يدكي اصفهان"</f>
        <v>انبار قطعات و لوازم يدكي اصفهان</v>
      </c>
      <c r="E697" s="1" t="str">
        <f>"7605564902"</f>
        <v>7605564902</v>
      </c>
      <c r="F697" s="1" t="str">
        <f>"NIPPLE 2"</f>
        <v>NIPPLE 2</v>
      </c>
      <c r="G697" s="1" t="str">
        <f>"عدد"</f>
        <v>عدد</v>
      </c>
      <c r="H697" s="1">
        <v>5</v>
      </c>
      <c r="I697" s="1">
        <v>2250000</v>
      </c>
      <c r="J697" s="1">
        <v>0</v>
      </c>
      <c r="K697" s="1">
        <v>0</v>
      </c>
      <c r="L697" s="1">
        <v>0</v>
      </c>
      <c r="M697" s="1">
        <v>0</v>
      </c>
      <c r="O697" s="1">
        <v>97</v>
      </c>
      <c r="P697" s="4">
        <f t="shared" si="30"/>
        <v>2250000</v>
      </c>
      <c r="Q697" s="4">
        <f t="shared" si="31"/>
        <v>5</v>
      </c>
      <c r="R697" s="4">
        <f t="shared" si="32"/>
        <v>450000</v>
      </c>
    </row>
    <row r="698" spans="1:18">
      <c r="A698" s="1">
        <v>2</v>
      </c>
      <c r="B698" s="1" t="str">
        <f>"قطعات و لوازم يدكي"</f>
        <v>قطعات و لوازم يدكي</v>
      </c>
      <c r="C698" s="1">
        <v>101</v>
      </c>
      <c r="D698" s="1" t="str">
        <f>"انبار قطعات و لوازم يدكي اصفهان"</f>
        <v>انبار قطعات و لوازم يدكي اصفهان</v>
      </c>
      <c r="E698" s="1" t="str">
        <f>"7606281122"</f>
        <v>7606281122</v>
      </c>
      <c r="F698" s="1" t="str">
        <f>"کاپلينگ 3/4 دنده اي گالوانيزه 2000"</f>
        <v>کاپلينگ 3/4 دنده اي گالوانيزه 2000</v>
      </c>
      <c r="G698" s="1" t="str">
        <f>"عدد"</f>
        <v>عدد</v>
      </c>
      <c r="H698" s="1">
        <v>57</v>
      </c>
      <c r="I698" s="1">
        <v>3064241</v>
      </c>
      <c r="J698" s="1">
        <v>0</v>
      </c>
      <c r="K698" s="1">
        <v>0</v>
      </c>
      <c r="L698" s="1">
        <v>1</v>
      </c>
      <c r="M698" s="1">
        <v>53759</v>
      </c>
      <c r="O698" s="1">
        <v>97</v>
      </c>
      <c r="P698" s="4">
        <f t="shared" si="30"/>
        <v>3010482</v>
      </c>
      <c r="Q698" s="4">
        <f t="shared" si="31"/>
        <v>56</v>
      </c>
      <c r="R698" s="4">
        <f t="shared" si="32"/>
        <v>53758.607142857145</v>
      </c>
    </row>
    <row r="699" spans="1:18">
      <c r="A699" s="1">
        <v>2</v>
      </c>
      <c r="B699" s="1" t="str">
        <f>"قطعات و لوازم يدكي"</f>
        <v>قطعات و لوازم يدكي</v>
      </c>
      <c r="C699" s="1">
        <v>101</v>
      </c>
      <c r="D699" s="1" t="str">
        <f>"انبار قطعات و لوازم يدكي اصفهان"</f>
        <v>انبار قطعات و لوازم يدكي اصفهان</v>
      </c>
      <c r="E699" s="1" t="str">
        <f>"7606701322"</f>
        <v>7606701322</v>
      </c>
      <c r="F699" s="1" t="str">
        <f>"رديوس کاپلينگ 3/4*1"</f>
        <v>رديوس کاپلينگ 3/4*1</v>
      </c>
      <c r="G699" s="1" t="str">
        <f>"عدد"</f>
        <v>عدد</v>
      </c>
      <c r="H699" s="1">
        <v>10</v>
      </c>
      <c r="I699" s="1">
        <v>95000</v>
      </c>
      <c r="J699" s="1">
        <v>0</v>
      </c>
      <c r="K699" s="1">
        <v>0</v>
      </c>
      <c r="L699" s="1">
        <v>0</v>
      </c>
      <c r="M699" s="1">
        <v>0</v>
      </c>
      <c r="O699" s="1">
        <v>97</v>
      </c>
      <c r="P699" s="4">
        <f t="shared" si="30"/>
        <v>95000</v>
      </c>
      <c r="Q699" s="4">
        <f t="shared" si="31"/>
        <v>10</v>
      </c>
      <c r="R699" s="4">
        <f t="shared" si="32"/>
        <v>9500</v>
      </c>
    </row>
    <row r="700" spans="1:18">
      <c r="A700" s="1">
        <v>2</v>
      </c>
      <c r="B700" s="1" t="str">
        <f>"قطعات و لوازم يدكي"</f>
        <v>قطعات و لوازم يدكي</v>
      </c>
      <c r="C700" s="1">
        <v>101</v>
      </c>
      <c r="D700" s="1" t="str">
        <f>"انبار قطعات و لوازم يدكي اصفهان"</f>
        <v>انبار قطعات و لوازم يدكي اصفهان</v>
      </c>
      <c r="E700" s="1" t="str">
        <f>"5923771993"</f>
        <v>5923771993</v>
      </c>
      <c r="F700" s="1" t="str">
        <f>"كاسكت اسپرال 1R2860-99442"</f>
        <v>كاسكت اسپرال 1R2860-99442</v>
      </c>
      <c r="G700" s="1" t="str">
        <f>"عدد"</f>
        <v>عدد</v>
      </c>
      <c r="H700" s="1">
        <v>9</v>
      </c>
      <c r="I700" s="1">
        <v>2743070</v>
      </c>
      <c r="J700" s="1">
        <v>0</v>
      </c>
      <c r="K700" s="1">
        <v>0</v>
      </c>
      <c r="L700" s="1">
        <v>0</v>
      </c>
      <c r="M700" s="1">
        <v>0</v>
      </c>
      <c r="O700" s="1">
        <v>97</v>
      </c>
      <c r="P700" s="4">
        <f t="shared" si="30"/>
        <v>2743070</v>
      </c>
      <c r="Q700" s="4">
        <f t="shared" si="31"/>
        <v>9</v>
      </c>
      <c r="R700" s="4">
        <f t="shared" si="32"/>
        <v>304785.55555555556</v>
      </c>
    </row>
    <row r="701" spans="1:18">
      <c r="A701" s="1">
        <v>2</v>
      </c>
      <c r="B701" s="1" t="str">
        <f>"قطعات و لوازم يدكي"</f>
        <v>قطعات و لوازم يدكي</v>
      </c>
      <c r="C701" s="1">
        <v>101</v>
      </c>
      <c r="D701" s="1" t="str">
        <f>"انبار قطعات و لوازم يدكي اصفهان"</f>
        <v>انبار قطعات و لوازم يدكي اصفهان</v>
      </c>
      <c r="E701" s="1" t="str">
        <f>"5923783762"</f>
        <v>5923783762</v>
      </c>
      <c r="F701" s="1" t="str">
        <f>"DISC"</f>
        <v>DISC</v>
      </c>
      <c r="G701" s="1" t="str">
        <f>"عدد"</f>
        <v>عدد</v>
      </c>
      <c r="H701" s="1">
        <v>3</v>
      </c>
      <c r="I701" s="1">
        <v>2877000</v>
      </c>
      <c r="J701" s="1">
        <v>0</v>
      </c>
      <c r="K701" s="1">
        <v>0</v>
      </c>
      <c r="L701" s="1">
        <v>0</v>
      </c>
      <c r="M701" s="1">
        <v>0</v>
      </c>
      <c r="O701" s="1">
        <v>97</v>
      </c>
      <c r="P701" s="4">
        <f t="shared" si="30"/>
        <v>2877000</v>
      </c>
      <c r="Q701" s="4">
        <f t="shared" si="31"/>
        <v>3</v>
      </c>
      <c r="R701" s="4">
        <f t="shared" si="32"/>
        <v>959000</v>
      </c>
    </row>
    <row r="702" spans="1:18">
      <c r="A702" s="1">
        <v>2</v>
      </c>
      <c r="B702" s="1" t="str">
        <f>"قطعات و لوازم يدكي"</f>
        <v>قطعات و لوازم يدكي</v>
      </c>
      <c r="C702" s="1">
        <v>101</v>
      </c>
      <c r="D702" s="1" t="str">
        <f>"انبار قطعات و لوازم يدكي اصفهان"</f>
        <v>انبار قطعات و لوازم يدكي اصفهان</v>
      </c>
      <c r="E702" s="1" t="str">
        <f>"5947761543"</f>
        <v>5947761543</v>
      </c>
      <c r="F702" s="1" t="str">
        <f>"فلوت زوز 50/250"</f>
        <v>فلوت زوز 50/250</v>
      </c>
      <c r="G702" s="1" t="str">
        <f>"عدد"</f>
        <v>عدد</v>
      </c>
      <c r="H702" s="1">
        <v>3</v>
      </c>
      <c r="I702" s="1">
        <v>319562</v>
      </c>
      <c r="J702" s="1">
        <v>0</v>
      </c>
      <c r="K702" s="1">
        <v>0</v>
      </c>
      <c r="L702" s="1">
        <v>0</v>
      </c>
      <c r="M702" s="1">
        <v>0</v>
      </c>
      <c r="O702" s="1">
        <v>97</v>
      </c>
      <c r="P702" s="4">
        <f t="shared" si="30"/>
        <v>319562</v>
      </c>
      <c r="Q702" s="4">
        <f t="shared" si="31"/>
        <v>3</v>
      </c>
      <c r="R702" s="4">
        <f t="shared" si="32"/>
        <v>106520.66666666667</v>
      </c>
    </row>
    <row r="703" spans="1:18">
      <c r="A703" s="1">
        <v>2</v>
      </c>
      <c r="B703" s="1" t="str">
        <f>"قطعات و لوازم يدكي"</f>
        <v>قطعات و لوازم يدكي</v>
      </c>
      <c r="C703" s="1">
        <v>101</v>
      </c>
      <c r="D703" s="1" t="str">
        <f>"انبار قطعات و لوازم يدكي اصفهان"</f>
        <v>انبار قطعات و لوازم يدكي اصفهان</v>
      </c>
      <c r="E703" s="1" t="str">
        <f>"6000000002"</f>
        <v>6000000002</v>
      </c>
      <c r="F703" s="1" t="str">
        <f>"ريگلاتور گاز 1اينچ"</f>
        <v>ريگلاتور گاز 1اينچ</v>
      </c>
      <c r="G703" s="1" t="str">
        <f>"عدد"</f>
        <v>عدد</v>
      </c>
      <c r="H703" s="1">
        <v>3</v>
      </c>
      <c r="I703" s="1">
        <v>174887085</v>
      </c>
      <c r="J703" s="1">
        <v>0</v>
      </c>
      <c r="K703" s="1">
        <v>0</v>
      </c>
      <c r="L703" s="1">
        <v>0</v>
      </c>
      <c r="M703" s="1">
        <v>0</v>
      </c>
      <c r="O703" s="1">
        <v>97</v>
      </c>
      <c r="P703" s="4">
        <f t="shared" si="30"/>
        <v>174887085</v>
      </c>
      <c r="Q703" s="4">
        <f t="shared" si="31"/>
        <v>3</v>
      </c>
      <c r="R703" s="4">
        <f t="shared" si="32"/>
        <v>58295695</v>
      </c>
    </row>
    <row r="704" spans="1:18">
      <c r="A704" s="1">
        <v>2</v>
      </c>
      <c r="B704" s="1" t="str">
        <f>"قطعات و لوازم يدكي"</f>
        <v>قطعات و لوازم يدكي</v>
      </c>
      <c r="C704" s="1">
        <v>101</v>
      </c>
      <c r="D704" s="1" t="str">
        <f>"انبار قطعات و لوازم يدكي اصفهان"</f>
        <v>انبار قطعات و لوازم يدكي اصفهان</v>
      </c>
      <c r="E704" s="1" t="str">
        <f>"6000000012"</f>
        <v>6000000012</v>
      </c>
      <c r="F704" s="1" t="str">
        <f>"Pressure gauge 0-10"</f>
        <v>Pressure gauge 0-10</v>
      </c>
      <c r="G704" s="1" t="str">
        <f>"عدد"</f>
        <v>عدد</v>
      </c>
      <c r="H704" s="1">
        <v>1</v>
      </c>
      <c r="I704" s="1">
        <v>10</v>
      </c>
      <c r="J704" s="1">
        <v>0</v>
      </c>
      <c r="K704" s="1">
        <v>0</v>
      </c>
      <c r="L704" s="1">
        <v>0</v>
      </c>
      <c r="M704" s="1">
        <v>0</v>
      </c>
      <c r="O704" s="1">
        <v>97</v>
      </c>
      <c r="P704" s="4">
        <f t="shared" si="30"/>
        <v>10</v>
      </c>
      <c r="Q704" s="4">
        <f t="shared" si="31"/>
        <v>1</v>
      </c>
      <c r="R704" s="4">
        <f t="shared" si="32"/>
        <v>10</v>
      </c>
    </row>
    <row r="705" spans="1:18">
      <c r="A705" s="1">
        <v>2</v>
      </c>
      <c r="B705" s="1" t="str">
        <f>"قطعات و لوازم يدكي"</f>
        <v>قطعات و لوازم يدكي</v>
      </c>
      <c r="C705" s="1">
        <v>101</v>
      </c>
      <c r="D705" s="1" t="str">
        <f>"انبار قطعات و لوازم يدكي اصفهان"</f>
        <v>انبار قطعات و لوازم يدكي اصفهان</v>
      </c>
      <c r="E705" s="1" t="str">
        <f>"6001020033"</f>
        <v>6001020033</v>
      </c>
      <c r="F705" s="1" t="str">
        <f>"SHUFT-OFF VALVE"</f>
        <v>SHUFT-OFF VALVE</v>
      </c>
      <c r="G705" s="1" t="str">
        <f>"عدد"</f>
        <v>عدد</v>
      </c>
      <c r="H705" s="1">
        <v>3</v>
      </c>
      <c r="I705" s="1">
        <v>400320000</v>
      </c>
      <c r="J705" s="1">
        <v>0</v>
      </c>
      <c r="K705" s="1">
        <v>0</v>
      </c>
      <c r="L705" s="1">
        <v>0</v>
      </c>
      <c r="M705" s="1">
        <v>0</v>
      </c>
      <c r="O705" s="1">
        <v>97</v>
      </c>
      <c r="P705" s="4">
        <f t="shared" si="30"/>
        <v>400320000</v>
      </c>
      <c r="Q705" s="4">
        <f t="shared" si="31"/>
        <v>3</v>
      </c>
      <c r="R705" s="4">
        <f t="shared" si="32"/>
        <v>133440000</v>
      </c>
    </row>
    <row r="706" spans="1:18">
      <c r="A706" s="1">
        <v>2</v>
      </c>
      <c r="B706" s="1" t="str">
        <f>"قطعات و لوازم يدكي"</f>
        <v>قطعات و لوازم يدكي</v>
      </c>
      <c r="C706" s="1">
        <v>101</v>
      </c>
      <c r="D706" s="1" t="str">
        <f>"انبار قطعات و لوازم يدكي اصفهان"</f>
        <v>انبار قطعات و لوازم يدكي اصفهان</v>
      </c>
      <c r="E706" s="1" t="str">
        <f>"6001020043"</f>
        <v>6001020043</v>
      </c>
      <c r="F706" s="1" t="str">
        <f>"VENT VALVE"</f>
        <v>VENT VALVE</v>
      </c>
      <c r="G706" s="1" t="str">
        <f>"عدد"</f>
        <v>عدد</v>
      </c>
      <c r="H706" s="1">
        <v>2</v>
      </c>
      <c r="I706" s="1">
        <v>289920000</v>
      </c>
      <c r="J706" s="1">
        <v>0</v>
      </c>
      <c r="K706" s="1">
        <v>0</v>
      </c>
      <c r="L706" s="1">
        <v>0</v>
      </c>
      <c r="M706" s="1">
        <v>0</v>
      </c>
      <c r="O706" s="1">
        <v>97</v>
      </c>
      <c r="P706" s="4">
        <f t="shared" si="30"/>
        <v>289920000</v>
      </c>
      <c r="Q706" s="4">
        <f t="shared" si="31"/>
        <v>2</v>
      </c>
      <c r="R706" s="4">
        <f t="shared" si="32"/>
        <v>144960000</v>
      </c>
    </row>
    <row r="707" spans="1:18">
      <c r="A707" s="1">
        <v>2</v>
      </c>
      <c r="B707" s="1" t="str">
        <f>"قطعات و لوازم يدكي"</f>
        <v>قطعات و لوازم يدكي</v>
      </c>
      <c r="C707" s="1">
        <v>101</v>
      </c>
      <c r="D707" s="1" t="str">
        <f>"انبار قطعات و لوازم يدكي اصفهان"</f>
        <v>انبار قطعات و لوازم يدكي اصفهان</v>
      </c>
      <c r="E707" s="1" t="str">
        <f>"6014542123"</f>
        <v>6014542123</v>
      </c>
      <c r="F707" s="1" t="str">
        <f>"پن اسي گرين(قلم سبز)"</f>
        <v>پن اسي گرين(قلم سبز)</v>
      </c>
      <c r="G707" s="1" t="str">
        <f>"عدد"</f>
        <v>عدد</v>
      </c>
      <c r="H707" s="1">
        <v>6</v>
      </c>
      <c r="I707" s="1">
        <v>822312</v>
      </c>
      <c r="J707" s="1">
        <v>0</v>
      </c>
      <c r="K707" s="1">
        <v>0</v>
      </c>
      <c r="L707" s="1">
        <v>0</v>
      </c>
      <c r="M707" s="1">
        <v>0</v>
      </c>
      <c r="O707" s="1">
        <v>97</v>
      </c>
      <c r="P707" s="4">
        <f t="shared" ref="P707:P770" si="33">I707+K707-M707</f>
        <v>822312</v>
      </c>
      <c r="Q707" s="4">
        <f t="shared" ref="Q707:Q770" si="34">H707+J707-L707</f>
        <v>6</v>
      </c>
      <c r="R707" s="4">
        <f t="shared" ref="R707:R770" si="35">P707/Q707</f>
        <v>137052</v>
      </c>
    </row>
    <row r="708" spans="1:18">
      <c r="A708" s="1">
        <v>2</v>
      </c>
      <c r="B708" s="1" t="str">
        <f>"قطعات و لوازم يدكي"</f>
        <v>قطعات و لوازم يدكي</v>
      </c>
      <c r="C708" s="1">
        <v>101</v>
      </c>
      <c r="D708" s="1" t="str">
        <f>"انبار قطعات و لوازم يدكي اصفهان"</f>
        <v>انبار قطعات و لوازم يدكي اصفهان</v>
      </c>
      <c r="E708" s="1" t="str">
        <f>"6018953663"</f>
        <v>6018953663</v>
      </c>
      <c r="F708" s="1" t="str">
        <f>"كونتكت اوت پوت ايزو متور"</f>
        <v>كونتكت اوت پوت ايزو متور</v>
      </c>
      <c r="G708" s="1" t="str">
        <f>"عدد"</f>
        <v>عدد</v>
      </c>
      <c r="H708" s="1">
        <v>1</v>
      </c>
      <c r="I708" s="1">
        <v>1034773</v>
      </c>
      <c r="J708" s="1">
        <v>0</v>
      </c>
      <c r="K708" s="1">
        <v>0</v>
      </c>
      <c r="L708" s="1">
        <v>0</v>
      </c>
      <c r="M708" s="1">
        <v>0</v>
      </c>
      <c r="O708" s="1">
        <v>97</v>
      </c>
      <c r="P708" s="4">
        <f t="shared" si="33"/>
        <v>1034773</v>
      </c>
      <c r="Q708" s="4">
        <f t="shared" si="34"/>
        <v>1</v>
      </c>
      <c r="R708" s="4">
        <f t="shared" si="35"/>
        <v>1034773</v>
      </c>
    </row>
    <row r="709" spans="1:18">
      <c r="A709" s="1">
        <v>2</v>
      </c>
      <c r="B709" s="1" t="str">
        <f>"قطعات و لوازم يدكي"</f>
        <v>قطعات و لوازم يدكي</v>
      </c>
      <c r="C709" s="1">
        <v>101</v>
      </c>
      <c r="D709" s="1" t="str">
        <f>"انبار قطعات و لوازم يدكي اصفهان"</f>
        <v>انبار قطعات و لوازم يدكي اصفهان</v>
      </c>
      <c r="E709" s="1" t="str">
        <f>"6044511063"</f>
        <v>6044511063</v>
      </c>
      <c r="F709" s="1" t="str">
        <f>"تايپ 657-EZ  بودي سايز 1/2-1"</f>
        <v>تايپ 657-EZ  بودي سايز 1/2-1</v>
      </c>
      <c r="G709" s="1" t="str">
        <f>"عدد"</f>
        <v>عدد</v>
      </c>
      <c r="H709" s="1">
        <v>1</v>
      </c>
      <c r="I709" s="1">
        <v>728000</v>
      </c>
      <c r="J709" s="1">
        <v>0</v>
      </c>
      <c r="K709" s="1">
        <v>0</v>
      </c>
      <c r="L709" s="1">
        <v>0</v>
      </c>
      <c r="M709" s="1">
        <v>0</v>
      </c>
      <c r="O709" s="1">
        <v>97</v>
      </c>
      <c r="P709" s="4">
        <f t="shared" si="33"/>
        <v>728000</v>
      </c>
      <c r="Q709" s="4">
        <f t="shared" si="34"/>
        <v>1</v>
      </c>
      <c r="R709" s="4">
        <f t="shared" si="35"/>
        <v>728000</v>
      </c>
    </row>
    <row r="710" spans="1:18" hidden="1">
      <c r="A710" s="1">
        <v>2</v>
      </c>
      <c r="B710" s="1" t="str">
        <f>"قطعات و لوازم يدكي"</f>
        <v>قطعات و لوازم يدكي</v>
      </c>
      <c r="C710" s="1">
        <v>101</v>
      </c>
      <c r="D710" s="1" t="str">
        <f>"انبار قطعات و لوازم يدكي اصفهان"</f>
        <v>انبار قطعات و لوازم يدكي اصفهان</v>
      </c>
      <c r="E710" s="1" t="str">
        <f>"6049503502"</f>
        <v>6049503502</v>
      </c>
      <c r="F710" s="1" t="str">
        <f>"چارت بارتن"</f>
        <v>چارت بارتن</v>
      </c>
      <c r="G710" s="1" t="str">
        <f>"عدد"</f>
        <v>عدد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O710" s="1">
        <v>97</v>
      </c>
      <c r="P710" s="1">
        <f t="shared" si="33"/>
        <v>0</v>
      </c>
      <c r="Q710" s="1">
        <f t="shared" si="34"/>
        <v>0</v>
      </c>
      <c r="R710" s="1" t="e">
        <f t="shared" si="35"/>
        <v>#DIV/0!</v>
      </c>
    </row>
    <row r="711" spans="1:18">
      <c r="A711" s="1">
        <v>2</v>
      </c>
      <c r="B711" s="1" t="str">
        <f>"قطعات و لوازم يدكي"</f>
        <v>قطعات و لوازم يدكي</v>
      </c>
      <c r="C711" s="1">
        <v>101</v>
      </c>
      <c r="D711" s="1" t="str">
        <f>"انبار قطعات و لوازم يدكي اصفهان"</f>
        <v>انبار قطعات و لوازم يدكي اصفهان</v>
      </c>
      <c r="E711" s="1" t="str">
        <f>"6050548213"</f>
        <v>6050548213</v>
      </c>
      <c r="F711" s="1" t="str">
        <f>"PRESSR GUAGE 0-25 BAR"</f>
        <v>PRESSR GUAGE 0-25 BAR</v>
      </c>
      <c r="G711" s="1" t="str">
        <f>"عدد"</f>
        <v>عدد</v>
      </c>
      <c r="H711" s="1">
        <v>5</v>
      </c>
      <c r="I711" s="1">
        <v>11500000</v>
      </c>
      <c r="J711" s="1">
        <v>0</v>
      </c>
      <c r="K711" s="1">
        <v>0</v>
      </c>
      <c r="L711" s="1">
        <v>1</v>
      </c>
      <c r="M711" s="1">
        <v>2300000</v>
      </c>
      <c r="O711" s="1">
        <v>97</v>
      </c>
      <c r="P711" s="4">
        <f t="shared" si="33"/>
        <v>9200000</v>
      </c>
      <c r="Q711" s="4">
        <f t="shared" si="34"/>
        <v>4</v>
      </c>
      <c r="R711" s="4">
        <f t="shared" si="35"/>
        <v>2300000</v>
      </c>
    </row>
    <row r="712" spans="1:18">
      <c r="A712" s="1">
        <v>2</v>
      </c>
      <c r="B712" s="1" t="str">
        <f>"قطعات و لوازم يدكي"</f>
        <v>قطعات و لوازم يدكي</v>
      </c>
      <c r="C712" s="1">
        <v>101</v>
      </c>
      <c r="D712" s="1" t="str">
        <f>"انبار قطعات و لوازم يدكي اصفهان"</f>
        <v>انبار قطعات و لوازم يدكي اصفهان</v>
      </c>
      <c r="E712" s="1" t="str">
        <f>"6050548262"</f>
        <v>6050548262</v>
      </c>
      <c r="F712" s="1" t="str">
        <f>"مانومتر 10-0"</f>
        <v>مانومتر 10-0</v>
      </c>
      <c r="G712" s="1" t="str">
        <f>"عدد"</f>
        <v>عدد</v>
      </c>
      <c r="H712" s="1">
        <v>8</v>
      </c>
      <c r="I712" s="1">
        <v>14400000</v>
      </c>
      <c r="J712" s="1">
        <v>2</v>
      </c>
      <c r="K712" s="1">
        <v>18800000</v>
      </c>
      <c r="L712" s="1">
        <v>1</v>
      </c>
      <c r="M712" s="1">
        <v>1800000</v>
      </c>
      <c r="O712" s="1">
        <v>97</v>
      </c>
      <c r="P712" s="4">
        <f t="shared" si="33"/>
        <v>31400000</v>
      </c>
      <c r="Q712" s="4">
        <f t="shared" si="34"/>
        <v>9</v>
      </c>
      <c r="R712" s="4">
        <f t="shared" si="35"/>
        <v>3488888.888888889</v>
      </c>
    </row>
    <row r="713" spans="1:18">
      <c r="A713" s="1">
        <v>2</v>
      </c>
      <c r="B713" s="1" t="str">
        <f>"قطعات و لوازم يدكي"</f>
        <v>قطعات و لوازم يدكي</v>
      </c>
      <c r="C713" s="1">
        <v>101</v>
      </c>
      <c r="D713" s="1" t="str">
        <f>"انبار قطعات و لوازم يدكي اصفهان"</f>
        <v>انبار قطعات و لوازم يدكي اصفهان</v>
      </c>
      <c r="E713" s="1" t="str">
        <f>"6050548342"</f>
        <v>6050548342</v>
      </c>
      <c r="F713" s="1" t="str">
        <f>"ترمومتر 300 تا0 طول 40cm قطر 6mm"</f>
        <v>ترمومتر 300 تا0 طول 40cm قطر 6mm</v>
      </c>
      <c r="G713" s="1" t="str">
        <f>"عدد"</f>
        <v>عدد</v>
      </c>
      <c r="H713" s="1">
        <v>3</v>
      </c>
      <c r="I713" s="1">
        <v>16200000</v>
      </c>
      <c r="J713" s="1">
        <v>0</v>
      </c>
      <c r="K713" s="1">
        <v>0</v>
      </c>
      <c r="L713" s="1">
        <v>0</v>
      </c>
      <c r="M713" s="1">
        <v>0</v>
      </c>
      <c r="O713" s="1">
        <v>97</v>
      </c>
      <c r="P713" s="4">
        <f t="shared" si="33"/>
        <v>16200000</v>
      </c>
      <c r="Q713" s="4">
        <f t="shared" si="34"/>
        <v>3</v>
      </c>
      <c r="R713" s="4">
        <f t="shared" si="35"/>
        <v>5400000</v>
      </c>
    </row>
    <row r="714" spans="1:18">
      <c r="A714" s="1">
        <v>2</v>
      </c>
      <c r="B714" s="1" t="str">
        <f>"قطعات و لوازم يدكي"</f>
        <v>قطعات و لوازم يدكي</v>
      </c>
      <c r="C714" s="1">
        <v>101</v>
      </c>
      <c r="D714" s="1" t="str">
        <f>"انبار قطعات و لوازم يدكي اصفهان"</f>
        <v>انبار قطعات و لوازم يدكي اصفهان</v>
      </c>
      <c r="E714" s="1" t="str">
        <f>"6069703602"</f>
        <v>6069703602</v>
      </c>
      <c r="F714" s="1" t="str">
        <f>"سنسور ضدانفجار namur"</f>
        <v>سنسور ضدانفجار namur</v>
      </c>
      <c r="G714" s="1" t="str">
        <f>"عدد"</f>
        <v>عدد</v>
      </c>
      <c r="H714" s="1">
        <v>2</v>
      </c>
      <c r="I714" s="1">
        <v>960000</v>
      </c>
      <c r="J714" s="1">
        <v>0</v>
      </c>
      <c r="K714" s="1">
        <v>0</v>
      </c>
      <c r="L714" s="1">
        <v>0</v>
      </c>
      <c r="M714" s="1">
        <v>0</v>
      </c>
      <c r="O714" s="1">
        <v>97</v>
      </c>
      <c r="P714" s="4">
        <f t="shared" si="33"/>
        <v>960000</v>
      </c>
      <c r="Q714" s="4">
        <f t="shared" si="34"/>
        <v>2</v>
      </c>
      <c r="R714" s="4">
        <f t="shared" si="35"/>
        <v>480000</v>
      </c>
    </row>
    <row r="715" spans="1:18">
      <c r="A715" s="1">
        <v>2</v>
      </c>
      <c r="B715" s="1" t="str">
        <f>"قطعات و لوازم يدكي"</f>
        <v>قطعات و لوازم يدكي</v>
      </c>
      <c r="C715" s="1">
        <v>101</v>
      </c>
      <c r="D715" s="1" t="str">
        <f>"انبار قطعات و لوازم يدكي اصفهان"</f>
        <v>انبار قطعات و لوازم يدكي اصفهان</v>
      </c>
      <c r="E715" s="1" t="str">
        <f>"6088764032"</f>
        <v>6088764032</v>
      </c>
      <c r="F715" s="1" t="str">
        <f>"PT-100 (ترمو کوبل)"</f>
        <v>PT-100 (ترمو کوبل)</v>
      </c>
      <c r="G715" s="1" t="str">
        <f>"عدد"</f>
        <v>عدد</v>
      </c>
      <c r="H715" s="1">
        <v>1</v>
      </c>
      <c r="I715" s="1">
        <v>550000</v>
      </c>
      <c r="J715" s="1">
        <v>0</v>
      </c>
      <c r="K715" s="1">
        <v>0</v>
      </c>
      <c r="L715" s="1">
        <v>0</v>
      </c>
      <c r="M715" s="1">
        <v>0</v>
      </c>
      <c r="O715" s="1">
        <v>97</v>
      </c>
      <c r="P715" s="4">
        <f t="shared" si="33"/>
        <v>550000</v>
      </c>
      <c r="Q715" s="4">
        <f t="shared" si="34"/>
        <v>1</v>
      </c>
      <c r="R715" s="4">
        <f t="shared" si="35"/>
        <v>550000</v>
      </c>
    </row>
    <row r="716" spans="1:18">
      <c r="A716" s="1">
        <v>2</v>
      </c>
      <c r="B716" s="1" t="str">
        <f>"قطعات و لوازم يدكي"</f>
        <v>قطعات و لوازم يدكي</v>
      </c>
      <c r="C716" s="1">
        <v>101</v>
      </c>
      <c r="D716" s="1" t="str">
        <f>"انبار قطعات و لوازم يدكي اصفهان"</f>
        <v>انبار قطعات و لوازم يدكي اصفهان</v>
      </c>
      <c r="E716" s="1" t="str">
        <f>"6401020032"</f>
        <v>6401020032</v>
      </c>
      <c r="F716" s="1" t="str">
        <f>"الکترود 70/18 -4"</f>
        <v>الکترود 70/18 -4</v>
      </c>
      <c r="G716" s="1" t="str">
        <f>"كيلوگرم"</f>
        <v>كيلوگرم</v>
      </c>
      <c r="H716" s="1">
        <v>50</v>
      </c>
      <c r="I716" s="1">
        <v>3300000</v>
      </c>
      <c r="J716" s="1">
        <v>0</v>
      </c>
      <c r="K716" s="1">
        <v>0</v>
      </c>
      <c r="L716" s="1">
        <v>0</v>
      </c>
      <c r="M716" s="1">
        <v>0</v>
      </c>
      <c r="O716" s="1">
        <v>97</v>
      </c>
      <c r="P716" s="4">
        <f t="shared" si="33"/>
        <v>3300000</v>
      </c>
      <c r="Q716" s="4">
        <f t="shared" si="34"/>
        <v>50</v>
      </c>
      <c r="R716" s="4">
        <f t="shared" si="35"/>
        <v>66000</v>
      </c>
    </row>
    <row r="717" spans="1:18">
      <c r="A717" s="1">
        <v>2</v>
      </c>
      <c r="B717" s="1" t="str">
        <f>"قطعات و لوازم يدكي"</f>
        <v>قطعات و لوازم يدكي</v>
      </c>
      <c r="C717" s="1">
        <v>101</v>
      </c>
      <c r="D717" s="1" t="str">
        <f>"انبار قطعات و لوازم يدكي اصفهان"</f>
        <v>انبار قطعات و لوازم يدكي اصفهان</v>
      </c>
      <c r="E717" s="1" t="str">
        <f>"6711355622"</f>
        <v>6711355622</v>
      </c>
      <c r="F717" s="1" t="str">
        <f>"کليد مينياتوري تک فاز A-63"</f>
        <v>کليد مينياتوري تک فاز A-63</v>
      </c>
      <c r="G717" s="1" t="str">
        <f>"عدد"</f>
        <v>عدد</v>
      </c>
      <c r="H717" s="1">
        <v>3</v>
      </c>
      <c r="I717" s="1">
        <v>270000</v>
      </c>
      <c r="J717" s="1">
        <v>0</v>
      </c>
      <c r="K717" s="1">
        <v>0</v>
      </c>
      <c r="L717" s="1">
        <v>0</v>
      </c>
      <c r="M717" s="1">
        <v>0</v>
      </c>
      <c r="O717" s="1">
        <v>97</v>
      </c>
      <c r="P717" s="4">
        <f t="shared" si="33"/>
        <v>270000</v>
      </c>
      <c r="Q717" s="4">
        <f t="shared" si="34"/>
        <v>3</v>
      </c>
      <c r="R717" s="4">
        <f t="shared" si="35"/>
        <v>90000</v>
      </c>
    </row>
    <row r="718" spans="1:18">
      <c r="A718" s="1">
        <v>2</v>
      </c>
      <c r="B718" s="1" t="str">
        <f>"قطعات و لوازم يدكي"</f>
        <v>قطعات و لوازم يدكي</v>
      </c>
      <c r="C718" s="1">
        <v>101</v>
      </c>
      <c r="D718" s="1" t="str">
        <f>"انبار قطعات و لوازم يدكي اصفهان"</f>
        <v>انبار قطعات و لوازم يدكي اصفهان</v>
      </c>
      <c r="E718" s="1" t="str">
        <f>"6711364542"</f>
        <v>6711364542</v>
      </c>
      <c r="F718" s="1" t="str">
        <f>"کليد مينياتوري سه فاز A-63"</f>
        <v>کليد مينياتوري سه فاز A-63</v>
      </c>
      <c r="G718" s="1" t="str">
        <f>"عدد"</f>
        <v>عدد</v>
      </c>
      <c r="H718" s="1">
        <v>1</v>
      </c>
      <c r="I718" s="1">
        <v>390000</v>
      </c>
      <c r="J718" s="1">
        <v>0</v>
      </c>
      <c r="K718" s="1">
        <v>0</v>
      </c>
      <c r="L718" s="1">
        <v>0</v>
      </c>
      <c r="M718" s="1">
        <v>0</v>
      </c>
      <c r="O718" s="1">
        <v>97</v>
      </c>
      <c r="P718" s="4">
        <f t="shared" si="33"/>
        <v>390000</v>
      </c>
      <c r="Q718" s="4">
        <f t="shared" si="34"/>
        <v>1</v>
      </c>
      <c r="R718" s="4">
        <f t="shared" si="35"/>
        <v>390000</v>
      </c>
    </row>
    <row r="719" spans="1:18">
      <c r="A719" s="1">
        <v>2</v>
      </c>
      <c r="B719" s="1" t="str">
        <f>"قطعات و لوازم يدكي"</f>
        <v>قطعات و لوازم يدكي</v>
      </c>
      <c r="C719" s="1">
        <v>101</v>
      </c>
      <c r="D719" s="1" t="str">
        <f>"انبار قطعات و لوازم يدكي اصفهان"</f>
        <v>انبار قطعات و لوازم يدكي اصفهان</v>
      </c>
      <c r="E719" s="1" t="str">
        <f>"6772902122"</f>
        <v>6772902122</v>
      </c>
      <c r="F719" s="1" t="str">
        <f>"بي متال تله 63 الي 80  LRD3363"</f>
        <v>بي متال تله 63 الي 80  LRD3363</v>
      </c>
      <c r="G719" s="1" t="str">
        <f>"عدد"</f>
        <v>عدد</v>
      </c>
      <c r="H719" s="1">
        <v>3</v>
      </c>
      <c r="I719" s="1">
        <v>7800000</v>
      </c>
      <c r="J719" s="1">
        <v>0</v>
      </c>
      <c r="K719" s="1">
        <v>0</v>
      </c>
      <c r="L719" s="1">
        <v>0</v>
      </c>
      <c r="M719" s="1">
        <v>0</v>
      </c>
      <c r="O719" s="1">
        <v>97</v>
      </c>
      <c r="P719" s="4">
        <f t="shared" si="33"/>
        <v>7800000</v>
      </c>
      <c r="Q719" s="4">
        <f t="shared" si="34"/>
        <v>3</v>
      </c>
      <c r="R719" s="4">
        <f t="shared" si="35"/>
        <v>2600000</v>
      </c>
    </row>
    <row r="720" spans="1:18" hidden="1">
      <c r="A720" s="1">
        <v>2</v>
      </c>
      <c r="B720" s="1" t="str">
        <f>"قطعات و لوازم يدكي"</f>
        <v>قطعات و لوازم يدكي</v>
      </c>
      <c r="C720" s="1">
        <v>101</v>
      </c>
      <c r="D720" s="1" t="str">
        <f>"انبار قطعات و لوازم يدكي اصفهان"</f>
        <v>انبار قطعات و لوازم يدكي اصفهان</v>
      </c>
      <c r="E720" s="1" t="str">
        <f>"6800000082"</f>
        <v>6800000082</v>
      </c>
      <c r="F720" s="1" t="str">
        <f>"سر کابل 50*3 داخلي 6/3"</f>
        <v>سر کابل 50*3 داخلي 6/3</v>
      </c>
      <c r="G720" s="1" t="str">
        <f>"عدد"</f>
        <v>عدد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O720" s="1">
        <v>97</v>
      </c>
      <c r="P720" s="1">
        <f t="shared" si="33"/>
        <v>0</v>
      </c>
      <c r="Q720" s="1">
        <f t="shared" si="34"/>
        <v>0</v>
      </c>
      <c r="R720" s="1" t="e">
        <f t="shared" si="35"/>
        <v>#DIV/0!</v>
      </c>
    </row>
    <row r="721" spans="1:18" hidden="1">
      <c r="A721" s="1">
        <v>2</v>
      </c>
      <c r="B721" s="1" t="str">
        <f>"قطعات و لوازم يدكي"</f>
        <v>قطعات و لوازم يدكي</v>
      </c>
      <c r="C721" s="1">
        <v>101</v>
      </c>
      <c r="D721" s="1" t="str">
        <f>"انبار قطعات و لوازم يدكي اصفهان"</f>
        <v>انبار قطعات و لوازم يدكي اصفهان</v>
      </c>
      <c r="E721" s="1" t="str">
        <f>"6800000102"</f>
        <v>6800000102</v>
      </c>
      <c r="F721" s="1" t="str">
        <f>"مفصل حرارتي 25*4"</f>
        <v>مفصل حرارتي 25*4</v>
      </c>
      <c r="G721" s="1" t="str">
        <f>"عدد"</f>
        <v>عدد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O721" s="1">
        <v>97</v>
      </c>
      <c r="P721" s="1">
        <f t="shared" si="33"/>
        <v>0</v>
      </c>
      <c r="Q721" s="1">
        <f t="shared" si="34"/>
        <v>0</v>
      </c>
      <c r="R721" s="1" t="e">
        <f t="shared" si="35"/>
        <v>#DIV/0!</v>
      </c>
    </row>
    <row r="722" spans="1:18" hidden="1">
      <c r="A722" s="1">
        <v>2</v>
      </c>
      <c r="B722" s="1" t="str">
        <f>"قطعات و لوازم يدكي"</f>
        <v>قطعات و لوازم يدكي</v>
      </c>
      <c r="C722" s="1">
        <v>101</v>
      </c>
      <c r="D722" s="1" t="str">
        <f>"انبار قطعات و لوازم يدكي اصفهان"</f>
        <v>انبار قطعات و لوازم يدكي اصفهان</v>
      </c>
      <c r="E722" s="1" t="str">
        <f>"6800000302"</f>
        <v>6800000302</v>
      </c>
      <c r="F722" s="1" t="str">
        <f>"کاندوئيت آبکاري گرم"</f>
        <v>کاندوئيت آبکاري گرم</v>
      </c>
      <c r="G722" s="1" t="str">
        <f>"متر"</f>
        <v>متر</v>
      </c>
      <c r="H722" s="1">
        <v>0</v>
      </c>
      <c r="I722" s="1">
        <v>0</v>
      </c>
      <c r="J722" s="1">
        <v>171</v>
      </c>
      <c r="K722" s="1">
        <v>16587000</v>
      </c>
      <c r="L722" s="1">
        <v>171</v>
      </c>
      <c r="M722" s="1">
        <v>16587000</v>
      </c>
      <c r="O722" s="1">
        <v>97</v>
      </c>
      <c r="P722" s="1">
        <f t="shared" si="33"/>
        <v>0</v>
      </c>
      <c r="Q722" s="1">
        <f t="shared" si="34"/>
        <v>0</v>
      </c>
      <c r="R722" s="1" t="e">
        <f t="shared" si="35"/>
        <v>#DIV/0!</v>
      </c>
    </row>
    <row r="723" spans="1:18" hidden="1">
      <c r="A723" s="1">
        <v>2</v>
      </c>
      <c r="B723" s="1" t="str">
        <f>"قطعات و لوازم يدكي"</f>
        <v>قطعات و لوازم يدكي</v>
      </c>
      <c r="C723" s="1">
        <v>101</v>
      </c>
      <c r="D723" s="1" t="str">
        <f>"انبار قطعات و لوازم يدكي اصفهان"</f>
        <v>انبار قطعات و لوازم يدكي اصفهان</v>
      </c>
      <c r="E723" s="1" t="str">
        <f>"6800000362"</f>
        <v>6800000362</v>
      </c>
      <c r="F723" s="1" t="str">
        <f>"پيچ و رول پلاک سايز 8"</f>
        <v>پيچ و رول پلاک سايز 8</v>
      </c>
      <c r="G723" s="1" t="str">
        <f>"عدد"</f>
        <v>عدد</v>
      </c>
      <c r="H723" s="1">
        <v>0</v>
      </c>
      <c r="I723" s="1">
        <v>0</v>
      </c>
      <c r="J723" s="1">
        <v>400</v>
      </c>
      <c r="K723" s="1">
        <v>780000</v>
      </c>
      <c r="L723" s="1">
        <v>400</v>
      </c>
      <c r="M723" s="1">
        <v>780000</v>
      </c>
      <c r="O723" s="1">
        <v>97</v>
      </c>
      <c r="P723" s="1">
        <f t="shared" si="33"/>
        <v>0</v>
      </c>
      <c r="Q723" s="1">
        <f t="shared" si="34"/>
        <v>0</v>
      </c>
      <c r="R723" s="1" t="e">
        <f t="shared" si="35"/>
        <v>#DIV/0!</v>
      </c>
    </row>
    <row r="724" spans="1:18" hidden="1">
      <c r="A724" s="1">
        <v>2</v>
      </c>
      <c r="B724" s="1" t="str">
        <f>"قطعات و لوازم يدكي"</f>
        <v>قطعات و لوازم يدكي</v>
      </c>
      <c r="C724" s="1">
        <v>101</v>
      </c>
      <c r="D724" s="1" t="str">
        <f>"انبار قطعات و لوازم يدكي اصفهان"</f>
        <v>انبار قطعات و لوازم يدكي اصفهان</v>
      </c>
      <c r="E724" s="1" t="str">
        <f>"6800000382"</f>
        <v>6800000382</v>
      </c>
      <c r="F724" s="1" t="str">
        <f>"توپيچ روپيچ PG21"</f>
        <v>توپيچ روپيچ PG21</v>
      </c>
      <c r="G724" s="1" t="str">
        <f>"عدد"</f>
        <v>عدد</v>
      </c>
      <c r="H724" s="1">
        <v>0</v>
      </c>
      <c r="I724" s="1">
        <v>0</v>
      </c>
      <c r="J724" s="1">
        <v>20</v>
      </c>
      <c r="K724" s="1">
        <v>315000</v>
      </c>
      <c r="L724" s="1">
        <v>20</v>
      </c>
      <c r="M724" s="1">
        <v>315000</v>
      </c>
      <c r="O724" s="1">
        <v>97</v>
      </c>
      <c r="P724" s="1">
        <f t="shared" si="33"/>
        <v>0</v>
      </c>
      <c r="Q724" s="1">
        <f t="shared" si="34"/>
        <v>0</v>
      </c>
      <c r="R724" s="1" t="e">
        <f t="shared" si="35"/>
        <v>#DIV/0!</v>
      </c>
    </row>
    <row r="725" spans="1:18">
      <c r="A725" s="1">
        <v>2</v>
      </c>
      <c r="B725" s="1" t="str">
        <f>"قطعات و لوازم يدكي"</f>
        <v>قطعات و لوازم يدكي</v>
      </c>
      <c r="C725" s="1">
        <v>101</v>
      </c>
      <c r="D725" s="1" t="str">
        <f>"انبار قطعات و لوازم يدكي اصفهان"</f>
        <v>انبار قطعات و لوازم يدكي اصفهان</v>
      </c>
      <c r="E725" s="1" t="str">
        <f>"6801010122"</f>
        <v>6801010122</v>
      </c>
      <c r="F725" s="1" t="str">
        <f>"بي متال کابلشو 25"</f>
        <v>بي متال کابلشو 25</v>
      </c>
      <c r="G725" s="1" t="str">
        <f>"عدد"</f>
        <v>عدد</v>
      </c>
      <c r="H725" s="1">
        <v>6</v>
      </c>
      <c r="I725" s="1">
        <v>72000</v>
      </c>
      <c r="J725" s="1">
        <v>0</v>
      </c>
      <c r="K725" s="1">
        <v>0</v>
      </c>
      <c r="L725" s="1">
        <v>0</v>
      </c>
      <c r="M725" s="1">
        <v>0</v>
      </c>
      <c r="O725" s="1">
        <v>97</v>
      </c>
      <c r="P725" s="4">
        <f t="shared" si="33"/>
        <v>72000</v>
      </c>
      <c r="Q725" s="4">
        <f t="shared" si="34"/>
        <v>6</v>
      </c>
      <c r="R725" s="4">
        <f t="shared" si="35"/>
        <v>12000</v>
      </c>
    </row>
    <row r="726" spans="1:18">
      <c r="A726" s="1">
        <v>2</v>
      </c>
      <c r="B726" s="1" t="str">
        <f>"قطعات و لوازم يدكي"</f>
        <v>قطعات و لوازم يدكي</v>
      </c>
      <c r="C726" s="1">
        <v>101</v>
      </c>
      <c r="D726" s="1" t="str">
        <f>"انبار قطعات و لوازم يدكي اصفهان"</f>
        <v>انبار قطعات و لوازم يدكي اصفهان</v>
      </c>
      <c r="E726" s="1" t="str">
        <f>"6801010152"</f>
        <v>6801010152</v>
      </c>
      <c r="F726" s="1" t="str">
        <f>"بي متال کابلشو 70"</f>
        <v>بي متال کابلشو 70</v>
      </c>
      <c r="G726" s="1" t="str">
        <f>"عدد"</f>
        <v>عدد</v>
      </c>
      <c r="H726" s="1">
        <v>1</v>
      </c>
      <c r="I726" s="1">
        <v>28000</v>
      </c>
      <c r="J726" s="1">
        <v>0</v>
      </c>
      <c r="K726" s="1">
        <v>0</v>
      </c>
      <c r="L726" s="1">
        <v>0</v>
      </c>
      <c r="M726" s="1">
        <v>0</v>
      </c>
      <c r="O726" s="1">
        <v>97</v>
      </c>
      <c r="P726" s="4">
        <f t="shared" si="33"/>
        <v>28000</v>
      </c>
      <c r="Q726" s="4">
        <f t="shared" si="34"/>
        <v>1</v>
      </c>
      <c r="R726" s="4">
        <f t="shared" si="35"/>
        <v>28000</v>
      </c>
    </row>
    <row r="727" spans="1:18">
      <c r="A727" s="1">
        <v>2</v>
      </c>
      <c r="B727" s="1" t="str">
        <f>"قطعات و لوازم يدكي"</f>
        <v>قطعات و لوازم يدكي</v>
      </c>
      <c r="C727" s="1">
        <v>101</v>
      </c>
      <c r="D727" s="1" t="str">
        <f>"انبار قطعات و لوازم يدكي اصفهان"</f>
        <v>انبار قطعات و لوازم يدكي اصفهان</v>
      </c>
      <c r="E727" s="1" t="str">
        <f>"6801010172"</f>
        <v>6801010172</v>
      </c>
      <c r="F727" s="1" t="str">
        <f>"بي متال کابلشو 120"</f>
        <v>بي متال کابلشو 120</v>
      </c>
      <c r="G727" s="1" t="str">
        <f>"عدد"</f>
        <v>عدد</v>
      </c>
      <c r="H727" s="1">
        <v>11</v>
      </c>
      <c r="I727" s="1">
        <v>473000</v>
      </c>
      <c r="J727" s="1">
        <v>0</v>
      </c>
      <c r="K727" s="1">
        <v>0</v>
      </c>
      <c r="L727" s="1">
        <v>0</v>
      </c>
      <c r="M727" s="1">
        <v>0</v>
      </c>
      <c r="O727" s="1">
        <v>97</v>
      </c>
      <c r="P727" s="4">
        <f t="shared" si="33"/>
        <v>473000</v>
      </c>
      <c r="Q727" s="4">
        <f t="shared" si="34"/>
        <v>11</v>
      </c>
      <c r="R727" s="4">
        <f t="shared" si="35"/>
        <v>43000</v>
      </c>
    </row>
    <row r="728" spans="1:18">
      <c r="A728" s="1">
        <v>2</v>
      </c>
      <c r="B728" s="1" t="str">
        <f>"قطعات و لوازم يدكي"</f>
        <v>قطعات و لوازم يدكي</v>
      </c>
      <c r="C728" s="1">
        <v>101</v>
      </c>
      <c r="D728" s="1" t="str">
        <f>"انبار قطعات و لوازم يدكي اصفهان"</f>
        <v>انبار قطعات و لوازم يدكي اصفهان</v>
      </c>
      <c r="E728" s="1" t="str">
        <f>"6801010252"</f>
        <v>6801010252</v>
      </c>
      <c r="F728" s="1" t="str">
        <f>"دوشاخه زرد دهنه 4"</f>
        <v>دوشاخه زرد دهنه 4</v>
      </c>
      <c r="G728" s="1" t="str">
        <f>"عدد"</f>
        <v>عدد</v>
      </c>
      <c r="H728" s="1">
        <v>100</v>
      </c>
      <c r="I728" s="1">
        <v>95000</v>
      </c>
      <c r="J728" s="1">
        <v>0</v>
      </c>
      <c r="K728" s="1">
        <v>0</v>
      </c>
      <c r="L728" s="1">
        <v>0</v>
      </c>
      <c r="M728" s="1">
        <v>0</v>
      </c>
      <c r="O728" s="1">
        <v>97</v>
      </c>
      <c r="P728" s="4">
        <f t="shared" si="33"/>
        <v>95000</v>
      </c>
      <c r="Q728" s="4">
        <f t="shared" si="34"/>
        <v>100</v>
      </c>
      <c r="R728" s="4">
        <f t="shared" si="35"/>
        <v>950</v>
      </c>
    </row>
    <row r="729" spans="1:18" hidden="1">
      <c r="A729" s="1">
        <v>2</v>
      </c>
      <c r="B729" s="1" t="str">
        <f>"قطعات و لوازم يدكي"</f>
        <v>قطعات و لوازم يدكي</v>
      </c>
      <c r="C729" s="1">
        <v>101</v>
      </c>
      <c r="D729" s="1" t="str">
        <f>"انبار قطعات و لوازم يدكي اصفهان"</f>
        <v>انبار قطعات و لوازم يدكي اصفهان</v>
      </c>
      <c r="E729" s="1" t="str">
        <f>"6801010352"</f>
        <v>6801010352</v>
      </c>
      <c r="F729" s="1" t="str">
        <f>"مواد رزيني IZ5"</f>
        <v>مواد رزيني IZ5</v>
      </c>
      <c r="G729" s="1" t="str">
        <f>"عدد"</f>
        <v>عدد</v>
      </c>
      <c r="H729" s="1">
        <v>0</v>
      </c>
      <c r="I729" s="1">
        <v>0</v>
      </c>
      <c r="J729" s="1">
        <v>1</v>
      </c>
      <c r="K729" s="1">
        <v>7500000</v>
      </c>
      <c r="L729" s="1">
        <v>1</v>
      </c>
      <c r="M729" s="1">
        <v>7500000</v>
      </c>
      <c r="O729" s="1">
        <v>97</v>
      </c>
      <c r="P729" s="1">
        <f t="shared" si="33"/>
        <v>0</v>
      </c>
      <c r="Q729" s="1">
        <f t="shared" si="34"/>
        <v>0</v>
      </c>
      <c r="R729" s="1" t="e">
        <f t="shared" si="35"/>
        <v>#DIV/0!</v>
      </c>
    </row>
    <row r="730" spans="1:18" hidden="1">
      <c r="A730" s="1">
        <v>2</v>
      </c>
      <c r="B730" s="1" t="str">
        <f>"قطعات و لوازم يدكي"</f>
        <v>قطعات و لوازم يدكي</v>
      </c>
      <c r="C730" s="1">
        <v>101</v>
      </c>
      <c r="D730" s="1" t="str">
        <f>"انبار قطعات و لوازم يدكي اصفهان"</f>
        <v>انبار قطعات و لوازم يدكي اصفهان</v>
      </c>
      <c r="E730" s="1" t="str">
        <f>"6818116892"</f>
        <v>6818116892</v>
      </c>
      <c r="F730" s="1" t="str">
        <f>"کابل 2/5 * 3"</f>
        <v>کابل 2/5 * 3</v>
      </c>
      <c r="G730" s="1" t="str">
        <f>"متر"</f>
        <v>متر</v>
      </c>
      <c r="H730" s="1">
        <v>0</v>
      </c>
      <c r="I730" s="1">
        <v>0</v>
      </c>
      <c r="J730" s="1">
        <v>100</v>
      </c>
      <c r="K730" s="1">
        <v>4050000</v>
      </c>
      <c r="L730" s="1">
        <v>100</v>
      </c>
      <c r="M730" s="1">
        <v>4050000</v>
      </c>
      <c r="O730" s="1">
        <v>97</v>
      </c>
      <c r="P730" s="1">
        <f t="shared" si="33"/>
        <v>0</v>
      </c>
      <c r="Q730" s="1">
        <f t="shared" si="34"/>
        <v>0</v>
      </c>
      <c r="R730" s="1" t="e">
        <f t="shared" si="35"/>
        <v>#DIV/0!</v>
      </c>
    </row>
    <row r="731" spans="1:18" hidden="1">
      <c r="A731" s="1">
        <v>2</v>
      </c>
      <c r="B731" s="1" t="str">
        <f>"قطعات و لوازم يدكي"</f>
        <v>قطعات و لوازم يدكي</v>
      </c>
      <c r="C731" s="1">
        <v>101</v>
      </c>
      <c r="D731" s="1" t="str">
        <f>"انبار قطعات و لوازم يدكي اصفهان"</f>
        <v>انبار قطعات و لوازم يدكي اصفهان</v>
      </c>
      <c r="E731" s="1" t="str">
        <f>"6901020052"</f>
        <v>6901020052</v>
      </c>
      <c r="F731" s="1" t="str">
        <f>"کانکتور pg 20"</f>
        <v>کانکتور pg 20</v>
      </c>
      <c r="G731" s="1" t="str">
        <f>"عدد"</f>
        <v>عدد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O731" s="1">
        <v>97</v>
      </c>
      <c r="P731" s="1">
        <f t="shared" si="33"/>
        <v>0</v>
      </c>
      <c r="Q731" s="1">
        <f t="shared" si="34"/>
        <v>0</v>
      </c>
      <c r="R731" s="1" t="e">
        <f t="shared" si="35"/>
        <v>#DIV/0!</v>
      </c>
    </row>
    <row r="732" spans="1:18">
      <c r="A732" s="1">
        <v>2</v>
      </c>
      <c r="B732" s="1" t="str">
        <f>"قطعات و لوازم يدكي"</f>
        <v>قطعات و لوازم يدكي</v>
      </c>
      <c r="C732" s="1">
        <v>101</v>
      </c>
      <c r="D732" s="1" t="str">
        <f>"انبار قطعات و لوازم يدكي اصفهان"</f>
        <v>انبار قطعات و لوازم يدكي اصفهان</v>
      </c>
      <c r="E732" s="1" t="str">
        <f>"6980291412"</f>
        <v>6980291412</v>
      </c>
      <c r="F732" s="1" t="str">
        <f>"استارتر  1000W"</f>
        <v>استارتر  1000W</v>
      </c>
      <c r="G732" s="1" t="str">
        <f>"عدد"</f>
        <v>عدد</v>
      </c>
      <c r="H732" s="1">
        <v>5</v>
      </c>
      <c r="I732" s="1">
        <v>950000</v>
      </c>
      <c r="J732" s="1">
        <v>0</v>
      </c>
      <c r="K732" s="1">
        <v>0</v>
      </c>
      <c r="L732" s="1">
        <v>0</v>
      </c>
      <c r="M732" s="1">
        <v>0</v>
      </c>
      <c r="O732" s="1">
        <v>97</v>
      </c>
      <c r="P732" s="4">
        <f t="shared" si="33"/>
        <v>950000</v>
      </c>
      <c r="Q732" s="4">
        <f t="shared" si="34"/>
        <v>5</v>
      </c>
      <c r="R732" s="4">
        <f t="shared" si="35"/>
        <v>190000</v>
      </c>
    </row>
    <row r="733" spans="1:18">
      <c r="A733" s="1">
        <v>2</v>
      </c>
      <c r="B733" s="1" t="str">
        <f>"قطعات و لوازم يدكي"</f>
        <v>قطعات و لوازم يدكي</v>
      </c>
      <c r="C733" s="1">
        <v>101</v>
      </c>
      <c r="D733" s="1" t="str">
        <f>"انبار قطعات و لوازم يدكي اصفهان"</f>
        <v>انبار قطعات و لوازم يدكي اصفهان</v>
      </c>
      <c r="E733" s="1" t="str">
        <f>"7001010022"</f>
        <v>7001010022</v>
      </c>
      <c r="F733" s="1" t="str">
        <f>"کنتاکت جرقه گير ثابت"</f>
        <v>کنتاکت جرقه گير ثابت</v>
      </c>
      <c r="G733" s="1" t="str">
        <f>"عدد"</f>
        <v>عدد</v>
      </c>
      <c r="H733" s="1">
        <v>3</v>
      </c>
      <c r="I733" s="1">
        <v>2250000</v>
      </c>
      <c r="J733" s="1">
        <v>0</v>
      </c>
      <c r="K733" s="1">
        <v>0</v>
      </c>
      <c r="L733" s="1">
        <v>0</v>
      </c>
      <c r="M733" s="1">
        <v>0</v>
      </c>
      <c r="O733" s="1">
        <v>97</v>
      </c>
      <c r="P733" s="4">
        <f t="shared" si="33"/>
        <v>2250000</v>
      </c>
      <c r="Q733" s="4">
        <f t="shared" si="34"/>
        <v>3</v>
      </c>
      <c r="R733" s="4">
        <f t="shared" si="35"/>
        <v>750000</v>
      </c>
    </row>
    <row r="734" spans="1:18">
      <c r="A734" s="1">
        <v>2</v>
      </c>
      <c r="B734" s="1" t="str">
        <f>"قطعات و لوازم يدكي"</f>
        <v>قطعات و لوازم يدكي</v>
      </c>
      <c r="C734" s="1">
        <v>101</v>
      </c>
      <c r="D734" s="1" t="str">
        <f>"انبار قطعات و لوازم يدكي اصفهان"</f>
        <v>انبار قطعات و لوازم يدكي اصفهان</v>
      </c>
      <c r="E734" s="1" t="str">
        <f>"7001010052"</f>
        <v>7001010052</v>
      </c>
      <c r="F734" s="1" t="str">
        <f>"جرقه گير"</f>
        <v>جرقه گير</v>
      </c>
      <c r="G734" s="1" t="str">
        <f>"عدد"</f>
        <v>عدد</v>
      </c>
      <c r="H734" s="1">
        <v>3</v>
      </c>
      <c r="I734" s="1">
        <v>1950000</v>
      </c>
      <c r="J734" s="1">
        <v>0</v>
      </c>
      <c r="K734" s="1">
        <v>0</v>
      </c>
      <c r="L734" s="1">
        <v>0</v>
      </c>
      <c r="M734" s="1">
        <v>0</v>
      </c>
      <c r="O734" s="1">
        <v>97</v>
      </c>
      <c r="P734" s="4">
        <f t="shared" si="33"/>
        <v>1950000</v>
      </c>
      <c r="Q734" s="4">
        <f t="shared" si="34"/>
        <v>3</v>
      </c>
      <c r="R734" s="4">
        <f t="shared" si="35"/>
        <v>650000</v>
      </c>
    </row>
    <row r="735" spans="1:18">
      <c r="A735" s="1">
        <v>2</v>
      </c>
      <c r="B735" s="1" t="str">
        <f>"قطعات و لوازم يدكي"</f>
        <v>قطعات و لوازم يدكي</v>
      </c>
      <c r="C735" s="1">
        <v>101</v>
      </c>
      <c r="D735" s="1" t="str">
        <f>"انبار قطعات و لوازم يدكي اصفهان"</f>
        <v>انبار قطعات و لوازم يدكي اصفهان</v>
      </c>
      <c r="E735" s="1" t="str">
        <f>"7057060042"</f>
        <v>7057060042</v>
      </c>
      <c r="F735" s="1" t="str">
        <f>"فيوز //فشنگي 4A"</f>
        <v>فيوز //فشنگي 4A</v>
      </c>
      <c r="G735" s="1" t="str">
        <f>"عدد"</f>
        <v>عدد</v>
      </c>
      <c r="H735" s="1">
        <v>17</v>
      </c>
      <c r="I735" s="1">
        <v>57145</v>
      </c>
      <c r="J735" s="1">
        <v>0</v>
      </c>
      <c r="K735" s="1">
        <v>0</v>
      </c>
      <c r="L735" s="1">
        <v>0</v>
      </c>
      <c r="M735" s="1">
        <v>0</v>
      </c>
      <c r="O735" s="1">
        <v>97</v>
      </c>
      <c r="P735" s="4">
        <f t="shared" si="33"/>
        <v>57145</v>
      </c>
      <c r="Q735" s="4">
        <f t="shared" si="34"/>
        <v>17</v>
      </c>
      <c r="R735" s="4">
        <f t="shared" si="35"/>
        <v>3361.4705882352941</v>
      </c>
    </row>
    <row r="736" spans="1:18">
      <c r="A736" s="1">
        <v>2</v>
      </c>
      <c r="B736" s="1" t="str">
        <f>"قطعات و لوازم يدكي"</f>
        <v>قطعات و لوازم يدكي</v>
      </c>
      <c r="C736" s="1">
        <v>101</v>
      </c>
      <c r="D736" s="1" t="str">
        <f>"انبار قطعات و لوازم يدكي اصفهان"</f>
        <v>انبار قطعات و لوازم يدكي اصفهان</v>
      </c>
      <c r="E736" s="1" t="str">
        <f>"7098980092"</f>
        <v>7098980092</v>
      </c>
      <c r="F736" s="1" t="str">
        <f>"ساعت نجومي"</f>
        <v>ساعت نجومي</v>
      </c>
      <c r="G736" s="1" t="str">
        <f>"دستگاه"</f>
        <v>دستگاه</v>
      </c>
      <c r="H736" s="1">
        <v>1</v>
      </c>
      <c r="I736" s="1">
        <v>658333</v>
      </c>
      <c r="J736" s="1">
        <v>0</v>
      </c>
      <c r="K736" s="1">
        <v>0</v>
      </c>
      <c r="L736" s="1">
        <v>0</v>
      </c>
      <c r="M736" s="1">
        <v>0</v>
      </c>
      <c r="O736" s="1">
        <v>97</v>
      </c>
      <c r="P736" s="4">
        <f t="shared" si="33"/>
        <v>658333</v>
      </c>
      <c r="Q736" s="4">
        <f t="shared" si="34"/>
        <v>1</v>
      </c>
      <c r="R736" s="4">
        <f t="shared" si="35"/>
        <v>658333</v>
      </c>
    </row>
    <row r="737" spans="1:18">
      <c r="A737" s="1">
        <v>2</v>
      </c>
      <c r="B737" s="1" t="str">
        <f>"قطعات و لوازم يدكي"</f>
        <v>قطعات و لوازم يدكي</v>
      </c>
      <c r="C737" s="1">
        <v>101</v>
      </c>
      <c r="D737" s="1" t="str">
        <f>"انبار قطعات و لوازم يدكي اصفهان"</f>
        <v>انبار قطعات و لوازم يدكي اصفهان</v>
      </c>
      <c r="E737" s="1" t="str">
        <f>"7501010042"</f>
        <v>7501010042</v>
      </c>
      <c r="F737" s="1" t="str">
        <f>"سر شيلنگي 1 اينچ"</f>
        <v>سر شيلنگي 1 اينچ</v>
      </c>
      <c r="G737" s="1" t="str">
        <f>"عدد"</f>
        <v>عدد</v>
      </c>
      <c r="H737" s="1">
        <v>3</v>
      </c>
      <c r="I737" s="1">
        <v>285000</v>
      </c>
      <c r="J737" s="1">
        <v>0</v>
      </c>
      <c r="K737" s="1">
        <v>0</v>
      </c>
      <c r="L737" s="1">
        <v>0</v>
      </c>
      <c r="M737" s="1">
        <v>0</v>
      </c>
      <c r="O737" s="1">
        <v>97</v>
      </c>
      <c r="P737" s="4">
        <f t="shared" si="33"/>
        <v>285000</v>
      </c>
      <c r="Q737" s="4">
        <f t="shared" si="34"/>
        <v>3</v>
      </c>
      <c r="R737" s="4">
        <f t="shared" si="35"/>
        <v>95000</v>
      </c>
    </row>
    <row r="738" spans="1:18" hidden="1">
      <c r="A738" s="1">
        <v>2</v>
      </c>
      <c r="B738" s="1" t="str">
        <f>"قطعات و لوازم يدكي"</f>
        <v>قطعات و لوازم يدكي</v>
      </c>
      <c r="C738" s="1">
        <v>101</v>
      </c>
      <c r="D738" s="1" t="str">
        <f>"انبار قطعات و لوازم يدكي اصفهان"</f>
        <v>انبار قطعات و لوازم يدكي اصفهان</v>
      </c>
      <c r="E738" s="1" t="str">
        <f>"7501010082"</f>
        <v>7501010082</v>
      </c>
      <c r="F738" s="1" t="str">
        <f>"خار داخلي G125"</f>
        <v>خار داخلي G125</v>
      </c>
      <c r="G738" s="1" t="str">
        <f>"عدد"</f>
        <v>عدد</v>
      </c>
      <c r="H738" s="1">
        <v>0</v>
      </c>
      <c r="I738" s="1">
        <v>0</v>
      </c>
      <c r="J738" s="1">
        <v>4</v>
      </c>
      <c r="K738" s="1">
        <v>320000</v>
      </c>
      <c r="L738" s="1">
        <v>4</v>
      </c>
      <c r="M738" s="1">
        <v>320000</v>
      </c>
      <c r="O738" s="1">
        <v>97</v>
      </c>
      <c r="P738" s="1">
        <f t="shared" si="33"/>
        <v>0</v>
      </c>
      <c r="Q738" s="1">
        <f t="shared" si="34"/>
        <v>0</v>
      </c>
      <c r="R738" s="1" t="e">
        <f t="shared" si="35"/>
        <v>#DIV/0!</v>
      </c>
    </row>
    <row r="739" spans="1:18">
      <c r="A739" s="1">
        <v>2</v>
      </c>
      <c r="B739" s="1" t="str">
        <f>"قطعات و لوازم يدكي"</f>
        <v>قطعات و لوازم يدكي</v>
      </c>
      <c r="C739" s="1">
        <v>101</v>
      </c>
      <c r="D739" s="1" t="str">
        <f>"انبار قطعات و لوازم يدكي اصفهان"</f>
        <v>انبار قطعات و لوازم يدكي اصفهان</v>
      </c>
      <c r="E739" s="1" t="str">
        <f>"7525123082"</f>
        <v>7525123082</v>
      </c>
      <c r="F739" s="1" t="s">
        <v>26</v>
      </c>
      <c r="G739" s="1" t="str">
        <f>"عدد"</f>
        <v>عدد</v>
      </c>
      <c r="H739" s="1">
        <v>5</v>
      </c>
      <c r="I739" s="1">
        <v>6250000</v>
      </c>
      <c r="J739" s="1">
        <v>0</v>
      </c>
      <c r="K739" s="1">
        <v>0</v>
      </c>
      <c r="L739" s="1">
        <v>0</v>
      </c>
      <c r="M739" s="1">
        <v>0</v>
      </c>
      <c r="O739" s="1">
        <v>97</v>
      </c>
      <c r="P739" s="4">
        <f t="shared" si="33"/>
        <v>6250000</v>
      </c>
      <c r="Q739" s="4">
        <f t="shared" si="34"/>
        <v>5</v>
      </c>
      <c r="R739" s="4">
        <f t="shared" si="35"/>
        <v>1250000</v>
      </c>
    </row>
    <row r="740" spans="1:18">
      <c r="A740" s="1">
        <v>2</v>
      </c>
      <c r="B740" s="1" t="str">
        <f>"قطعات و لوازم يدكي"</f>
        <v>قطعات و لوازم يدكي</v>
      </c>
      <c r="C740" s="1">
        <v>101</v>
      </c>
      <c r="D740" s="1" t="str">
        <f>"انبار قطعات و لوازم يدكي اصفهان"</f>
        <v>انبار قطعات و لوازم يدكي اصفهان</v>
      </c>
      <c r="E740" s="1" t="str">
        <f>"7525300682"</f>
        <v>7525300682</v>
      </c>
      <c r="F740" s="1" t="s">
        <v>27</v>
      </c>
      <c r="G740" s="1" t="str">
        <f>"عدد"</f>
        <v>عدد</v>
      </c>
      <c r="H740" s="1">
        <v>2</v>
      </c>
      <c r="I740" s="1">
        <v>4800000</v>
      </c>
      <c r="J740" s="1">
        <v>0</v>
      </c>
      <c r="K740" s="1">
        <v>0</v>
      </c>
      <c r="L740" s="1">
        <v>0</v>
      </c>
      <c r="M740" s="1">
        <v>0</v>
      </c>
      <c r="O740" s="1">
        <v>97</v>
      </c>
      <c r="P740" s="4">
        <f t="shared" si="33"/>
        <v>4800000</v>
      </c>
      <c r="Q740" s="4">
        <f t="shared" si="34"/>
        <v>2</v>
      </c>
      <c r="R740" s="4">
        <f t="shared" si="35"/>
        <v>2400000</v>
      </c>
    </row>
    <row r="741" spans="1:18" hidden="1">
      <c r="A741" s="1">
        <v>2</v>
      </c>
      <c r="B741" s="1" t="str">
        <f>"قطعات و لوازم يدكي"</f>
        <v>قطعات و لوازم يدكي</v>
      </c>
      <c r="C741" s="1">
        <v>101</v>
      </c>
      <c r="D741" s="1" t="str">
        <f>"انبار قطعات و لوازم يدكي اصفهان"</f>
        <v>انبار قطعات و لوازم يدكي اصفهان</v>
      </c>
      <c r="E741" s="1" t="str">
        <f>"7537101022"</f>
        <v>7537101022</v>
      </c>
      <c r="F741" s="1" t="s">
        <v>28</v>
      </c>
      <c r="G741" s="1" t="str">
        <f>"عدد"</f>
        <v>عدد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O741" s="1">
        <v>97</v>
      </c>
      <c r="P741" s="1">
        <f t="shared" si="33"/>
        <v>0</v>
      </c>
      <c r="Q741" s="1">
        <f t="shared" si="34"/>
        <v>0</v>
      </c>
      <c r="R741" s="1" t="e">
        <f t="shared" si="35"/>
        <v>#DIV/0!</v>
      </c>
    </row>
    <row r="742" spans="1:18">
      <c r="A742" s="1">
        <v>2</v>
      </c>
      <c r="B742" s="1" t="str">
        <f>"قطعات و لوازم يدكي"</f>
        <v>قطعات و لوازم يدكي</v>
      </c>
      <c r="C742" s="1">
        <v>101</v>
      </c>
      <c r="D742" s="1" t="str">
        <f>"انبار قطعات و لوازم يدكي اصفهان"</f>
        <v>انبار قطعات و لوازم يدكي اصفهان</v>
      </c>
      <c r="E742" s="1" t="str">
        <f>"7537121222"</f>
        <v>7537121222</v>
      </c>
      <c r="F742" s="1" t="s">
        <v>29</v>
      </c>
      <c r="G742" s="1" t="str">
        <f>"عدد"</f>
        <v>عدد</v>
      </c>
      <c r="H742" s="1">
        <v>3</v>
      </c>
      <c r="I742" s="1">
        <v>9772236</v>
      </c>
      <c r="J742" s="1">
        <v>0</v>
      </c>
      <c r="K742" s="1">
        <v>0</v>
      </c>
      <c r="L742" s="1">
        <v>0</v>
      </c>
      <c r="M742" s="1">
        <v>0</v>
      </c>
      <c r="O742" s="1">
        <v>97</v>
      </c>
      <c r="P742" s="4">
        <f t="shared" si="33"/>
        <v>9772236</v>
      </c>
      <c r="Q742" s="4">
        <f t="shared" si="34"/>
        <v>3</v>
      </c>
      <c r="R742" s="4">
        <f t="shared" si="35"/>
        <v>3257412</v>
      </c>
    </row>
    <row r="743" spans="1:18">
      <c r="A743" s="1">
        <v>2</v>
      </c>
      <c r="B743" s="1" t="str">
        <f>"قطعات و لوازم يدكي"</f>
        <v>قطعات و لوازم يدكي</v>
      </c>
      <c r="C743" s="1">
        <v>101</v>
      </c>
      <c r="D743" s="1" t="str">
        <f>"انبار قطعات و لوازم يدكي اصفهان"</f>
        <v>انبار قطعات و لوازم يدكي اصفهان</v>
      </c>
      <c r="E743" s="1" t="str">
        <f>"7537321262"</f>
        <v>7537321262</v>
      </c>
      <c r="F743" s="1" t="s">
        <v>30</v>
      </c>
      <c r="G743" s="1" t="str">
        <f>"عدد"</f>
        <v>عدد</v>
      </c>
      <c r="H743" s="1">
        <v>1</v>
      </c>
      <c r="I743" s="1">
        <v>9583333</v>
      </c>
      <c r="J743" s="1">
        <v>3</v>
      </c>
      <c r="K743" s="1">
        <v>183000000</v>
      </c>
      <c r="L743" s="1">
        <v>1</v>
      </c>
      <c r="M743" s="1">
        <v>9583333</v>
      </c>
      <c r="O743" s="1">
        <v>97</v>
      </c>
      <c r="P743" s="4">
        <f t="shared" si="33"/>
        <v>183000000</v>
      </c>
      <c r="Q743" s="4">
        <f t="shared" si="34"/>
        <v>3</v>
      </c>
      <c r="R743" s="4">
        <f t="shared" si="35"/>
        <v>61000000</v>
      </c>
    </row>
    <row r="744" spans="1:18">
      <c r="A744" s="1">
        <v>2</v>
      </c>
      <c r="B744" s="1" t="str">
        <f>"قطعات و لوازم يدكي"</f>
        <v>قطعات و لوازم يدكي</v>
      </c>
      <c r="C744" s="1">
        <v>101</v>
      </c>
      <c r="D744" s="1" t="str">
        <f>"انبار قطعات و لوازم يدكي اصفهان"</f>
        <v>انبار قطعات و لوازم يدكي اصفهان</v>
      </c>
      <c r="E744" s="1" t="str">
        <f>"7537331222"</f>
        <v>7537331222</v>
      </c>
      <c r="F744" s="1" t="str">
        <f>"گيت ولو4 اينچ 300 (gate valve)"</f>
        <v>گيت ولو4 اينچ 300 (gate valve)</v>
      </c>
      <c r="G744" s="1" t="str">
        <f>"عدد"</f>
        <v>عدد</v>
      </c>
      <c r="H744" s="1">
        <v>3</v>
      </c>
      <c r="I744" s="1">
        <v>52500000</v>
      </c>
      <c r="J744" s="1">
        <v>0</v>
      </c>
      <c r="K744" s="1">
        <v>0</v>
      </c>
      <c r="L744" s="1">
        <v>2</v>
      </c>
      <c r="M744" s="1">
        <v>35000000</v>
      </c>
      <c r="O744" s="1">
        <v>97</v>
      </c>
      <c r="P744" s="4">
        <f t="shared" si="33"/>
        <v>17500000</v>
      </c>
      <c r="Q744" s="4">
        <f t="shared" si="34"/>
        <v>1</v>
      </c>
      <c r="R744" s="4">
        <f t="shared" si="35"/>
        <v>17500000</v>
      </c>
    </row>
    <row r="745" spans="1:18">
      <c r="A745" s="1">
        <v>2</v>
      </c>
      <c r="B745" s="1" t="str">
        <f>"قطعات و لوازم يدكي"</f>
        <v>قطعات و لوازم يدكي</v>
      </c>
      <c r="C745" s="1">
        <v>101</v>
      </c>
      <c r="D745" s="1" t="str">
        <f>"انبار قطعات و لوازم يدكي اصفهان"</f>
        <v>انبار قطعات و لوازم يدكي اصفهان</v>
      </c>
      <c r="E745" s="1" t="str">
        <f>"7537421262"</f>
        <v>7537421262</v>
      </c>
      <c r="F745" s="1" t="s">
        <v>31</v>
      </c>
      <c r="G745" s="1" t="str">
        <f>"عدد"</f>
        <v>عدد</v>
      </c>
      <c r="H745" s="1">
        <v>2</v>
      </c>
      <c r="I745" s="1">
        <v>35800000</v>
      </c>
      <c r="J745" s="1">
        <v>0</v>
      </c>
      <c r="K745" s="1">
        <v>0</v>
      </c>
      <c r="L745" s="1">
        <v>1</v>
      </c>
      <c r="M745" s="1">
        <v>17900000</v>
      </c>
      <c r="O745" s="1">
        <v>97</v>
      </c>
      <c r="P745" s="4">
        <f t="shared" si="33"/>
        <v>17900000</v>
      </c>
      <c r="Q745" s="4">
        <f t="shared" si="34"/>
        <v>1</v>
      </c>
      <c r="R745" s="4">
        <f t="shared" si="35"/>
        <v>17900000</v>
      </c>
    </row>
    <row r="746" spans="1:18">
      <c r="A746" s="1">
        <v>2</v>
      </c>
      <c r="B746" s="1" t="str">
        <f>"قطعات و لوازم يدكي"</f>
        <v>قطعات و لوازم يدكي</v>
      </c>
      <c r="C746" s="1">
        <v>101</v>
      </c>
      <c r="D746" s="1" t="str">
        <f>"انبار قطعات و لوازم يدكي اصفهان"</f>
        <v>انبار قطعات و لوازم يدكي اصفهان</v>
      </c>
      <c r="E746" s="1" t="str">
        <f>"7537431222"</f>
        <v>7537431222</v>
      </c>
      <c r="F746" s="1" t="str">
        <f>"گلوب ولو4 اينچ 300 (golob valve)"</f>
        <v>گلوب ولو4 اينچ 300 (golob valve)</v>
      </c>
      <c r="G746" s="1" t="str">
        <f>"عدد"</f>
        <v>عدد</v>
      </c>
      <c r="H746" s="1">
        <v>4</v>
      </c>
      <c r="I746" s="1">
        <v>10416875</v>
      </c>
      <c r="J746" s="1">
        <v>0</v>
      </c>
      <c r="K746" s="1">
        <v>0</v>
      </c>
      <c r="L746" s="1">
        <v>0</v>
      </c>
      <c r="M746" s="1">
        <v>0</v>
      </c>
      <c r="O746" s="1">
        <v>97</v>
      </c>
      <c r="P746" s="4">
        <f t="shared" si="33"/>
        <v>10416875</v>
      </c>
      <c r="Q746" s="4">
        <f t="shared" si="34"/>
        <v>4</v>
      </c>
      <c r="R746" s="4">
        <f t="shared" si="35"/>
        <v>2604218.75</v>
      </c>
    </row>
    <row r="747" spans="1:18">
      <c r="A747" s="1">
        <v>2</v>
      </c>
      <c r="B747" s="1" t="str">
        <f>"قطعات و لوازم يدكي"</f>
        <v>قطعات و لوازم يدكي</v>
      </c>
      <c r="C747" s="1">
        <v>101</v>
      </c>
      <c r="D747" s="1" t="str">
        <f>"انبار قطعات و لوازم يدكي اصفهان"</f>
        <v>انبار قطعات و لوازم يدكي اصفهان</v>
      </c>
      <c r="E747" s="1" t="str">
        <f>"7556351062"</f>
        <v>7556351062</v>
      </c>
      <c r="F747" s="1" t="str">
        <f>"گيت ولو  3/4  جوشي كلاس800"</f>
        <v>گيت ولو  3/4  جوشي كلاس800</v>
      </c>
      <c r="G747" s="1" t="str">
        <f>"عدد"</f>
        <v>عدد</v>
      </c>
      <c r="H747" s="1">
        <v>96</v>
      </c>
      <c r="I747" s="1">
        <v>65758815</v>
      </c>
      <c r="J747" s="1">
        <v>33</v>
      </c>
      <c r="K747" s="1">
        <v>53941867</v>
      </c>
      <c r="L747" s="1">
        <v>74</v>
      </c>
      <c r="M747" s="1">
        <v>65766453</v>
      </c>
      <c r="O747" s="1">
        <v>97</v>
      </c>
      <c r="P747" s="4">
        <f t="shared" si="33"/>
        <v>53934229</v>
      </c>
      <c r="Q747" s="4">
        <f t="shared" si="34"/>
        <v>55</v>
      </c>
      <c r="R747" s="4">
        <f t="shared" si="35"/>
        <v>980622.34545454546</v>
      </c>
    </row>
    <row r="748" spans="1:18">
      <c r="A748" s="1">
        <v>2</v>
      </c>
      <c r="B748" s="1" t="str">
        <f>"قطعات و لوازم يدكي"</f>
        <v>قطعات و لوازم يدكي</v>
      </c>
      <c r="C748" s="1">
        <v>101</v>
      </c>
      <c r="D748" s="1" t="str">
        <f>"انبار قطعات و لوازم يدكي اصفهان"</f>
        <v>انبار قطعات و لوازم يدكي اصفهان</v>
      </c>
      <c r="E748" s="1" t="str">
        <f>"7605281182"</f>
        <v>7605281182</v>
      </c>
      <c r="F748" s="1" t="str">
        <f>"فول كوپلينگ دنده اي 1/2-1اينچ 3000"</f>
        <v>فول كوپلينگ دنده اي 1/2-1اينچ 3000</v>
      </c>
      <c r="G748" s="1" t="str">
        <f>"عدد"</f>
        <v>عدد</v>
      </c>
      <c r="H748" s="1">
        <v>11</v>
      </c>
      <c r="I748" s="1">
        <v>1379472</v>
      </c>
      <c r="J748" s="1">
        <v>3</v>
      </c>
      <c r="K748" s="1">
        <v>376220</v>
      </c>
      <c r="L748" s="1">
        <v>9</v>
      </c>
      <c r="M748" s="1">
        <v>1128659</v>
      </c>
      <c r="O748" s="1">
        <v>97</v>
      </c>
      <c r="P748" s="4">
        <f t="shared" si="33"/>
        <v>627033</v>
      </c>
      <c r="Q748" s="4">
        <f t="shared" si="34"/>
        <v>5</v>
      </c>
      <c r="R748" s="4">
        <f t="shared" si="35"/>
        <v>125406.6</v>
      </c>
    </row>
    <row r="749" spans="1:18">
      <c r="A749" s="1">
        <v>2</v>
      </c>
      <c r="B749" s="1" t="str">
        <f>"قطعات و لوازم يدكي"</f>
        <v>قطعات و لوازم يدكي</v>
      </c>
      <c r="C749" s="1">
        <v>101</v>
      </c>
      <c r="D749" s="1" t="str">
        <f>"انبار قطعات و لوازم يدكي اصفهان"</f>
        <v>انبار قطعات و لوازم يدكي اصفهان</v>
      </c>
      <c r="E749" s="1" t="str">
        <f>"7605563442"</f>
        <v>7605563442</v>
      </c>
      <c r="F749" s="1" t="s">
        <v>32</v>
      </c>
      <c r="G749" s="1" t="str">
        <f>"عدد"</f>
        <v>عدد</v>
      </c>
      <c r="H749" s="1">
        <v>15</v>
      </c>
      <c r="I749" s="1">
        <v>2650157</v>
      </c>
      <c r="J749" s="1">
        <v>0</v>
      </c>
      <c r="K749" s="1">
        <v>0</v>
      </c>
      <c r="L749" s="1">
        <v>1</v>
      </c>
      <c r="M749" s="1">
        <v>176677</v>
      </c>
      <c r="O749" s="1">
        <v>97</v>
      </c>
      <c r="P749" s="4">
        <f t="shared" si="33"/>
        <v>2473480</v>
      </c>
      <c r="Q749" s="4">
        <f t="shared" si="34"/>
        <v>14</v>
      </c>
      <c r="R749" s="4">
        <f t="shared" si="35"/>
        <v>176677.14285714287</v>
      </c>
    </row>
    <row r="750" spans="1:18">
      <c r="A750" s="1">
        <v>2</v>
      </c>
      <c r="B750" s="1" t="str">
        <f>"قطعات و لوازم يدكي"</f>
        <v>قطعات و لوازم يدكي</v>
      </c>
      <c r="C750" s="1">
        <v>101</v>
      </c>
      <c r="D750" s="1" t="str">
        <f>"انبار قطعات و لوازم يدكي اصفهان"</f>
        <v>انبار قطعات و لوازم يدكي اصفهان</v>
      </c>
      <c r="E750" s="1" t="str">
        <f>"7605564682"</f>
        <v>7605564682</v>
      </c>
      <c r="F750" s="1" t="str">
        <f>"نيپل دنده اي 100* 1/2-1"</f>
        <v>نيپل دنده اي 100* 1/2-1</v>
      </c>
      <c r="G750" s="1" t="str">
        <f>"عدد"</f>
        <v>عدد</v>
      </c>
      <c r="H750" s="1">
        <v>28</v>
      </c>
      <c r="I750" s="1">
        <v>2934814</v>
      </c>
      <c r="J750" s="1">
        <v>2</v>
      </c>
      <c r="K750" s="1">
        <v>209630</v>
      </c>
      <c r="L750" s="1">
        <v>8</v>
      </c>
      <c r="M750" s="1">
        <v>838519</v>
      </c>
      <c r="O750" s="1">
        <v>97</v>
      </c>
      <c r="P750" s="4">
        <f t="shared" si="33"/>
        <v>2305925</v>
      </c>
      <c r="Q750" s="4">
        <f t="shared" si="34"/>
        <v>22</v>
      </c>
      <c r="R750" s="4">
        <f t="shared" si="35"/>
        <v>104814.77272727272</v>
      </c>
    </row>
    <row r="751" spans="1:18">
      <c r="A751" s="1">
        <v>2</v>
      </c>
      <c r="B751" s="1" t="str">
        <f>"قطعات و لوازم يدكي"</f>
        <v>قطعات و لوازم يدكي</v>
      </c>
      <c r="C751" s="1">
        <v>101</v>
      </c>
      <c r="D751" s="1" t="str">
        <f>"انبار قطعات و لوازم يدكي اصفهان"</f>
        <v>انبار قطعات و لوازم يدكي اصفهان</v>
      </c>
      <c r="E751" s="1" t="str">
        <f>"7605581322"</f>
        <v>7605581322</v>
      </c>
      <c r="F751" s="1" t="s">
        <v>33</v>
      </c>
      <c r="G751" s="1" t="str">
        <f>"عدد"</f>
        <v>عدد</v>
      </c>
      <c r="H751" s="1">
        <v>12</v>
      </c>
      <c r="I751" s="1">
        <v>1800000</v>
      </c>
      <c r="J751" s="1">
        <v>15</v>
      </c>
      <c r="K751" s="1">
        <v>4800000</v>
      </c>
      <c r="L751" s="1">
        <v>9</v>
      </c>
      <c r="M751" s="1">
        <v>2199999</v>
      </c>
      <c r="O751" s="1">
        <v>97</v>
      </c>
      <c r="P751" s="4">
        <f t="shared" si="33"/>
        <v>4400001</v>
      </c>
      <c r="Q751" s="4">
        <f t="shared" si="34"/>
        <v>18</v>
      </c>
      <c r="R751" s="4">
        <f t="shared" si="35"/>
        <v>244444.5</v>
      </c>
    </row>
    <row r="752" spans="1:18">
      <c r="A752" s="1">
        <v>2</v>
      </c>
      <c r="B752" s="1" t="str">
        <f>"قطعات و لوازم يدكي"</f>
        <v>قطعات و لوازم يدكي</v>
      </c>
      <c r="C752" s="1">
        <v>101</v>
      </c>
      <c r="D752" s="1" t="str">
        <f>"انبار قطعات و لوازم يدكي اصفهان"</f>
        <v>انبار قطعات و لوازم يدكي اصفهان</v>
      </c>
      <c r="E752" s="1" t="str">
        <f>"7605581602"</f>
        <v>7605581602</v>
      </c>
      <c r="F752" s="1" t="s">
        <v>34</v>
      </c>
      <c r="G752" s="1" t="str">
        <f>"عدد"</f>
        <v>عدد</v>
      </c>
      <c r="H752" s="1">
        <v>39</v>
      </c>
      <c r="I752" s="1">
        <v>7253123</v>
      </c>
      <c r="J752" s="1">
        <v>0</v>
      </c>
      <c r="K752" s="1">
        <v>0</v>
      </c>
      <c r="L752" s="1">
        <v>11</v>
      </c>
      <c r="M752" s="1">
        <v>2045753</v>
      </c>
      <c r="O752" s="1">
        <v>97</v>
      </c>
      <c r="P752" s="4">
        <f t="shared" si="33"/>
        <v>5207370</v>
      </c>
      <c r="Q752" s="4">
        <f t="shared" si="34"/>
        <v>28</v>
      </c>
      <c r="R752" s="4">
        <f t="shared" si="35"/>
        <v>185977.5</v>
      </c>
    </row>
    <row r="753" spans="1:18">
      <c r="A753" s="1">
        <v>2</v>
      </c>
      <c r="B753" s="1" t="str">
        <f>"قطعات و لوازم يدكي"</f>
        <v>قطعات و لوازم يدكي</v>
      </c>
      <c r="C753" s="1">
        <v>101</v>
      </c>
      <c r="D753" s="1" t="str">
        <f>"انبار قطعات و لوازم يدكي اصفهان"</f>
        <v>انبار قطعات و لوازم يدكي اصفهان</v>
      </c>
      <c r="E753" s="1" t="str">
        <f>"7605661042"</f>
        <v>7605661042</v>
      </c>
      <c r="F753" s="1" t="s">
        <v>35</v>
      </c>
      <c r="G753" s="1" t="str">
        <f>"عدد"</f>
        <v>عدد</v>
      </c>
      <c r="H753" s="1">
        <v>23</v>
      </c>
      <c r="I753" s="1">
        <v>450500</v>
      </c>
      <c r="J753" s="1">
        <v>0</v>
      </c>
      <c r="K753" s="1">
        <v>0</v>
      </c>
      <c r="L753" s="1">
        <v>4</v>
      </c>
      <c r="M753" s="1">
        <v>78348</v>
      </c>
      <c r="O753" s="1">
        <v>97</v>
      </c>
      <c r="P753" s="4">
        <f t="shared" si="33"/>
        <v>372152</v>
      </c>
      <c r="Q753" s="4">
        <f t="shared" si="34"/>
        <v>19</v>
      </c>
      <c r="R753" s="4">
        <f t="shared" si="35"/>
        <v>19586.947368421053</v>
      </c>
    </row>
    <row r="754" spans="1:18">
      <c r="A754" s="1">
        <v>2</v>
      </c>
      <c r="B754" s="1" t="str">
        <f>"قطعات و لوازم يدكي"</f>
        <v>قطعات و لوازم يدكي</v>
      </c>
      <c r="C754" s="1">
        <v>101</v>
      </c>
      <c r="D754" s="1" t="str">
        <f>"انبار قطعات و لوازم يدكي اصفهان"</f>
        <v>انبار قطعات و لوازم يدكي اصفهان</v>
      </c>
      <c r="E754" s="1" t="str">
        <f>"7605661082"</f>
        <v>7605661082</v>
      </c>
      <c r="F754" s="1" t="s">
        <v>36</v>
      </c>
      <c r="G754" s="1" t="str">
        <f>"عدد"</f>
        <v>عدد</v>
      </c>
      <c r="H754" s="1">
        <v>3</v>
      </c>
      <c r="I754" s="1">
        <v>80983</v>
      </c>
      <c r="J754" s="1">
        <v>52</v>
      </c>
      <c r="K754" s="1">
        <v>3883711</v>
      </c>
      <c r="L754" s="1">
        <v>26</v>
      </c>
      <c r="M754" s="1">
        <v>1527044</v>
      </c>
      <c r="O754" s="1">
        <v>97</v>
      </c>
      <c r="P754" s="4">
        <f t="shared" si="33"/>
        <v>2437650</v>
      </c>
      <c r="Q754" s="4">
        <f t="shared" si="34"/>
        <v>29</v>
      </c>
      <c r="R754" s="4">
        <f t="shared" si="35"/>
        <v>84056.896551724145</v>
      </c>
    </row>
    <row r="755" spans="1:18">
      <c r="A755" s="1">
        <v>2</v>
      </c>
      <c r="B755" s="1" t="str">
        <f>"قطعات و لوازم يدكي"</f>
        <v>قطعات و لوازم يدكي</v>
      </c>
      <c r="C755" s="1">
        <v>101</v>
      </c>
      <c r="D755" s="1" t="str">
        <f>"انبار قطعات و لوازم يدكي اصفهان"</f>
        <v>انبار قطعات و لوازم يدكي اصفهان</v>
      </c>
      <c r="E755" s="1" t="str">
        <f>"7605705262"</f>
        <v>7605705262</v>
      </c>
      <c r="F755" s="1" t="str">
        <f>"رديو سر كوپلينگ دنده اي 3/4 *1/2  3000"</f>
        <v>رديو سر كوپلينگ دنده اي 3/4 *1/2  3000</v>
      </c>
      <c r="G755" s="1" t="str">
        <f>"عدد"</f>
        <v>عدد</v>
      </c>
      <c r="H755" s="1">
        <v>43</v>
      </c>
      <c r="I755" s="1">
        <v>2112983</v>
      </c>
      <c r="J755" s="1">
        <v>0</v>
      </c>
      <c r="K755" s="1">
        <v>0</v>
      </c>
      <c r="L755" s="1">
        <v>9</v>
      </c>
      <c r="M755" s="1">
        <v>442251</v>
      </c>
      <c r="O755" s="1">
        <v>97</v>
      </c>
      <c r="P755" s="4">
        <f t="shared" si="33"/>
        <v>1670732</v>
      </c>
      <c r="Q755" s="4">
        <f t="shared" si="34"/>
        <v>34</v>
      </c>
      <c r="R755" s="4">
        <f t="shared" si="35"/>
        <v>49139.176470588238</v>
      </c>
    </row>
    <row r="756" spans="1:18">
      <c r="A756" s="1">
        <v>2</v>
      </c>
      <c r="B756" s="1" t="str">
        <f>"قطعات و لوازم يدكي"</f>
        <v>قطعات و لوازم يدكي</v>
      </c>
      <c r="C756" s="1">
        <v>101</v>
      </c>
      <c r="D756" s="1" t="str">
        <f>"انبار قطعات و لوازم يدكي اصفهان"</f>
        <v>انبار قطعات و لوازم يدكي اصفهان</v>
      </c>
      <c r="E756" s="1" t="str">
        <f>"7605841082"</f>
        <v>7605841082</v>
      </c>
      <c r="F756" s="1" t="str">
        <f>"سه  راهي دنده اي 1/2 اينچ 3000"</f>
        <v>سه  راهي دنده اي 1/2 اينچ 3000</v>
      </c>
      <c r="G756" s="1" t="str">
        <f>"عدد"</f>
        <v>عدد</v>
      </c>
      <c r="H756" s="1">
        <v>31</v>
      </c>
      <c r="I756" s="1">
        <v>2311386</v>
      </c>
      <c r="J756" s="1">
        <v>0</v>
      </c>
      <c r="K756" s="1">
        <v>0</v>
      </c>
      <c r="L756" s="1">
        <v>1</v>
      </c>
      <c r="M756" s="1">
        <v>74561</v>
      </c>
      <c r="O756" s="1">
        <v>97</v>
      </c>
      <c r="P756" s="4">
        <f t="shared" si="33"/>
        <v>2236825</v>
      </c>
      <c r="Q756" s="4">
        <f t="shared" si="34"/>
        <v>30</v>
      </c>
      <c r="R756" s="4">
        <f t="shared" si="35"/>
        <v>74560.833333333328</v>
      </c>
    </row>
    <row r="757" spans="1:18">
      <c r="A757" s="1">
        <v>2</v>
      </c>
      <c r="B757" s="1" t="str">
        <f>"قطعات و لوازم يدكي"</f>
        <v>قطعات و لوازم يدكي</v>
      </c>
      <c r="C757" s="1">
        <v>101</v>
      </c>
      <c r="D757" s="1" t="str">
        <f>"انبار قطعات و لوازم يدكي اصفهان"</f>
        <v>انبار قطعات و لوازم يدكي اصفهان</v>
      </c>
      <c r="E757" s="1" t="str">
        <f>"7605841122"</f>
        <v>7605841122</v>
      </c>
      <c r="F757" s="1" t="str">
        <f>"سه راهي دنده اي 3/4 اينچ 3000"</f>
        <v>سه راهي دنده اي 3/4 اينچ 3000</v>
      </c>
      <c r="G757" s="1" t="str">
        <f>"عدد"</f>
        <v>عدد</v>
      </c>
      <c r="H757" s="1">
        <v>28</v>
      </c>
      <c r="I757" s="1">
        <v>4089696</v>
      </c>
      <c r="J757" s="1">
        <v>0</v>
      </c>
      <c r="K757" s="1">
        <v>0</v>
      </c>
      <c r="L757" s="1">
        <v>1</v>
      </c>
      <c r="M757" s="1">
        <v>146061</v>
      </c>
      <c r="O757" s="1">
        <v>97</v>
      </c>
      <c r="P757" s="4">
        <f t="shared" si="33"/>
        <v>3943635</v>
      </c>
      <c r="Q757" s="4">
        <f t="shared" si="34"/>
        <v>27</v>
      </c>
      <c r="R757" s="4">
        <f t="shared" si="35"/>
        <v>146060.55555555556</v>
      </c>
    </row>
    <row r="758" spans="1:18">
      <c r="A758" s="1">
        <v>2</v>
      </c>
      <c r="B758" s="1" t="str">
        <f>"قطعات و لوازم يدكي"</f>
        <v>قطعات و لوازم يدكي</v>
      </c>
      <c r="C758" s="1">
        <v>101</v>
      </c>
      <c r="D758" s="1" t="str">
        <f>"انبار قطعات و لوازم يدكي اصفهان"</f>
        <v>انبار قطعات و لوازم يدكي اصفهان</v>
      </c>
      <c r="E758" s="1" t="str">
        <f>"7605901082"</f>
        <v>7605901082</v>
      </c>
      <c r="F758" s="1" t="str">
        <f>"يونيون دنده اي 1/2اينچ 3000"</f>
        <v>يونيون دنده اي 1/2اينچ 3000</v>
      </c>
      <c r="G758" s="1" t="str">
        <f>"عدد"</f>
        <v>عدد</v>
      </c>
      <c r="H758" s="1">
        <v>25</v>
      </c>
      <c r="I758" s="1">
        <v>2510090</v>
      </c>
      <c r="J758" s="1">
        <v>1</v>
      </c>
      <c r="K758" s="1">
        <v>100404</v>
      </c>
      <c r="L758" s="1">
        <v>3</v>
      </c>
      <c r="M758" s="1">
        <v>301211</v>
      </c>
      <c r="O758" s="1">
        <v>97</v>
      </c>
      <c r="P758" s="4">
        <f t="shared" si="33"/>
        <v>2309283</v>
      </c>
      <c r="Q758" s="4">
        <f t="shared" si="34"/>
        <v>23</v>
      </c>
      <c r="R758" s="4">
        <f t="shared" si="35"/>
        <v>100403.60869565218</v>
      </c>
    </row>
    <row r="759" spans="1:18">
      <c r="A759" s="1">
        <v>2</v>
      </c>
      <c r="B759" s="1" t="str">
        <f>"قطعات و لوازم يدكي"</f>
        <v>قطعات و لوازم يدكي</v>
      </c>
      <c r="C759" s="1">
        <v>101</v>
      </c>
      <c r="D759" s="1" t="str">
        <f>"انبار قطعات و لوازم يدكي اصفهان"</f>
        <v>انبار قطعات و لوازم يدكي اصفهان</v>
      </c>
      <c r="E759" s="1" t="str">
        <f>"7605901122"</f>
        <v>7605901122</v>
      </c>
      <c r="F759" s="1" t="str">
        <f>"يونيون دنده اي 3/4اينچ 3000"</f>
        <v>يونيون دنده اي 3/4اينچ 3000</v>
      </c>
      <c r="G759" s="1" t="str">
        <f>"عدد"</f>
        <v>عدد</v>
      </c>
      <c r="H759" s="1">
        <v>30</v>
      </c>
      <c r="I759" s="1">
        <v>4140405</v>
      </c>
      <c r="J759" s="1">
        <v>1</v>
      </c>
      <c r="K759" s="1">
        <v>138014</v>
      </c>
      <c r="L759" s="1">
        <v>3</v>
      </c>
      <c r="M759" s="1">
        <v>414041</v>
      </c>
      <c r="O759" s="1">
        <v>97</v>
      </c>
      <c r="P759" s="4">
        <f t="shared" si="33"/>
        <v>3864378</v>
      </c>
      <c r="Q759" s="4">
        <f t="shared" si="34"/>
        <v>28</v>
      </c>
      <c r="R759" s="4">
        <f t="shared" si="35"/>
        <v>138013.5</v>
      </c>
    </row>
    <row r="760" spans="1:18">
      <c r="A760" s="1">
        <v>2</v>
      </c>
      <c r="B760" s="1" t="str">
        <f>"قطعات و لوازم يدكي"</f>
        <v>قطعات و لوازم يدكي</v>
      </c>
      <c r="C760" s="1">
        <v>101</v>
      </c>
      <c r="D760" s="1" t="str">
        <f>"انبار قطعات و لوازم يدكي اصفهان"</f>
        <v>انبار قطعات و لوازم يدكي اصفهان</v>
      </c>
      <c r="E760" s="1" t="str">
        <f>"7606280082"</f>
        <v>7606280082</v>
      </c>
      <c r="F760" s="1" t="str">
        <f>"کاپلينگ 1/2 دنده اي گالوانيزه"</f>
        <v>کاپلينگ 1/2 دنده اي گالوانيزه</v>
      </c>
      <c r="G760" s="1" t="str">
        <f>"عدد"</f>
        <v>عدد</v>
      </c>
      <c r="H760" s="1">
        <v>17</v>
      </c>
      <c r="I760" s="1">
        <v>125371</v>
      </c>
      <c r="J760" s="1">
        <v>0</v>
      </c>
      <c r="K760" s="1">
        <v>0</v>
      </c>
      <c r="L760" s="1">
        <v>1</v>
      </c>
      <c r="M760" s="1">
        <v>7375</v>
      </c>
      <c r="O760" s="1">
        <v>97</v>
      </c>
      <c r="P760" s="4">
        <f t="shared" si="33"/>
        <v>117996</v>
      </c>
      <c r="Q760" s="4">
        <f t="shared" si="34"/>
        <v>16</v>
      </c>
      <c r="R760" s="4">
        <f t="shared" si="35"/>
        <v>7374.75</v>
      </c>
    </row>
    <row r="761" spans="1:18">
      <c r="A761" s="1">
        <v>2</v>
      </c>
      <c r="B761" s="1" t="str">
        <f>"قطعات و لوازم يدكي"</f>
        <v>قطعات و لوازم يدكي</v>
      </c>
      <c r="C761" s="1">
        <v>101</v>
      </c>
      <c r="D761" s="1" t="str">
        <f>"انبار قطعات و لوازم يدكي اصفهان"</f>
        <v>انبار قطعات و لوازم يدكي اصفهان</v>
      </c>
      <c r="E761" s="1" t="str">
        <f>"7606281162"</f>
        <v>7606281162</v>
      </c>
      <c r="F761" s="1" t="str">
        <f>"کاپلينگ 1 اينچ دنده اي گالوانيزه فشار قوي"</f>
        <v>کاپلينگ 1 اينچ دنده اي گالوانيزه فشار قوي</v>
      </c>
      <c r="G761" s="1" t="str">
        <f>"عدد"</f>
        <v>عدد</v>
      </c>
      <c r="H761" s="1">
        <v>20</v>
      </c>
      <c r="I761" s="1">
        <v>1480000</v>
      </c>
      <c r="J761" s="1">
        <v>0</v>
      </c>
      <c r="K761" s="1">
        <v>0</v>
      </c>
      <c r="L761" s="1">
        <v>0</v>
      </c>
      <c r="M761" s="1">
        <v>0</v>
      </c>
      <c r="O761" s="1">
        <v>97</v>
      </c>
      <c r="P761" s="4">
        <f t="shared" si="33"/>
        <v>1480000</v>
      </c>
      <c r="Q761" s="4">
        <f t="shared" si="34"/>
        <v>20</v>
      </c>
      <c r="R761" s="4">
        <f t="shared" si="35"/>
        <v>74000</v>
      </c>
    </row>
    <row r="762" spans="1:18">
      <c r="A762" s="1">
        <v>2</v>
      </c>
      <c r="B762" s="1" t="str">
        <f>"قطعات و لوازم يدكي"</f>
        <v>قطعات و لوازم يدكي</v>
      </c>
      <c r="C762" s="1">
        <v>101</v>
      </c>
      <c r="D762" s="1" t="str">
        <f>"انبار قطعات و لوازم يدكي اصفهان"</f>
        <v>انبار قطعات و لوازم يدكي اصفهان</v>
      </c>
      <c r="E762" s="1" t="str">
        <f>"7606560782"</f>
        <v>7606560782</v>
      </c>
      <c r="F762" s="1" t="str">
        <f>"نيپل کوتاه 2*1/2 دنده اي گالوانيزه"</f>
        <v>نيپل کوتاه 2*1/2 دنده اي گالوانيزه</v>
      </c>
      <c r="G762" s="1" t="str">
        <f>"عدد"</f>
        <v>عدد</v>
      </c>
      <c r="H762" s="1">
        <v>26</v>
      </c>
      <c r="I762" s="1">
        <v>152024</v>
      </c>
      <c r="J762" s="1">
        <v>1</v>
      </c>
      <c r="K762" s="1">
        <v>5847</v>
      </c>
      <c r="L762" s="1">
        <v>3</v>
      </c>
      <c r="M762" s="1">
        <v>17541</v>
      </c>
      <c r="O762" s="1">
        <v>97</v>
      </c>
      <c r="P762" s="4">
        <f t="shared" si="33"/>
        <v>140330</v>
      </c>
      <c r="Q762" s="4">
        <f t="shared" si="34"/>
        <v>24</v>
      </c>
      <c r="R762" s="4">
        <f t="shared" si="35"/>
        <v>5847.083333333333</v>
      </c>
    </row>
    <row r="763" spans="1:18">
      <c r="A763" s="1">
        <v>2</v>
      </c>
      <c r="B763" s="1" t="str">
        <f>"قطعات و لوازم يدكي"</f>
        <v>قطعات و لوازم يدكي</v>
      </c>
      <c r="C763" s="1">
        <v>101</v>
      </c>
      <c r="D763" s="1" t="str">
        <f>"انبار قطعات و لوازم يدكي اصفهان"</f>
        <v>انبار قطعات و لوازم يدكي اصفهان</v>
      </c>
      <c r="E763" s="1" t="str">
        <f>"7630182452"</f>
        <v>7630182452</v>
      </c>
      <c r="F763" s="1" t="str">
        <f>"كپ جو شي 4 اينچ اس 40"</f>
        <v>كپ جو شي 4 اينچ اس 40</v>
      </c>
      <c r="G763" s="1" t="str">
        <f>"عدد"</f>
        <v>عدد</v>
      </c>
      <c r="H763" s="1">
        <v>3</v>
      </c>
      <c r="I763" s="1">
        <v>174000</v>
      </c>
      <c r="J763" s="1">
        <v>0</v>
      </c>
      <c r="K763" s="1">
        <v>0</v>
      </c>
      <c r="L763" s="1">
        <v>0</v>
      </c>
      <c r="M763" s="1">
        <v>0</v>
      </c>
      <c r="O763" s="1">
        <v>97</v>
      </c>
      <c r="P763" s="4">
        <f t="shared" si="33"/>
        <v>174000</v>
      </c>
      <c r="Q763" s="4">
        <f t="shared" si="34"/>
        <v>3</v>
      </c>
      <c r="R763" s="4">
        <f t="shared" si="35"/>
        <v>58000</v>
      </c>
    </row>
    <row r="764" spans="1:18">
      <c r="A764" s="1">
        <v>2</v>
      </c>
      <c r="B764" s="1" t="str">
        <f>"قطعات و لوازم يدكي"</f>
        <v>قطعات و لوازم يدكي</v>
      </c>
      <c r="C764" s="1">
        <v>101</v>
      </c>
      <c r="D764" s="1" t="str">
        <f>"انبار قطعات و لوازم يدكي اصفهان"</f>
        <v>انبار قطعات و لوازم يدكي اصفهان</v>
      </c>
      <c r="E764" s="1" t="str">
        <f>"7630402452"</f>
        <v>7630402452</v>
      </c>
      <c r="F764" s="1" t="str">
        <f>"زانو كوتاه 4اينچ رده40"</f>
        <v>زانو كوتاه 4اينچ رده40</v>
      </c>
      <c r="G764" s="1" t="str">
        <f>"عدد"</f>
        <v>عدد</v>
      </c>
      <c r="H764" s="1">
        <v>1</v>
      </c>
      <c r="I764" s="1">
        <v>350000</v>
      </c>
      <c r="J764" s="1">
        <v>0</v>
      </c>
      <c r="K764" s="1">
        <v>0</v>
      </c>
      <c r="L764" s="1">
        <v>0</v>
      </c>
      <c r="M764" s="1">
        <v>0</v>
      </c>
      <c r="O764" s="1">
        <v>97</v>
      </c>
      <c r="P764" s="4">
        <f t="shared" si="33"/>
        <v>350000</v>
      </c>
      <c r="Q764" s="4">
        <f t="shared" si="34"/>
        <v>1</v>
      </c>
      <c r="R764" s="4">
        <f t="shared" si="35"/>
        <v>350000</v>
      </c>
    </row>
    <row r="765" spans="1:18">
      <c r="A765" s="1">
        <v>2</v>
      </c>
      <c r="B765" s="1" t="str">
        <f>"قطعات و لوازم يدكي"</f>
        <v>قطعات و لوازم يدكي</v>
      </c>
      <c r="C765" s="1">
        <v>101</v>
      </c>
      <c r="D765" s="1" t="str">
        <f>"انبار قطعات و لوازم يدكي اصفهان"</f>
        <v>انبار قطعات و لوازم يدكي اصفهان</v>
      </c>
      <c r="E765" s="1" t="str">
        <f>"7630408432"</f>
        <v>7630408432</v>
      </c>
      <c r="F765" s="1" t="str">
        <f>"زانو 90 درجه جوشي 14 اينچ اس 30"</f>
        <v>زانو 90 درجه جوشي 14 اينچ اس 30</v>
      </c>
      <c r="G765" s="1" t="str">
        <f>"عدد"</f>
        <v>عدد</v>
      </c>
      <c r="H765" s="1">
        <v>8</v>
      </c>
      <c r="I765" s="1">
        <v>12235294</v>
      </c>
      <c r="J765" s="1">
        <v>0</v>
      </c>
      <c r="K765" s="1">
        <v>0</v>
      </c>
      <c r="L765" s="1">
        <v>0</v>
      </c>
      <c r="M765" s="1">
        <v>0</v>
      </c>
      <c r="O765" s="1">
        <v>97</v>
      </c>
      <c r="P765" s="4">
        <f t="shared" si="33"/>
        <v>12235294</v>
      </c>
      <c r="Q765" s="4">
        <f t="shared" si="34"/>
        <v>8</v>
      </c>
      <c r="R765" s="4">
        <f t="shared" si="35"/>
        <v>1529411.75</v>
      </c>
    </row>
    <row r="766" spans="1:18">
      <c r="A766" s="1">
        <v>2</v>
      </c>
      <c r="B766" s="1" t="str">
        <f>"قطعات و لوازم يدكي"</f>
        <v>قطعات و لوازم يدكي</v>
      </c>
      <c r="C766" s="1">
        <v>101</v>
      </c>
      <c r="D766" s="1" t="str">
        <f>"انبار قطعات و لوازم يدكي اصفهان"</f>
        <v>انبار قطعات و لوازم يدكي اصفهان</v>
      </c>
      <c r="E766" s="1" t="str">
        <f>"7630722652"</f>
        <v>7630722652</v>
      </c>
      <c r="F766" s="1" t="str">
        <f>"تبديل هم محو ر جوشي 2*4 اينچ اس 40"</f>
        <v>تبديل هم محو ر جوشي 2*4 اينچ اس 40</v>
      </c>
      <c r="G766" s="1" t="str">
        <f>"عدد"</f>
        <v>عدد</v>
      </c>
      <c r="H766" s="1">
        <v>3</v>
      </c>
      <c r="I766" s="1">
        <v>375000</v>
      </c>
      <c r="J766" s="1">
        <v>5</v>
      </c>
      <c r="K766" s="1">
        <v>2047500</v>
      </c>
      <c r="L766" s="1">
        <v>2</v>
      </c>
      <c r="M766" s="1">
        <v>250000</v>
      </c>
      <c r="O766" s="1">
        <v>97</v>
      </c>
      <c r="P766" s="4">
        <f t="shared" si="33"/>
        <v>2172500</v>
      </c>
      <c r="Q766" s="4">
        <f t="shared" si="34"/>
        <v>6</v>
      </c>
      <c r="R766" s="4">
        <f t="shared" si="35"/>
        <v>362083.33333333331</v>
      </c>
    </row>
    <row r="767" spans="1:18">
      <c r="A767" s="1">
        <v>2</v>
      </c>
      <c r="B767" s="1" t="str">
        <f>"قطعات و لوازم يدكي"</f>
        <v>قطعات و لوازم يدكي</v>
      </c>
      <c r="C767" s="1">
        <v>101</v>
      </c>
      <c r="D767" s="1" t="str">
        <f>"انبار قطعات و لوازم يدكي اصفهان"</f>
        <v>انبار قطعات و لوازم يدكي اصفهان</v>
      </c>
      <c r="E767" s="1" t="str">
        <f>"7630723052"</f>
        <v>7630723052</v>
      </c>
      <c r="F767" s="1" t="str">
        <f>"تبديل هم محور 4*6 جوشي"</f>
        <v>تبديل هم محور 4*6 جوشي</v>
      </c>
      <c r="G767" s="1" t="str">
        <f>"عدد"</f>
        <v>عدد</v>
      </c>
      <c r="H767" s="1">
        <v>5</v>
      </c>
      <c r="I767" s="1">
        <v>950000</v>
      </c>
      <c r="J767" s="1">
        <v>0</v>
      </c>
      <c r="K767" s="1">
        <v>0</v>
      </c>
      <c r="L767" s="1">
        <v>0</v>
      </c>
      <c r="M767" s="1">
        <v>0</v>
      </c>
      <c r="O767" s="1">
        <v>97</v>
      </c>
      <c r="P767" s="4">
        <f t="shared" si="33"/>
        <v>950000</v>
      </c>
      <c r="Q767" s="4">
        <f t="shared" si="34"/>
        <v>5</v>
      </c>
      <c r="R767" s="4">
        <f t="shared" si="35"/>
        <v>190000</v>
      </c>
    </row>
    <row r="768" spans="1:18">
      <c r="A768" s="1">
        <v>2</v>
      </c>
      <c r="B768" s="1" t="str">
        <f>"قطعات و لوازم يدكي"</f>
        <v>قطعات و لوازم يدكي</v>
      </c>
      <c r="C768" s="1">
        <v>101</v>
      </c>
      <c r="D768" s="1" t="str">
        <f>"انبار قطعات و لوازم يدكي اصفهان"</f>
        <v>انبار قطعات و لوازم يدكي اصفهان</v>
      </c>
      <c r="E768" s="1" t="str">
        <f>"7630723362"</f>
        <v>7630723362</v>
      </c>
      <c r="F768" s="1" t="str">
        <f>"تبديل هم مرکز 6*8اينچ رده 40"</f>
        <v>تبديل هم مرکز 6*8اينچ رده 40</v>
      </c>
      <c r="G768" s="1" t="str">
        <f>"عدد"</f>
        <v>عدد</v>
      </c>
      <c r="H768" s="1">
        <v>5</v>
      </c>
      <c r="I768" s="1">
        <v>1600000</v>
      </c>
      <c r="J768" s="1">
        <v>0</v>
      </c>
      <c r="K768" s="1">
        <v>0</v>
      </c>
      <c r="L768" s="1">
        <v>0</v>
      </c>
      <c r="M768" s="1">
        <v>0</v>
      </c>
      <c r="O768" s="1">
        <v>97</v>
      </c>
      <c r="P768" s="4">
        <f t="shared" si="33"/>
        <v>1600000</v>
      </c>
      <c r="Q768" s="4">
        <f t="shared" si="34"/>
        <v>5</v>
      </c>
      <c r="R768" s="4">
        <f t="shared" si="35"/>
        <v>320000</v>
      </c>
    </row>
    <row r="769" spans="1:18">
      <c r="A769" s="1">
        <v>2</v>
      </c>
      <c r="B769" s="1" t="str">
        <f>"قطعات و لوازم يدكي"</f>
        <v>قطعات و لوازم يدكي</v>
      </c>
      <c r="C769" s="1">
        <v>101</v>
      </c>
      <c r="D769" s="1" t="str">
        <f>"انبار قطعات و لوازم يدكي اصفهان"</f>
        <v>انبار قطعات و لوازم يدكي اصفهان</v>
      </c>
      <c r="E769" s="1" t="str">
        <f>"7630725182"</f>
        <v>7630725182</v>
      </c>
      <c r="F769" s="1" t="s">
        <v>37</v>
      </c>
      <c r="G769" s="1" t="str">
        <f>"عدد"</f>
        <v>عدد</v>
      </c>
      <c r="H769" s="1">
        <v>2</v>
      </c>
      <c r="I769" s="1">
        <v>4900000</v>
      </c>
      <c r="J769" s="1">
        <v>0</v>
      </c>
      <c r="K769" s="1">
        <v>0</v>
      </c>
      <c r="L769" s="1">
        <v>0</v>
      </c>
      <c r="M769" s="1">
        <v>0</v>
      </c>
      <c r="O769" s="1">
        <v>97</v>
      </c>
      <c r="P769" s="4">
        <f t="shared" si="33"/>
        <v>4900000</v>
      </c>
      <c r="Q769" s="4">
        <f t="shared" si="34"/>
        <v>2</v>
      </c>
      <c r="R769" s="4">
        <f t="shared" si="35"/>
        <v>2450000</v>
      </c>
    </row>
    <row r="770" spans="1:18">
      <c r="A770" s="1">
        <v>2</v>
      </c>
      <c r="B770" s="1" t="str">
        <f>"قطعات و لوازم يدكي"</f>
        <v>قطعات و لوازم يدكي</v>
      </c>
      <c r="C770" s="1">
        <v>101</v>
      </c>
      <c r="D770" s="1" t="str">
        <f>"انبار قطعات و لوازم يدكي اصفهان"</f>
        <v>انبار قطعات و لوازم يدكي اصفهان</v>
      </c>
      <c r="E770" s="1" t="str">
        <f>"7630781012"</f>
        <v>7630781012</v>
      </c>
      <c r="F770" s="1" t="s">
        <v>38</v>
      </c>
      <c r="G770" s="1" t="str">
        <f>"عدد"</f>
        <v>عدد</v>
      </c>
      <c r="H770" s="1">
        <v>0</v>
      </c>
      <c r="I770" s="1">
        <v>0</v>
      </c>
      <c r="J770" s="1">
        <v>4</v>
      </c>
      <c r="K770" s="1">
        <v>5400000</v>
      </c>
      <c r="L770" s="1">
        <v>3</v>
      </c>
      <c r="M770" s="1">
        <v>4050000</v>
      </c>
      <c r="O770" s="1">
        <v>97</v>
      </c>
      <c r="P770" s="4">
        <f t="shared" si="33"/>
        <v>1350000</v>
      </c>
      <c r="Q770" s="4">
        <f t="shared" si="34"/>
        <v>1</v>
      </c>
      <c r="R770" s="4">
        <f t="shared" si="35"/>
        <v>1350000</v>
      </c>
    </row>
    <row r="771" spans="1:18">
      <c r="A771" s="1">
        <v>2</v>
      </c>
      <c r="B771" s="1" t="str">
        <f>"قطعات و لوازم يدكي"</f>
        <v>قطعات و لوازم يدكي</v>
      </c>
      <c r="C771" s="1">
        <v>101</v>
      </c>
      <c r="D771" s="1" t="str">
        <f>"انبار قطعات و لوازم يدكي اصفهان"</f>
        <v>انبار قطعات و لوازم يدكي اصفهان</v>
      </c>
      <c r="E771" s="1" t="str">
        <f>"7630841272"</f>
        <v>7630841272</v>
      </c>
      <c r="F771" s="1" t="str">
        <f>"سه راهي جوشي 2 اينچ رده80"</f>
        <v>سه راهي جوشي 2 اينچ رده80</v>
      </c>
      <c r="G771" s="1" t="str">
        <f>"عدد"</f>
        <v>عدد</v>
      </c>
      <c r="H771" s="1">
        <v>5</v>
      </c>
      <c r="I771" s="1">
        <v>949000</v>
      </c>
      <c r="J771" s="1">
        <v>4</v>
      </c>
      <c r="K771" s="1">
        <v>2880000</v>
      </c>
      <c r="L771" s="1">
        <v>3</v>
      </c>
      <c r="M771" s="1">
        <v>569400</v>
      </c>
      <c r="O771" s="1">
        <v>97</v>
      </c>
      <c r="P771" s="4">
        <f t="shared" ref="P771:P834" si="36">I771+K771-M771</f>
        <v>3259600</v>
      </c>
      <c r="Q771" s="4">
        <f t="shared" ref="Q771:Q834" si="37">H771+J771-L771</f>
        <v>6</v>
      </c>
      <c r="R771" s="4">
        <f t="shared" ref="R771:R834" si="38">P771/Q771</f>
        <v>543266.66666666663</v>
      </c>
    </row>
    <row r="772" spans="1:18">
      <c r="A772" s="1">
        <v>2</v>
      </c>
      <c r="B772" s="1" t="str">
        <f>"قطعات و لوازم يدكي"</f>
        <v>قطعات و لوازم يدكي</v>
      </c>
      <c r="C772" s="1">
        <v>101</v>
      </c>
      <c r="D772" s="1" t="str">
        <f>"انبار قطعات و لوازم يدكي اصفهان"</f>
        <v>انبار قطعات و لوازم يدكي اصفهان</v>
      </c>
      <c r="E772" s="1" t="str">
        <f>"7606901122"</f>
        <v>7606901122</v>
      </c>
      <c r="F772" s="1" t="str">
        <f>"UNIUN  3/4 SCR GALV"</f>
        <v>UNIUN  3/4 SCR GALV</v>
      </c>
      <c r="G772" s="1" t="str">
        <f>"عدد"</f>
        <v>عدد</v>
      </c>
      <c r="H772" s="1">
        <v>4</v>
      </c>
      <c r="I772" s="1">
        <v>620000</v>
      </c>
      <c r="J772" s="1">
        <v>0</v>
      </c>
      <c r="K772" s="1">
        <v>0</v>
      </c>
      <c r="L772" s="1">
        <v>0</v>
      </c>
      <c r="M772" s="1">
        <v>0</v>
      </c>
      <c r="O772" s="1">
        <v>97</v>
      </c>
      <c r="P772" s="4">
        <f t="shared" si="36"/>
        <v>620000</v>
      </c>
      <c r="Q772" s="4">
        <f t="shared" si="37"/>
        <v>4</v>
      </c>
      <c r="R772" s="4">
        <f t="shared" si="38"/>
        <v>155000</v>
      </c>
    </row>
    <row r="773" spans="1:18">
      <c r="A773" s="1">
        <v>2</v>
      </c>
      <c r="B773" s="1" t="str">
        <f>"قطعات و لوازم يدكي"</f>
        <v>قطعات و لوازم يدكي</v>
      </c>
      <c r="C773" s="1">
        <v>101</v>
      </c>
      <c r="D773" s="1" t="str">
        <f>"انبار قطعات و لوازم يدكي اصفهان"</f>
        <v>انبار قطعات و لوازم يدكي اصفهان</v>
      </c>
      <c r="E773" s="1" t="str">
        <f>"7630387252"</f>
        <v>7630387252</v>
      </c>
      <c r="F773" s="1" t="str">
        <f>"زانو 45 درجه 2 اينج جوشي رده 40"</f>
        <v>زانو 45 درجه 2 اينج جوشي رده 40</v>
      </c>
      <c r="G773" s="1" t="str">
        <f>"عدد"</f>
        <v>عدد</v>
      </c>
      <c r="H773" s="1">
        <v>5</v>
      </c>
      <c r="I773" s="1">
        <v>108000</v>
      </c>
      <c r="J773" s="1">
        <v>0</v>
      </c>
      <c r="K773" s="1">
        <v>0</v>
      </c>
      <c r="L773" s="1">
        <v>3</v>
      </c>
      <c r="M773" s="1">
        <v>64800</v>
      </c>
      <c r="O773" s="1">
        <v>97</v>
      </c>
      <c r="P773" s="4">
        <f t="shared" si="36"/>
        <v>43200</v>
      </c>
      <c r="Q773" s="4">
        <f t="shared" si="37"/>
        <v>2</v>
      </c>
      <c r="R773" s="4">
        <f t="shared" si="38"/>
        <v>21600</v>
      </c>
    </row>
    <row r="774" spans="1:18">
      <c r="A774" s="1">
        <v>2</v>
      </c>
      <c r="B774" s="1" t="str">
        <f>"قطعات و لوازم يدكي"</f>
        <v>قطعات و لوازم يدكي</v>
      </c>
      <c r="C774" s="1">
        <v>101</v>
      </c>
      <c r="D774" s="1" t="str">
        <f>"انبار قطعات و لوازم يدكي اصفهان"</f>
        <v>انبار قطعات و لوازم يدكي اصفهان</v>
      </c>
      <c r="E774" s="1" t="str">
        <f>"7630732752"</f>
        <v>7630732752</v>
      </c>
      <c r="F774" s="1" t="str">
        <f>"رديوسر غير هم مركز 3*4 رده40"</f>
        <v>رديوسر غير هم مركز 3*4 رده40</v>
      </c>
      <c r="G774" s="1" t="str">
        <f>"عدد"</f>
        <v>عدد</v>
      </c>
      <c r="H774" s="1">
        <v>5</v>
      </c>
      <c r="I774" s="1">
        <v>625000</v>
      </c>
      <c r="J774" s="1">
        <v>0</v>
      </c>
      <c r="K774" s="1">
        <v>0</v>
      </c>
      <c r="L774" s="1">
        <v>1</v>
      </c>
      <c r="M774" s="1">
        <v>125000</v>
      </c>
      <c r="O774" s="1">
        <v>97</v>
      </c>
      <c r="P774" s="4">
        <f t="shared" si="36"/>
        <v>500000</v>
      </c>
      <c r="Q774" s="4">
        <f t="shared" si="37"/>
        <v>4</v>
      </c>
      <c r="R774" s="4">
        <f t="shared" si="38"/>
        <v>125000</v>
      </c>
    </row>
    <row r="775" spans="1:18">
      <c r="A775" s="1">
        <v>2</v>
      </c>
      <c r="B775" s="1" t="str">
        <f>"قطعات و لوازم يدكي"</f>
        <v>قطعات و لوازم يدكي</v>
      </c>
      <c r="C775" s="1">
        <v>101</v>
      </c>
      <c r="D775" s="1" t="str">
        <f>"انبار قطعات و لوازم يدكي اصفهان"</f>
        <v>انبار قطعات و لوازم يدكي اصفهان</v>
      </c>
      <c r="E775" s="1" t="str">
        <f>"7630733272"</f>
        <v>7630733272</v>
      </c>
      <c r="F775" s="1" t="str">
        <f>"تبديل 8*4 - 80 درجه"</f>
        <v>تبديل 8*4 - 80 درجه</v>
      </c>
      <c r="G775" s="1" t="str">
        <f>"عدد"</f>
        <v>عدد</v>
      </c>
      <c r="H775" s="1">
        <v>2</v>
      </c>
      <c r="I775" s="1">
        <v>8397</v>
      </c>
      <c r="J775" s="1">
        <v>0</v>
      </c>
      <c r="K775" s="1">
        <v>0</v>
      </c>
      <c r="L775" s="1">
        <v>0</v>
      </c>
      <c r="M775" s="1">
        <v>0</v>
      </c>
      <c r="O775" s="1">
        <v>97</v>
      </c>
      <c r="P775" s="4">
        <f t="shared" si="36"/>
        <v>8397</v>
      </c>
      <c r="Q775" s="4">
        <f t="shared" si="37"/>
        <v>2</v>
      </c>
      <c r="R775" s="4">
        <f t="shared" si="38"/>
        <v>4198.5</v>
      </c>
    </row>
    <row r="776" spans="1:18">
      <c r="A776" s="1">
        <v>2</v>
      </c>
      <c r="B776" s="1" t="str">
        <f>"قطعات و لوازم يدكي"</f>
        <v>قطعات و لوازم يدكي</v>
      </c>
      <c r="C776" s="1">
        <v>101</v>
      </c>
      <c r="D776" s="1" t="str">
        <f>"انبار قطعات و لوازم يدكي اصفهان"</f>
        <v>انبار قطعات و لوازم يدكي اصفهان</v>
      </c>
      <c r="E776" s="1" t="str">
        <f>"7630841452"</f>
        <v>7630841452</v>
      </c>
      <c r="F776" s="1" t="s">
        <v>39</v>
      </c>
      <c r="G776" s="1" t="str">
        <f>"عدد"</f>
        <v>عدد</v>
      </c>
      <c r="H776" s="1">
        <v>5</v>
      </c>
      <c r="I776" s="1">
        <v>1434259</v>
      </c>
      <c r="J776" s="1">
        <v>4</v>
      </c>
      <c r="K776" s="1">
        <v>2700000</v>
      </c>
      <c r="L776" s="1">
        <v>3</v>
      </c>
      <c r="M776" s="1">
        <v>1082355</v>
      </c>
      <c r="O776" s="1">
        <v>97</v>
      </c>
      <c r="P776" s="4">
        <f t="shared" si="36"/>
        <v>3051904</v>
      </c>
      <c r="Q776" s="4">
        <f t="shared" si="37"/>
        <v>6</v>
      </c>
      <c r="R776" s="4">
        <f t="shared" si="38"/>
        <v>508650.66666666669</v>
      </c>
    </row>
    <row r="777" spans="1:18">
      <c r="A777" s="1">
        <v>2</v>
      </c>
      <c r="B777" s="1" t="str">
        <f>"قطعات و لوازم يدكي"</f>
        <v>قطعات و لوازم يدكي</v>
      </c>
      <c r="C777" s="1">
        <v>101</v>
      </c>
      <c r="D777" s="1" t="str">
        <f>"انبار قطعات و لوازم يدكي اصفهان"</f>
        <v>انبار قطعات و لوازم يدكي اصفهان</v>
      </c>
      <c r="E777" s="1" t="str">
        <f>"7630842682"</f>
        <v>7630842682</v>
      </c>
      <c r="F777" s="1" t="str">
        <f>"سه راهي 18 اينچ رده40"</f>
        <v>سه راهي 18 اينچ رده40</v>
      </c>
      <c r="G777" s="1" t="str">
        <f>"عدد"</f>
        <v>عدد</v>
      </c>
      <c r="H777" s="1">
        <v>1</v>
      </c>
      <c r="I777" s="1">
        <v>10700000</v>
      </c>
      <c r="J777" s="1">
        <v>1</v>
      </c>
      <c r="K777" s="1">
        <v>10700000</v>
      </c>
      <c r="L777" s="1">
        <v>1</v>
      </c>
      <c r="M777" s="1">
        <v>10700000</v>
      </c>
      <c r="O777" s="1">
        <v>97</v>
      </c>
      <c r="P777" s="4">
        <f t="shared" si="36"/>
        <v>10700000</v>
      </c>
      <c r="Q777" s="4">
        <f t="shared" si="37"/>
        <v>1</v>
      </c>
      <c r="R777" s="4">
        <f t="shared" si="38"/>
        <v>10700000</v>
      </c>
    </row>
    <row r="778" spans="1:18">
      <c r="A778" s="1">
        <v>2</v>
      </c>
      <c r="B778" s="1" t="str">
        <f>"قطعات و لوازم يدكي"</f>
        <v>قطعات و لوازم يدكي</v>
      </c>
      <c r="C778" s="1">
        <v>101</v>
      </c>
      <c r="D778" s="1" t="str">
        <f>"انبار قطعات و لوازم يدكي اصفهان"</f>
        <v>انبار قطعات و لوازم يدكي اصفهان</v>
      </c>
      <c r="E778" s="1" t="str">
        <f>"7634182082"</f>
        <v>7634182082</v>
      </c>
      <c r="F778" s="1" t="s">
        <v>40</v>
      </c>
      <c r="G778" s="1" t="str">
        <f>"عدد"</f>
        <v>عدد</v>
      </c>
      <c r="H778" s="1">
        <v>20</v>
      </c>
      <c r="I778" s="1">
        <v>540000</v>
      </c>
      <c r="J778" s="1">
        <v>0</v>
      </c>
      <c r="K778" s="1">
        <v>0</v>
      </c>
      <c r="L778" s="1">
        <v>0</v>
      </c>
      <c r="M778" s="1">
        <v>0</v>
      </c>
      <c r="O778" s="1">
        <v>97</v>
      </c>
      <c r="P778" s="4">
        <f t="shared" si="36"/>
        <v>540000</v>
      </c>
      <c r="Q778" s="4">
        <f t="shared" si="37"/>
        <v>20</v>
      </c>
      <c r="R778" s="4">
        <f t="shared" si="38"/>
        <v>27000</v>
      </c>
    </row>
    <row r="779" spans="1:18">
      <c r="A779" s="1">
        <v>2</v>
      </c>
      <c r="B779" s="1" t="str">
        <f>"قطعات و لوازم يدكي"</f>
        <v>قطعات و لوازم يدكي</v>
      </c>
      <c r="C779" s="1">
        <v>101</v>
      </c>
      <c r="D779" s="1" t="str">
        <f>"انبار قطعات و لوازم يدكي اصفهان"</f>
        <v>انبار قطعات و لوازم يدكي اصفهان</v>
      </c>
      <c r="E779" s="1" t="str">
        <f>"7634902082"</f>
        <v>7634902082</v>
      </c>
      <c r="F779" s="1" t="s">
        <v>41</v>
      </c>
      <c r="G779" s="1" t="str">
        <f>"عدد"</f>
        <v>عدد</v>
      </c>
      <c r="H779" s="1">
        <v>20</v>
      </c>
      <c r="I779" s="1">
        <v>1913333</v>
      </c>
      <c r="J779" s="1">
        <v>0</v>
      </c>
      <c r="K779" s="1">
        <v>0</v>
      </c>
      <c r="L779" s="1">
        <v>0</v>
      </c>
      <c r="M779" s="1">
        <v>0</v>
      </c>
      <c r="O779" s="1">
        <v>97</v>
      </c>
      <c r="P779" s="4">
        <f t="shared" si="36"/>
        <v>1913333</v>
      </c>
      <c r="Q779" s="4">
        <f t="shared" si="37"/>
        <v>20</v>
      </c>
      <c r="R779" s="4">
        <f t="shared" si="38"/>
        <v>95666.65</v>
      </c>
    </row>
    <row r="780" spans="1:18">
      <c r="A780" s="1">
        <v>2</v>
      </c>
      <c r="B780" s="1" t="str">
        <f>"قطعات و لوازم يدكي"</f>
        <v>قطعات و لوازم يدكي</v>
      </c>
      <c r="C780" s="1">
        <v>101</v>
      </c>
      <c r="D780" s="1" t="str">
        <f>"انبار قطعات و لوازم يدكي اصفهان"</f>
        <v>انبار قطعات و لوازم يدكي اصفهان</v>
      </c>
      <c r="E780" s="1" t="str">
        <f>"7640260352"</f>
        <v>7640260352</v>
      </c>
      <c r="F780" s="1" t="str">
        <f>"STUD CONNECTOR 1/2*3/4 M"</f>
        <v>STUD CONNECTOR 1/2*3/4 M</v>
      </c>
      <c r="G780" s="1" t="str">
        <f>"عدد"</f>
        <v>عدد</v>
      </c>
      <c r="H780" s="1">
        <v>11</v>
      </c>
      <c r="I780" s="1">
        <v>1100000</v>
      </c>
      <c r="J780" s="1">
        <v>5</v>
      </c>
      <c r="K780" s="1">
        <v>4125000</v>
      </c>
      <c r="L780" s="1">
        <v>2</v>
      </c>
      <c r="M780" s="1">
        <v>200000</v>
      </c>
      <c r="O780" s="1">
        <v>97</v>
      </c>
      <c r="P780" s="4">
        <f t="shared" si="36"/>
        <v>5025000</v>
      </c>
      <c r="Q780" s="4">
        <f t="shared" si="37"/>
        <v>14</v>
      </c>
      <c r="R780" s="4">
        <f t="shared" si="38"/>
        <v>358928.57142857142</v>
      </c>
    </row>
    <row r="781" spans="1:18">
      <c r="A781" s="1">
        <v>2</v>
      </c>
      <c r="B781" s="1" t="str">
        <f>"قطعات و لوازم يدكي"</f>
        <v>قطعات و لوازم يدكي</v>
      </c>
      <c r="C781" s="1">
        <v>101</v>
      </c>
      <c r="D781" s="1" t="str">
        <f>"انبار قطعات و لوازم يدكي اصفهان"</f>
        <v>انبار قطعات و لوازم يدكي اصفهان</v>
      </c>
      <c r="E781" s="1" t="str">
        <f>"7640260762"</f>
        <v>7640260762</v>
      </c>
      <c r="F781" s="1" t="str">
        <f>"STUD CONNECTOR 3/8*1/2 FM"</f>
        <v>STUD CONNECTOR 3/8*1/2 FM</v>
      </c>
      <c r="G781" s="1" t="str">
        <f>"عدد"</f>
        <v>عدد</v>
      </c>
      <c r="H781" s="1">
        <v>19</v>
      </c>
      <c r="I781" s="1">
        <v>2850000</v>
      </c>
      <c r="J781" s="1">
        <v>3</v>
      </c>
      <c r="K781" s="1">
        <v>450000</v>
      </c>
      <c r="L781" s="1">
        <v>8</v>
      </c>
      <c r="M781" s="1">
        <v>1200000</v>
      </c>
      <c r="O781" s="1">
        <v>97</v>
      </c>
      <c r="P781" s="4">
        <f t="shared" si="36"/>
        <v>2100000</v>
      </c>
      <c r="Q781" s="4">
        <f t="shared" si="37"/>
        <v>14</v>
      </c>
      <c r="R781" s="4">
        <f t="shared" si="38"/>
        <v>150000</v>
      </c>
    </row>
    <row r="782" spans="1:18">
      <c r="A782" s="1">
        <v>2</v>
      </c>
      <c r="B782" s="1" t="str">
        <f>"قطعات و لوازم يدكي"</f>
        <v>قطعات و لوازم يدكي</v>
      </c>
      <c r="C782" s="1">
        <v>101</v>
      </c>
      <c r="D782" s="1" t="str">
        <f>"انبار قطعات و لوازم يدكي اصفهان"</f>
        <v>انبار قطعات و لوازم يدكي اصفهان</v>
      </c>
      <c r="E782" s="1" t="str">
        <f>"7640260802"</f>
        <v>7640260802</v>
      </c>
      <c r="F782" s="1" t="str">
        <f>"STUD CONNECTOR 1/2*3/4 FM"</f>
        <v>STUD CONNECTOR 1/2*3/4 FM</v>
      </c>
      <c r="G782" s="1" t="str">
        <f>"عدد"</f>
        <v>عدد</v>
      </c>
      <c r="H782" s="1">
        <v>10</v>
      </c>
      <c r="I782" s="1">
        <v>2000000</v>
      </c>
      <c r="J782" s="1">
        <v>0</v>
      </c>
      <c r="K782" s="1">
        <v>0</v>
      </c>
      <c r="L782" s="1">
        <v>0</v>
      </c>
      <c r="M782" s="1">
        <v>0</v>
      </c>
      <c r="O782" s="1">
        <v>97</v>
      </c>
      <c r="P782" s="4">
        <f t="shared" si="36"/>
        <v>2000000</v>
      </c>
      <c r="Q782" s="4">
        <f t="shared" si="37"/>
        <v>10</v>
      </c>
      <c r="R782" s="4">
        <f t="shared" si="38"/>
        <v>200000</v>
      </c>
    </row>
    <row r="783" spans="1:18">
      <c r="A783" s="1">
        <v>2</v>
      </c>
      <c r="B783" s="1" t="str">
        <f>"قطعات و لوازم يدكي"</f>
        <v>قطعات و لوازم يدكي</v>
      </c>
      <c r="C783" s="1">
        <v>101</v>
      </c>
      <c r="D783" s="1" t="str">
        <f>"انبار قطعات و لوازم يدكي اصفهان"</f>
        <v>انبار قطعات و لوازم يدكي اصفهان</v>
      </c>
      <c r="E783" s="1" t="str">
        <f>"7640390262"</f>
        <v>7640390262</v>
      </c>
      <c r="F783" s="1" t="str">
        <f>"استد البو 1/2*3/8"</f>
        <v>استد البو 1/2*3/8</v>
      </c>
      <c r="G783" s="1" t="str">
        <f>"عدد"</f>
        <v>عدد</v>
      </c>
      <c r="H783" s="1">
        <v>49</v>
      </c>
      <c r="I783" s="1">
        <v>7203000</v>
      </c>
      <c r="J783" s="1">
        <v>1</v>
      </c>
      <c r="K783" s="1">
        <v>147000</v>
      </c>
      <c r="L783" s="1">
        <v>2</v>
      </c>
      <c r="M783" s="1">
        <v>294000</v>
      </c>
      <c r="O783" s="1">
        <v>97</v>
      </c>
      <c r="P783" s="4">
        <f t="shared" si="36"/>
        <v>7056000</v>
      </c>
      <c r="Q783" s="4">
        <f t="shared" si="37"/>
        <v>48</v>
      </c>
      <c r="R783" s="4">
        <f t="shared" si="38"/>
        <v>147000</v>
      </c>
    </row>
    <row r="784" spans="1:18">
      <c r="A784" s="1">
        <v>2</v>
      </c>
      <c r="B784" s="1" t="str">
        <f>"قطعات و لوازم يدكي"</f>
        <v>قطعات و لوازم يدكي</v>
      </c>
      <c r="C784" s="1">
        <v>101</v>
      </c>
      <c r="D784" s="1" t="str">
        <f>"انبار قطعات و لوازم يدكي اصفهان"</f>
        <v>انبار قطعات و لوازم يدكي اصفهان</v>
      </c>
      <c r="E784" s="1" t="str">
        <f>"7640390722"</f>
        <v>7640390722</v>
      </c>
      <c r="F784" s="1" t="str">
        <f>"استد البو 1/4* 3/8 (FMALE)"</f>
        <v>استد البو 1/4* 3/8 (FMALE)</v>
      </c>
      <c r="G784" s="1" t="str">
        <f>"عدد"</f>
        <v>عدد</v>
      </c>
      <c r="H784" s="1">
        <v>3</v>
      </c>
      <c r="I784" s="1">
        <v>360000</v>
      </c>
      <c r="J784" s="1">
        <v>0</v>
      </c>
      <c r="K784" s="1">
        <v>0</v>
      </c>
      <c r="L784" s="1">
        <v>0</v>
      </c>
      <c r="M784" s="1">
        <v>0</v>
      </c>
      <c r="O784" s="1">
        <v>97</v>
      </c>
      <c r="P784" s="4">
        <f t="shared" si="36"/>
        <v>360000</v>
      </c>
      <c r="Q784" s="4">
        <f t="shared" si="37"/>
        <v>3</v>
      </c>
      <c r="R784" s="4">
        <f t="shared" si="38"/>
        <v>120000</v>
      </c>
    </row>
    <row r="785" spans="1:18">
      <c r="A785" s="1">
        <v>2</v>
      </c>
      <c r="B785" s="1" t="str">
        <f>"قطعات و لوازم يدكي"</f>
        <v>قطعات و لوازم يدكي</v>
      </c>
      <c r="C785" s="1">
        <v>101</v>
      </c>
      <c r="D785" s="1" t="str">
        <f>"انبار قطعات و لوازم يدكي اصفهان"</f>
        <v>انبار قطعات و لوازم يدكي اصفهان</v>
      </c>
      <c r="E785" s="1" t="str">
        <f>"7662100702"</f>
        <v>7662100702</v>
      </c>
      <c r="F785" s="1" t="s">
        <v>42</v>
      </c>
      <c r="G785" s="1" t="str">
        <f>"عدد"</f>
        <v>عدد</v>
      </c>
      <c r="H785" s="1">
        <v>7</v>
      </c>
      <c r="I785" s="1">
        <v>1771152</v>
      </c>
      <c r="J785" s="1">
        <v>1</v>
      </c>
      <c r="K785" s="1">
        <v>253022</v>
      </c>
      <c r="L785" s="1">
        <v>2</v>
      </c>
      <c r="M785" s="1">
        <v>506043</v>
      </c>
      <c r="O785" s="1">
        <v>97</v>
      </c>
      <c r="P785" s="4">
        <f t="shared" si="36"/>
        <v>1518131</v>
      </c>
      <c r="Q785" s="4">
        <f t="shared" si="37"/>
        <v>6</v>
      </c>
      <c r="R785" s="4">
        <f t="shared" si="38"/>
        <v>253021.83333333334</v>
      </c>
    </row>
    <row r="786" spans="1:18">
      <c r="A786" s="1">
        <v>2</v>
      </c>
      <c r="B786" s="1" t="str">
        <f>"قطعات و لوازم يدكي"</f>
        <v>قطعات و لوازم يدكي</v>
      </c>
      <c r="C786" s="1">
        <v>101</v>
      </c>
      <c r="D786" s="1" t="str">
        <f>"انبار قطعات و لوازم يدكي اصفهان"</f>
        <v>انبار قطعات و لوازم يدكي اصفهان</v>
      </c>
      <c r="E786" s="1" t="str">
        <f>"7662100722"</f>
        <v>7662100722</v>
      </c>
      <c r="F786" s="1" t="s">
        <v>43</v>
      </c>
      <c r="G786" s="1" t="str">
        <f>"عدد"</f>
        <v>عدد</v>
      </c>
      <c r="H786" s="1">
        <v>2</v>
      </c>
      <c r="I786" s="1">
        <v>892937</v>
      </c>
      <c r="J786" s="1">
        <v>8</v>
      </c>
      <c r="K786" s="1">
        <v>2668402</v>
      </c>
      <c r="L786" s="1">
        <v>3</v>
      </c>
      <c r="M786" s="1">
        <v>1068402</v>
      </c>
      <c r="O786" s="1">
        <v>97</v>
      </c>
      <c r="P786" s="4">
        <f t="shared" si="36"/>
        <v>2492937</v>
      </c>
      <c r="Q786" s="4">
        <f t="shared" si="37"/>
        <v>7</v>
      </c>
      <c r="R786" s="4">
        <f t="shared" si="38"/>
        <v>356133.85714285716</v>
      </c>
    </row>
    <row r="787" spans="1:18">
      <c r="A787" s="1">
        <v>2</v>
      </c>
      <c r="B787" s="1" t="str">
        <f>"قطعات و لوازم يدكي"</f>
        <v>قطعات و لوازم يدكي</v>
      </c>
      <c r="C787" s="1">
        <v>101</v>
      </c>
      <c r="D787" s="1" t="str">
        <f>"انبار قطعات و لوازم يدكي اصفهان"</f>
        <v>انبار قطعات و لوازم يدكي اصفهان</v>
      </c>
      <c r="E787" s="1" t="str">
        <f>"7662100842"</f>
        <v>7662100842</v>
      </c>
      <c r="F787" s="1" t="str">
        <f>"فلنج كور 14 اينچ كلاس 150"</f>
        <v>فلنج كور 14 اينچ كلاس 150</v>
      </c>
      <c r="G787" s="1" t="str">
        <f>"عدد"</f>
        <v>عدد</v>
      </c>
      <c r="H787" s="1">
        <v>2</v>
      </c>
      <c r="I787" s="1">
        <v>4600000</v>
      </c>
      <c r="J787" s="1">
        <v>0</v>
      </c>
      <c r="K787" s="1">
        <v>0</v>
      </c>
      <c r="L787" s="1">
        <v>0</v>
      </c>
      <c r="M787" s="1">
        <v>0</v>
      </c>
      <c r="O787" s="1">
        <v>97</v>
      </c>
      <c r="P787" s="4">
        <f t="shared" si="36"/>
        <v>4600000</v>
      </c>
      <c r="Q787" s="4">
        <f t="shared" si="37"/>
        <v>2</v>
      </c>
      <c r="R787" s="4">
        <f t="shared" si="38"/>
        <v>2300000</v>
      </c>
    </row>
    <row r="788" spans="1:18" hidden="1">
      <c r="A788" s="1">
        <v>2</v>
      </c>
      <c r="B788" s="1" t="str">
        <f>"قطعات و لوازم يدكي"</f>
        <v>قطعات و لوازم يدكي</v>
      </c>
      <c r="C788" s="1">
        <v>101</v>
      </c>
      <c r="D788" s="1" t="str">
        <f>"انبار قطعات و لوازم يدكي اصفهان"</f>
        <v>انبار قطعات و لوازم يدكي اصفهان</v>
      </c>
      <c r="E788" s="1" t="str">
        <f>"7662101282"</f>
        <v>7662101282</v>
      </c>
      <c r="F788" s="1" t="s">
        <v>44</v>
      </c>
      <c r="G788" s="1" t="str">
        <f>"عدد"</f>
        <v>عدد</v>
      </c>
      <c r="H788" s="1">
        <v>0</v>
      </c>
      <c r="I788" s="1">
        <v>0</v>
      </c>
      <c r="J788" s="1">
        <v>2</v>
      </c>
      <c r="K788" s="1">
        <v>7600000</v>
      </c>
      <c r="L788" s="1">
        <v>2</v>
      </c>
      <c r="M788" s="1">
        <v>7600000</v>
      </c>
      <c r="O788" s="1">
        <v>97</v>
      </c>
      <c r="P788" s="1">
        <f t="shared" si="36"/>
        <v>0</v>
      </c>
      <c r="Q788" s="1">
        <f t="shared" si="37"/>
        <v>0</v>
      </c>
      <c r="R788" s="1" t="e">
        <f t="shared" si="38"/>
        <v>#DIV/0!</v>
      </c>
    </row>
    <row r="789" spans="1:18">
      <c r="A789" s="1">
        <v>2</v>
      </c>
      <c r="B789" s="1" t="str">
        <f>"قطعات و لوازم يدكي"</f>
        <v>قطعات و لوازم يدكي</v>
      </c>
      <c r="C789" s="1">
        <v>101</v>
      </c>
      <c r="D789" s="1" t="str">
        <f>"انبار قطعات و لوازم يدكي اصفهان"</f>
        <v>انبار قطعات و لوازم يدكي اصفهان</v>
      </c>
      <c r="E789" s="1" t="str">
        <f>"7662301202"</f>
        <v>7662301202</v>
      </c>
      <c r="F789" s="1" t="str">
        <f>"فلنج سيليپون 2 اينچ کلاس 300"</f>
        <v>فلنج سيليپون 2 اينچ کلاس 300</v>
      </c>
      <c r="G789" s="1" t="str">
        <f>"عدد"</f>
        <v>عدد</v>
      </c>
      <c r="H789" s="1">
        <v>5</v>
      </c>
      <c r="I789" s="1">
        <v>1250000</v>
      </c>
      <c r="J789" s="1">
        <v>0</v>
      </c>
      <c r="K789" s="1">
        <v>0</v>
      </c>
      <c r="L789" s="1">
        <v>0</v>
      </c>
      <c r="M789" s="1">
        <v>0</v>
      </c>
      <c r="O789" s="1">
        <v>97</v>
      </c>
      <c r="P789" s="4">
        <f t="shared" si="36"/>
        <v>1250000</v>
      </c>
      <c r="Q789" s="4">
        <f t="shared" si="37"/>
        <v>5</v>
      </c>
      <c r="R789" s="4">
        <f t="shared" si="38"/>
        <v>250000</v>
      </c>
    </row>
    <row r="790" spans="1:18" hidden="1">
      <c r="A790" s="1">
        <v>2</v>
      </c>
      <c r="B790" s="1" t="str">
        <f>"قطعات و لوازم يدكي"</f>
        <v>قطعات و لوازم يدكي</v>
      </c>
      <c r="C790" s="1">
        <v>101</v>
      </c>
      <c r="D790" s="1" t="str">
        <f>"انبار قطعات و لوازم يدكي اصفهان"</f>
        <v>انبار قطعات و لوازم يدكي اصفهان</v>
      </c>
      <c r="E790" s="1" t="str">
        <f>"7662700012"</f>
        <v>7662700012</v>
      </c>
      <c r="F790" s="1" t="s">
        <v>45</v>
      </c>
      <c r="G790" s="1" t="str">
        <f>"عدد"</f>
        <v>عدد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O790" s="1">
        <v>97</v>
      </c>
      <c r="P790" s="1">
        <f t="shared" si="36"/>
        <v>0</v>
      </c>
      <c r="Q790" s="1">
        <f t="shared" si="37"/>
        <v>0</v>
      </c>
      <c r="R790" s="1" t="e">
        <f t="shared" si="38"/>
        <v>#DIV/0!</v>
      </c>
    </row>
    <row r="791" spans="1:18">
      <c r="A791" s="1">
        <v>2</v>
      </c>
      <c r="B791" s="1" t="str">
        <f>"قطعات و لوازم يدكي"</f>
        <v>قطعات و لوازم يدكي</v>
      </c>
      <c r="C791" s="1">
        <v>101</v>
      </c>
      <c r="D791" s="1" t="str">
        <f>"انبار قطعات و لوازم يدكي اصفهان"</f>
        <v>انبار قطعات و لوازم يدكي اصفهان</v>
      </c>
      <c r="E791" s="1" t="str">
        <f>"7662701162"</f>
        <v>7662701162</v>
      </c>
      <c r="F791" s="1" t="s">
        <v>46</v>
      </c>
      <c r="G791" s="1" t="str">
        <f>"عدد"</f>
        <v>عدد</v>
      </c>
      <c r="H791" s="1">
        <v>13</v>
      </c>
      <c r="I791" s="1">
        <v>1820000</v>
      </c>
      <c r="J791" s="1">
        <v>10</v>
      </c>
      <c r="K791" s="1">
        <v>5950000</v>
      </c>
      <c r="L791" s="1">
        <v>10</v>
      </c>
      <c r="M791" s="1">
        <v>1400000</v>
      </c>
      <c r="O791" s="1">
        <v>97</v>
      </c>
      <c r="P791" s="4">
        <f t="shared" si="36"/>
        <v>6370000</v>
      </c>
      <c r="Q791" s="4">
        <f t="shared" si="37"/>
        <v>13</v>
      </c>
      <c r="R791" s="4">
        <f t="shared" si="38"/>
        <v>490000</v>
      </c>
    </row>
    <row r="792" spans="1:18">
      <c r="A792" s="1">
        <v>2</v>
      </c>
      <c r="B792" s="1" t="str">
        <f>"قطعات و لوازم يدكي"</f>
        <v>قطعات و لوازم يدكي</v>
      </c>
      <c r="C792" s="1">
        <v>101</v>
      </c>
      <c r="D792" s="1" t="str">
        <f>"انبار قطعات و لوازم يدكي اصفهان"</f>
        <v>انبار قطعات و لوازم يدكي اصفهان</v>
      </c>
      <c r="E792" s="1" t="str">
        <f>"7662792422"</f>
        <v>7662792422</v>
      </c>
      <c r="F792" s="1" t="s">
        <v>47</v>
      </c>
      <c r="G792" s="1" t="str">
        <f>"عدد"</f>
        <v>عدد</v>
      </c>
      <c r="H792" s="1">
        <v>7</v>
      </c>
      <c r="I792" s="1">
        <v>414000</v>
      </c>
      <c r="J792" s="1">
        <v>0</v>
      </c>
      <c r="K792" s="1">
        <v>0</v>
      </c>
      <c r="L792" s="1">
        <v>0</v>
      </c>
      <c r="M792" s="1">
        <v>0</v>
      </c>
      <c r="O792" s="1">
        <v>97</v>
      </c>
      <c r="P792" s="4">
        <f t="shared" si="36"/>
        <v>414000</v>
      </c>
      <c r="Q792" s="4">
        <f t="shared" si="37"/>
        <v>7</v>
      </c>
      <c r="R792" s="4">
        <f t="shared" si="38"/>
        <v>59142.857142857145</v>
      </c>
    </row>
    <row r="793" spans="1:18">
      <c r="A793" s="1">
        <v>2</v>
      </c>
      <c r="B793" s="1" t="str">
        <f>"قطعات و لوازم يدكي"</f>
        <v>قطعات و لوازم يدكي</v>
      </c>
      <c r="C793" s="1">
        <v>101</v>
      </c>
      <c r="D793" s="1" t="str">
        <f>"انبار قطعات و لوازم يدكي اصفهان"</f>
        <v>انبار قطعات و لوازم يدكي اصفهان</v>
      </c>
      <c r="E793" s="1" t="str">
        <f>"7662792542"</f>
        <v>7662792542</v>
      </c>
      <c r="F793" s="1" t="str">
        <f>"فلنج 4اينچwnكلاس 150"</f>
        <v>فلنج 4اينچwnكلاس 150</v>
      </c>
      <c r="G793" s="1" t="str">
        <f>"عدد"</f>
        <v>عدد</v>
      </c>
      <c r="H793" s="1">
        <v>8</v>
      </c>
      <c r="I793" s="1">
        <v>16266667</v>
      </c>
      <c r="J793" s="1">
        <v>9</v>
      </c>
      <c r="K793" s="1">
        <v>6525000</v>
      </c>
      <c r="L793" s="1">
        <v>10</v>
      </c>
      <c r="M793" s="1">
        <v>17716667</v>
      </c>
      <c r="O793" s="1">
        <v>97</v>
      </c>
      <c r="P793" s="4">
        <f t="shared" si="36"/>
        <v>5075000</v>
      </c>
      <c r="Q793" s="4">
        <f t="shared" si="37"/>
        <v>7</v>
      </c>
      <c r="R793" s="4">
        <f t="shared" si="38"/>
        <v>725000</v>
      </c>
    </row>
    <row r="794" spans="1:18">
      <c r="A794" s="1">
        <v>2</v>
      </c>
      <c r="B794" s="1" t="str">
        <f>"قطعات و لوازم يدكي"</f>
        <v>قطعات و لوازم يدكي</v>
      </c>
      <c r="C794" s="1">
        <v>101</v>
      </c>
      <c r="D794" s="1" t="str">
        <f>"انبار قطعات و لوازم يدكي اصفهان"</f>
        <v>انبار قطعات و لوازم يدكي اصفهان</v>
      </c>
      <c r="E794" s="1" t="str">
        <f>"7662792642"</f>
        <v>7662792642</v>
      </c>
      <c r="F794" s="1" t="str">
        <f>"فلنج14 اينچ 150"</f>
        <v>فلنج14 اينچ 150</v>
      </c>
      <c r="G794" s="1" t="str">
        <f>"عدد"</f>
        <v>عدد</v>
      </c>
      <c r="H794" s="1">
        <v>4</v>
      </c>
      <c r="I794" s="1">
        <v>5648713</v>
      </c>
      <c r="J794" s="1">
        <v>0</v>
      </c>
      <c r="K794" s="1">
        <v>0</v>
      </c>
      <c r="L794" s="1">
        <v>0</v>
      </c>
      <c r="M794" s="1">
        <v>0</v>
      </c>
      <c r="O794" s="1">
        <v>97</v>
      </c>
      <c r="P794" s="4">
        <f t="shared" si="36"/>
        <v>5648713</v>
      </c>
      <c r="Q794" s="4">
        <f t="shared" si="37"/>
        <v>4</v>
      </c>
      <c r="R794" s="4">
        <f t="shared" si="38"/>
        <v>1412178.25</v>
      </c>
    </row>
    <row r="795" spans="1:18" hidden="1">
      <c r="A795" s="1">
        <v>2</v>
      </c>
      <c r="B795" s="1" t="str">
        <f>"قطعات و لوازم يدكي"</f>
        <v>قطعات و لوازم يدكي</v>
      </c>
      <c r="C795" s="1">
        <v>101</v>
      </c>
      <c r="D795" s="1" t="str">
        <f>"انبار قطعات و لوازم يدكي اصفهان"</f>
        <v>انبار قطعات و لوازم يدكي اصفهان</v>
      </c>
      <c r="E795" s="1" t="str">
        <f>"7843520992"</f>
        <v>7843520992</v>
      </c>
      <c r="F795" s="1" t="str">
        <f>"توري چهار گوش"</f>
        <v>توري چهار گوش</v>
      </c>
      <c r="G795" s="1" t="str">
        <f>"SH"</f>
        <v>SH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O795" s="1">
        <v>97</v>
      </c>
      <c r="P795" s="1">
        <f t="shared" si="36"/>
        <v>0</v>
      </c>
      <c r="Q795" s="1">
        <f t="shared" si="37"/>
        <v>0</v>
      </c>
      <c r="R795" s="1" t="e">
        <f t="shared" si="38"/>
        <v>#DIV/0!</v>
      </c>
    </row>
    <row r="796" spans="1:18" hidden="1">
      <c r="A796" s="1">
        <v>2</v>
      </c>
      <c r="B796" s="1" t="str">
        <f>"قطعات و لوازم يدكي"</f>
        <v>قطعات و لوازم يدكي</v>
      </c>
      <c r="C796" s="1">
        <v>101</v>
      </c>
      <c r="D796" s="1" t="str">
        <f>"انبار قطعات و لوازم يدكي اصفهان"</f>
        <v>انبار قطعات و لوازم يدكي اصفهان</v>
      </c>
      <c r="E796" s="1" t="str">
        <f>"8100000082"</f>
        <v>8100000082</v>
      </c>
      <c r="F796" s="1" t="str">
        <f>"رول پلاک 8 * 2 بسته 50 عددي"</f>
        <v>رول پلاک 8 * 2 بسته 50 عددي</v>
      </c>
      <c r="G796" s="1" t="str">
        <f>"عدد"</f>
        <v>عدد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O796" s="1">
        <v>97</v>
      </c>
      <c r="P796" s="1">
        <f t="shared" si="36"/>
        <v>0</v>
      </c>
      <c r="Q796" s="1">
        <f t="shared" si="37"/>
        <v>0</v>
      </c>
      <c r="R796" s="1" t="e">
        <f t="shared" si="38"/>
        <v>#DIV/0!</v>
      </c>
    </row>
    <row r="797" spans="1:18" hidden="1">
      <c r="A797" s="1">
        <v>2</v>
      </c>
      <c r="B797" s="1" t="str">
        <f>"قطعات و لوازم يدكي"</f>
        <v>قطعات و لوازم يدكي</v>
      </c>
      <c r="C797" s="1">
        <v>101</v>
      </c>
      <c r="D797" s="1" t="str">
        <f>"انبار قطعات و لوازم يدكي اصفهان"</f>
        <v>انبار قطعات و لوازم يدكي اصفهان</v>
      </c>
      <c r="E797" s="1" t="str">
        <f>"8100000092"</f>
        <v>8100000092</v>
      </c>
      <c r="F797" s="1" t="str">
        <f>"پيچ و رول پلاک 10 بسته 50 عددي"</f>
        <v>پيچ و رول پلاک 10 بسته 50 عددي</v>
      </c>
      <c r="G797" s="1" t="str">
        <f>"عدد"</f>
        <v>عدد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O797" s="1">
        <v>97</v>
      </c>
      <c r="P797" s="1">
        <f t="shared" si="36"/>
        <v>0</v>
      </c>
      <c r="Q797" s="1">
        <f t="shared" si="37"/>
        <v>0</v>
      </c>
      <c r="R797" s="1" t="e">
        <f t="shared" si="38"/>
        <v>#DIV/0!</v>
      </c>
    </row>
    <row r="798" spans="1:18">
      <c r="A798" s="1">
        <v>2</v>
      </c>
      <c r="B798" s="1" t="str">
        <f>"قطعات و لوازم يدكي"</f>
        <v>قطعات و لوازم يدكي</v>
      </c>
      <c r="C798" s="1">
        <v>101</v>
      </c>
      <c r="D798" s="1" t="str">
        <f>"انبار قطعات و لوازم يدكي اصفهان"</f>
        <v>انبار قطعات و لوازم يدكي اصفهان</v>
      </c>
      <c r="E798" s="1" t="str">
        <f>"8100000122"</f>
        <v>8100000122</v>
      </c>
      <c r="F798" s="1" t="str">
        <f>"يو بولت 4 اينچ"</f>
        <v>يو بولت 4 اينچ</v>
      </c>
      <c r="G798" s="1" t="str">
        <f>"عدد"</f>
        <v>عدد</v>
      </c>
      <c r="H798" s="1">
        <v>7</v>
      </c>
      <c r="I798" s="1">
        <v>84000</v>
      </c>
      <c r="J798" s="1">
        <v>0</v>
      </c>
      <c r="K798" s="1">
        <v>0</v>
      </c>
      <c r="L798" s="1">
        <v>0</v>
      </c>
      <c r="M798" s="1">
        <v>0</v>
      </c>
      <c r="O798" s="1">
        <v>97</v>
      </c>
      <c r="P798" s="4">
        <f t="shared" si="36"/>
        <v>84000</v>
      </c>
      <c r="Q798" s="4">
        <f t="shared" si="37"/>
        <v>7</v>
      </c>
      <c r="R798" s="4">
        <f t="shared" si="38"/>
        <v>12000</v>
      </c>
    </row>
    <row r="799" spans="1:18" hidden="1">
      <c r="A799" s="1">
        <v>2</v>
      </c>
      <c r="B799" s="1" t="str">
        <f>"قطعات و لوازم يدكي"</f>
        <v>قطعات و لوازم يدكي</v>
      </c>
      <c r="C799" s="1">
        <v>101</v>
      </c>
      <c r="D799" s="1" t="str">
        <f>"انبار قطعات و لوازم يدكي اصفهان"</f>
        <v>انبار قطعات و لوازم يدكي اصفهان</v>
      </c>
      <c r="E799" s="1" t="str">
        <f>"8100000132"</f>
        <v>8100000132</v>
      </c>
      <c r="F799" s="1" t="str">
        <f>"ماشين بولت 60*16"</f>
        <v>ماشين بولت 60*16</v>
      </c>
      <c r="G799" s="1" t="str">
        <f>"عدد"</f>
        <v>عدد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O799" s="1">
        <v>97</v>
      </c>
      <c r="P799" s="1">
        <f t="shared" si="36"/>
        <v>0</v>
      </c>
      <c r="Q799" s="1">
        <f t="shared" si="37"/>
        <v>0</v>
      </c>
      <c r="R799" s="1" t="e">
        <f t="shared" si="38"/>
        <v>#DIV/0!</v>
      </c>
    </row>
    <row r="800" spans="1:18" hidden="1">
      <c r="A800" s="1">
        <v>2</v>
      </c>
      <c r="B800" s="1" t="str">
        <f>"قطعات و لوازم يدكي"</f>
        <v>قطعات و لوازم يدكي</v>
      </c>
      <c r="C800" s="1">
        <v>101</v>
      </c>
      <c r="D800" s="1" t="str">
        <f>"انبار قطعات و لوازم يدكي اصفهان"</f>
        <v>انبار قطعات و لوازم يدكي اصفهان</v>
      </c>
      <c r="E800" s="1" t="str">
        <f>"8100000152"</f>
        <v>8100000152</v>
      </c>
      <c r="F800" s="1" t="str">
        <f>"I BOLT 10"</f>
        <v>I BOLT 10</v>
      </c>
      <c r="G800" s="1" t="str">
        <f>"عدد"</f>
        <v>عدد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O800" s="1">
        <v>97</v>
      </c>
      <c r="P800" s="1">
        <f t="shared" si="36"/>
        <v>0</v>
      </c>
      <c r="Q800" s="1">
        <f t="shared" si="37"/>
        <v>0</v>
      </c>
      <c r="R800" s="1" t="e">
        <f t="shared" si="38"/>
        <v>#DIV/0!</v>
      </c>
    </row>
    <row r="801" spans="1:18">
      <c r="A801" s="1">
        <v>2</v>
      </c>
      <c r="B801" s="1" t="str">
        <f>"قطعات و لوازم يدكي"</f>
        <v>قطعات و لوازم يدكي</v>
      </c>
      <c r="C801" s="1">
        <v>101</v>
      </c>
      <c r="D801" s="1" t="str">
        <f>"انبار قطعات و لوازم يدكي اصفهان"</f>
        <v>انبار قطعات و لوازم يدكي اصفهان</v>
      </c>
      <c r="E801" s="1" t="str">
        <f>"8101012612"</f>
        <v>8101012612</v>
      </c>
      <c r="F801" s="1" t="str">
        <f>"پيچ آلن 3/5*6"</f>
        <v>پيچ آلن 3/5*6</v>
      </c>
      <c r="G801" s="1" t="str">
        <f>"عدد"</f>
        <v>عدد</v>
      </c>
      <c r="H801" s="1">
        <v>38</v>
      </c>
      <c r="I801" s="1">
        <v>28500</v>
      </c>
      <c r="J801" s="1">
        <v>0</v>
      </c>
      <c r="K801" s="1">
        <v>0</v>
      </c>
      <c r="L801" s="1">
        <v>0</v>
      </c>
      <c r="M801" s="1">
        <v>0</v>
      </c>
      <c r="O801" s="1">
        <v>97</v>
      </c>
      <c r="P801" s="4">
        <f t="shared" si="36"/>
        <v>28500</v>
      </c>
      <c r="Q801" s="4">
        <f t="shared" si="37"/>
        <v>38</v>
      </c>
      <c r="R801" s="4">
        <f t="shared" si="38"/>
        <v>750</v>
      </c>
    </row>
    <row r="802" spans="1:18">
      <c r="A802" s="1">
        <v>2</v>
      </c>
      <c r="B802" s="1" t="str">
        <f>"قطعات و لوازم يدكي"</f>
        <v>قطعات و لوازم يدكي</v>
      </c>
      <c r="C802" s="1">
        <v>101</v>
      </c>
      <c r="D802" s="1" t="str">
        <f>"انبار قطعات و لوازم يدكي اصفهان"</f>
        <v>انبار قطعات و لوازم يدكي اصفهان</v>
      </c>
      <c r="E802" s="1" t="str">
        <f>"8138612122"</f>
        <v>8138612122</v>
      </c>
      <c r="F802" s="1" t="str">
        <f>"پيچ نگهدارنده 1/2 اينچ 70mm"</f>
        <v>پيچ نگهدارنده 1/2 اينچ 70mm</v>
      </c>
      <c r="G802" s="1" t="str">
        <f>"عدد"</f>
        <v>عدد</v>
      </c>
      <c r="H802" s="1">
        <v>30</v>
      </c>
      <c r="I802" s="1">
        <v>416096</v>
      </c>
      <c r="J802" s="1">
        <v>394</v>
      </c>
      <c r="K802" s="1">
        <v>15000451</v>
      </c>
      <c r="L802" s="1">
        <v>256</v>
      </c>
      <c r="M802" s="1">
        <v>8064825</v>
      </c>
      <c r="O802" s="1">
        <v>97</v>
      </c>
      <c r="P802" s="4">
        <f t="shared" si="36"/>
        <v>7351722</v>
      </c>
      <c r="Q802" s="4">
        <f t="shared" si="37"/>
        <v>168</v>
      </c>
      <c r="R802" s="4">
        <f t="shared" si="38"/>
        <v>43760.25</v>
      </c>
    </row>
    <row r="803" spans="1:18">
      <c r="A803" s="1">
        <v>2</v>
      </c>
      <c r="B803" s="1" t="str">
        <f>"قطعات و لوازم يدكي"</f>
        <v>قطعات و لوازم يدكي</v>
      </c>
      <c r="C803" s="1">
        <v>101</v>
      </c>
      <c r="D803" s="1" t="str">
        <f>"انبار قطعات و لوازم يدكي اصفهان"</f>
        <v>انبار قطعات و لوازم يدكي اصفهان</v>
      </c>
      <c r="E803" s="1" t="str">
        <f>"8138615682"</f>
        <v>8138615682</v>
      </c>
      <c r="F803" s="1" t="str">
        <f>"پيچ نگهدارنده 7/8 اينچ 130mm"</f>
        <v>پيچ نگهدارنده 7/8 اينچ 130mm</v>
      </c>
      <c r="G803" s="1" t="str">
        <f>"عدد"</f>
        <v>عدد</v>
      </c>
      <c r="H803" s="1">
        <v>80</v>
      </c>
      <c r="I803" s="1">
        <v>4861513</v>
      </c>
      <c r="J803" s="1">
        <v>79</v>
      </c>
      <c r="K803" s="1">
        <v>10094609</v>
      </c>
      <c r="L803" s="1">
        <v>102</v>
      </c>
      <c r="M803" s="1">
        <v>9116307</v>
      </c>
      <c r="O803" s="1">
        <v>97</v>
      </c>
      <c r="P803" s="4">
        <f t="shared" si="36"/>
        <v>5839815</v>
      </c>
      <c r="Q803" s="4">
        <f t="shared" si="37"/>
        <v>57</v>
      </c>
      <c r="R803" s="4">
        <f t="shared" si="38"/>
        <v>102452.89473684211</v>
      </c>
    </row>
    <row r="804" spans="1:18">
      <c r="A804" s="1">
        <v>2</v>
      </c>
      <c r="B804" s="1" t="str">
        <f>"قطعات و لوازم يدكي"</f>
        <v>قطعات و لوازم يدكي</v>
      </c>
      <c r="C804" s="1">
        <v>101</v>
      </c>
      <c r="D804" s="1" t="str">
        <f>"انبار قطعات و لوازم يدكي اصفهان"</f>
        <v>انبار قطعات و لوازم يدكي اصفهان</v>
      </c>
      <c r="E804" s="1" t="str">
        <f>"8138615822"</f>
        <v>8138615822</v>
      </c>
      <c r="F804" s="1" t="str">
        <f>"STUD BOLT 7/8*200MM"</f>
        <v>STUD BOLT 7/8*200MM</v>
      </c>
      <c r="G804" s="1" t="str">
        <f>"عدد"</f>
        <v>عدد</v>
      </c>
      <c r="H804" s="1">
        <v>32</v>
      </c>
      <c r="I804" s="1">
        <v>2624000</v>
      </c>
      <c r="J804" s="1">
        <v>129</v>
      </c>
      <c r="K804" s="1">
        <v>20825805</v>
      </c>
      <c r="L804" s="1">
        <v>49</v>
      </c>
      <c r="M804" s="1">
        <v>6081320</v>
      </c>
      <c r="O804" s="1">
        <v>97</v>
      </c>
      <c r="P804" s="4">
        <f t="shared" si="36"/>
        <v>17368485</v>
      </c>
      <c r="Q804" s="4">
        <f t="shared" si="37"/>
        <v>112</v>
      </c>
      <c r="R804" s="4">
        <f t="shared" si="38"/>
        <v>155075.75892857142</v>
      </c>
    </row>
    <row r="805" spans="1:18">
      <c r="A805" s="1">
        <v>2</v>
      </c>
      <c r="B805" s="1" t="str">
        <f>"قطعات و لوازم يدكي"</f>
        <v>قطعات و لوازم يدكي</v>
      </c>
      <c r="C805" s="1">
        <v>101</v>
      </c>
      <c r="D805" s="1" t="str">
        <f>"انبار قطعات و لوازم يدكي اصفهان"</f>
        <v>انبار قطعات و لوازم يدكي اصفهان</v>
      </c>
      <c r="E805" s="1" t="str">
        <f>"8138620142"</f>
        <v>8138620142</v>
      </c>
      <c r="F805" s="1" t="str">
        <f>"پيچ نگهدارنده 1/8-1 اينچ *160 ميليمتر"</f>
        <v>پيچ نگهدارنده 1/8-1 اينچ *160 ميليمتر</v>
      </c>
      <c r="G805" s="1" t="str">
        <f>"عدد"</f>
        <v>عدد</v>
      </c>
      <c r="H805" s="1">
        <v>81</v>
      </c>
      <c r="I805" s="1">
        <v>12277285</v>
      </c>
      <c r="J805" s="1">
        <v>22</v>
      </c>
      <c r="K805" s="1">
        <v>3334571</v>
      </c>
      <c r="L805" s="1">
        <v>59</v>
      </c>
      <c r="M805" s="1">
        <v>8942714</v>
      </c>
      <c r="O805" s="1">
        <v>97</v>
      </c>
      <c r="P805" s="4">
        <f t="shared" si="36"/>
        <v>6669142</v>
      </c>
      <c r="Q805" s="4">
        <f t="shared" si="37"/>
        <v>44</v>
      </c>
      <c r="R805" s="4">
        <f t="shared" si="38"/>
        <v>151571.40909090909</v>
      </c>
    </row>
    <row r="806" spans="1:18">
      <c r="A806" s="1">
        <v>2</v>
      </c>
      <c r="B806" s="1" t="str">
        <f>"قطعات و لوازم يدكي"</f>
        <v>قطعات و لوازم يدكي</v>
      </c>
      <c r="C806" s="1">
        <v>101</v>
      </c>
      <c r="D806" s="1" t="str">
        <f>"انبار قطعات و لوازم يدكي اصفهان"</f>
        <v>انبار قطعات و لوازم يدكي اصفهان</v>
      </c>
      <c r="E806" s="1" t="str">
        <f>"8178010282"</f>
        <v>8178010282</v>
      </c>
      <c r="F806" s="1" t="s">
        <v>48</v>
      </c>
      <c r="G806" s="1" t="str">
        <f>"عدد"</f>
        <v>عدد</v>
      </c>
      <c r="H806" s="1">
        <v>94</v>
      </c>
      <c r="I806" s="1">
        <v>164500</v>
      </c>
      <c r="J806" s="1">
        <v>0</v>
      </c>
      <c r="K806" s="1">
        <v>0</v>
      </c>
      <c r="L806" s="1">
        <v>0</v>
      </c>
      <c r="M806" s="1">
        <v>0</v>
      </c>
      <c r="O806" s="1">
        <v>97</v>
      </c>
      <c r="P806" s="4">
        <f t="shared" si="36"/>
        <v>164500</v>
      </c>
      <c r="Q806" s="4">
        <f t="shared" si="37"/>
        <v>94</v>
      </c>
      <c r="R806" s="4">
        <f t="shared" si="38"/>
        <v>1750</v>
      </c>
    </row>
    <row r="807" spans="1:18">
      <c r="A807" s="1">
        <v>2</v>
      </c>
      <c r="B807" s="1" t="str">
        <f>"قطعات و لوازم يدكي"</f>
        <v>قطعات و لوازم يدكي</v>
      </c>
      <c r="C807" s="1">
        <v>101</v>
      </c>
      <c r="D807" s="1" t="str">
        <f>"انبار قطعات و لوازم يدكي اصفهان"</f>
        <v>انبار قطعات و لوازم يدكي اصفهان</v>
      </c>
      <c r="E807" s="1" t="str">
        <f>"8178010322"</f>
        <v>8178010322</v>
      </c>
      <c r="F807" s="1" t="s">
        <v>49</v>
      </c>
      <c r="G807" s="1" t="str">
        <f>"عدد"</f>
        <v>عدد</v>
      </c>
      <c r="H807" s="1">
        <v>100</v>
      </c>
      <c r="I807" s="1">
        <v>270000</v>
      </c>
      <c r="J807" s="1">
        <v>0</v>
      </c>
      <c r="K807" s="1">
        <v>0</v>
      </c>
      <c r="L807" s="1">
        <v>0</v>
      </c>
      <c r="M807" s="1">
        <v>0</v>
      </c>
      <c r="O807" s="1">
        <v>97</v>
      </c>
      <c r="P807" s="4">
        <f t="shared" si="36"/>
        <v>270000</v>
      </c>
      <c r="Q807" s="4">
        <f t="shared" si="37"/>
        <v>100</v>
      </c>
      <c r="R807" s="4">
        <f t="shared" si="38"/>
        <v>2700</v>
      </c>
    </row>
    <row r="808" spans="1:18">
      <c r="A808" s="1">
        <v>2</v>
      </c>
      <c r="B808" s="1" t="str">
        <f>"قطعات و لوازم يدكي"</f>
        <v>قطعات و لوازم يدكي</v>
      </c>
      <c r="C808" s="1">
        <v>101</v>
      </c>
      <c r="D808" s="1" t="str">
        <f>"انبار قطعات و لوازم يدكي اصفهان"</f>
        <v>انبار قطعات و لوازم يدكي اصفهان</v>
      </c>
      <c r="E808" s="1" t="str">
        <f>"7401020022"</f>
        <v>7401020022</v>
      </c>
      <c r="F808" s="1" t="str">
        <f>"بست چنگالي 2 اينچ"</f>
        <v>بست چنگالي 2 اينچ</v>
      </c>
      <c r="G808" s="1" t="str">
        <f>"عدد"</f>
        <v>عدد</v>
      </c>
      <c r="H808" s="1">
        <v>200</v>
      </c>
      <c r="I808" s="1">
        <v>8000000</v>
      </c>
      <c r="J808" s="1">
        <v>0</v>
      </c>
      <c r="K808" s="1">
        <v>0</v>
      </c>
      <c r="L808" s="1">
        <v>0</v>
      </c>
      <c r="M808" s="1">
        <v>0</v>
      </c>
      <c r="O808" s="1">
        <v>97</v>
      </c>
      <c r="P808" s="4">
        <f t="shared" si="36"/>
        <v>8000000</v>
      </c>
      <c r="Q808" s="4">
        <f t="shared" si="37"/>
        <v>200</v>
      </c>
      <c r="R808" s="4">
        <f t="shared" si="38"/>
        <v>40000</v>
      </c>
    </row>
    <row r="809" spans="1:18">
      <c r="A809" s="1">
        <v>2</v>
      </c>
      <c r="B809" s="1" t="str">
        <f>"قطعات و لوازم يدكي"</f>
        <v>قطعات و لوازم يدكي</v>
      </c>
      <c r="C809" s="1">
        <v>101</v>
      </c>
      <c r="D809" s="1" t="str">
        <f>"انبار قطعات و لوازم يدكي اصفهان"</f>
        <v>انبار قطعات و لوازم يدكي اصفهان</v>
      </c>
      <c r="E809" s="1" t="str">
        <f>"7401020032"</f>
        <v>7401020032</v>
      </c>
      <c r="F809" s="1" t="str">
        <f>"بست چنگالي 3/4 اينچ"</f>
        <v>بست چنگالي 3/4 اينچ</v>
      </c>
      <c r="G809" s="1" t="str">
        <f>"عدد"</f>
        <v>عدد</v>
      </c>
      <c r="H809" s="1">
        <v>170</v>
      </c>
      <c r="I809" s="1">
        <v>5100000</v>
      </c>
      <c r="J809" s="1">
        <v>1</v>
      </c>
      <c r="K809" s="1">
        <v>30000</v>
      </c>
      <c r="L809" s="1">
        <v>1</v>
      </c>
      <c r="M809" s="1">
        <v>30000</v>
      </c>
      <c r="O809" s="1">
        <v>97</v>
      </c>
      <c r="P809" s="4">
        <f t="shared" si="36"/>
        <v>5100000</v>
      </c>
      <c r="Q809" s="4">
        <f t="shared" si="37"/>
        <v>170</v>
      </c>
      <c r="R809" s="4">
        <f t="shared" si="38"/>
        <v>30000</v>
      </c>
    </row>
    <row r="810" spans="1:18">
      <c r="A810" s="1">
        <v>2</v>
      </c>
      <c r="B810" s="1" t="str">
        <f>"قطعات و لوازم يدكي"</f>
        <v>قطعات و لوازم يدكي</v>
      </c>
      <c r="C810" s="1">
        <v>101</v>
      </c>
      <c r="D810" s="1" t="str">
        <f>"انبار قطعات و لوازم يدكي اصفهان"</f>
        <v>انبار قطعات و لوازم يدكي اصفهان</v>
      </c>
      <c r="E810" s="1" t="str">
        <f>"7401020052"</f>
        <v>7401020052</v>
      </c>
      <c r="F810" s="1" t="str">
        <f>"PIPE INSUL 3/4 PIPE SEC 50MM"</f>
        <v>PIPE INSUL 3/4 PIPE SEC 50MM</v>
      </c>
      <c r="G810" s="1" t="str">
        <f>"متر"</f>
        <v>متر</v>
      </c>
      <c r="H810" s="1">
        <v>130</v>
      </c>
      <c r="I810" s="1">
        <v>5200000</v>
      </c>
      <c r="J810" s="1">
        <v>0</v>
      </c>
      <c r="K810" s="1">
        <v>0</v>
      </c>
      <c r="L810" s="1">
        <v>0</v>
      </c>
      <c r="M810" s="1">
        <v>0</v>
      </c>
      <c r="O810" s="1">
        <v>97</v>
      </c>
      <c r="P810" s="4">
        <f t="shared" si="36"/>
        <v>5200000</v>
      </c>
      <c r="Q810" s="4">
        <f t="shared" si="37"/>
        <v>130</v>
      </c>
      <c r="R810" s="4">
        <f t="shared" si="38"/>
        <v>40000</v>
      </c>
    </row>
    <row r="811" spans="1:18">
      <c r="A811" s="1">
        <v>2</v>
      </c>
      <c r="B811" s="1" t="str">
        <f>"قطعات و لوازم يدكي"</f>
        <v>قطعات و لوازم يدكي</v>
      </c>
      <c r="C811" s="1">
        <v>101</v>
      </c>
      <c r="D811" s="1" t="str">
        <f>"انبار قطعات و لوازم يدكي اصفهان"</f>
        <v>انبار قطعات و لوازم يدكي اصفهان</v>
      </c>
      <c r="E811" s="1" t="str">
        <f>"7413210772"</f>
        <v>7413210772</v>
      </c>
      <c r="F811" s="1" t="str">
        <f>"لوله-2 sh 80 A-106"</f>
        <v>لوله-2 sh 80 A-106</v>
      </c>
      <c r="G811" s="1" t="str">
        <f>"فوت"</f>
        <v>فوت</v>
      </c>
      <c r="H811" s="1">
        <v>140</v>
      </c>
      <c r="I811" s="1">
        <v>9604875</v>
      </c>
      <c r="J811" s="1">
        <v>400</v>
      </c>
      <c r="K811" s="1">
        <v>156000000</v>
      </c>
      <c r="L811" s="1">
        <v>140</v>
      </c>
      <c r="M811" s="1">
        <v>21291921</v>
      </c>
      <c r="O811" s="1">
        <v>97</v>
      </c>
      <c r="P811" s="4">
        <f t="shared" si="36"/>
        <v>144312954</v>
      </c>
      <c r="Q811" s="4">
        <f t="shared" si="37"/>
        <v>400</v>
      </c>
      <c r="R811" s="4">
        <f t="shared" si="38"/>
        <v>360782.38500000001</v>
      </c>
    </row>
    <row r="812" spans="1:18" hidden="1">
      <c r="A812" s="1">
        <v>2</v>
      </c>
      <c r="B812" s="1" t="str">
        <f>"قطعات و لوازم يدكي"</f>
        <v>قطعات و لوازم يدكي</v>
      </c>
      <c r="C812" s="1">
        <v>101</v>
      </c>
      <c r="D812" s="1" t="str">
        <f>"انبار قطعات و لوازم يدكي اصفهان"</f>
        <v>انبار قطعات و لوازم يدكي اصفهان</v>
      </c>
      <c r="E812" s="1" t="str">
        <f>"7413212422"</f>
        <v>7413212422</v>
      </c>
      <c r="F812" s="1" t="str">
        <f>"لوله 12 اينچ رده40"</f>
        <v>لوله 12 اينچ رده40</v>
      </c>
      <c r="G812" s="1" t="str">
        <f>"فوت"</f>
        <v>فوت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O812" s="1">
        <v>97</v>
      </c>
      <c r="P812" s="1">
        <f t="shared" si="36"/>
        <v>0</v>
      </c>
      <c r="Q812" s="1">
        <f t="shared" si="37"/>
        <v>0</v>
      </c>
      <c r="R812" s="1" t="e">
        <f t="shared" si="38"/>
        <v>#DIV/0!</v>
      </c>
    </row>
    <row r="813" spans="1:18">
      <c r="A813" s="1">
        <v>2</v>
      </c>
      <c r="B813" s="1" t="str">
        <f>"قطعات و لوازم يدكي"</f>
        <v>قطعات و لوازم يدكي</v>
      </c>
      <c r="C813" s="1">
        <v>101</v>
      </c>
      <c r="D813" s="1" t="str">
        <f>"انبار قطعات و لوازم يدكي اصفهان"</f>
        <v>انبار قطعات و لوازم يدكي اصفهان</v>
      </c>
      <c r="E813" s="1" t="str">
        <f>"7537131162"</f>
        <v>7537131162</v>
      </c>
      <c r="F813" s="1" t="s">
        <v>50</v>
      </c>
      <c r="G813" s="1" t="str">
        <f>"عدد"</f>
        <v>عدد</v>
      </c>
      <c r="H813" s="1">
        <v>4</v>
      </c>
      <c r="I813" s="1">
        <v>3992662</v>
      </c>
      <c r="J813" s="1">
        <v>0</v>
      </c>
      <c r="K813" s="1">
        <v>0</v>
      </c>
      <c r="L813" s="1">
        <v>0</v>
      </c>
      <c r="M813" s="1">
        <v>0</v>
      </c>
      <c r="O813" s="1">
        <v>97</v>
      </c>
      <c r="P813" s="4">
        <f t="shared" si="36"/>
        <v>3992662</v>
      </c>
      <c r="Q813" s="4">
        <f t="shared" si="37"/>
        <v>4</v>
      </c>
      <c r="R813" s="4">
        <f t="shared" si="38"/>
        <v>998165.5</v>
      </c>
    </row>
    <row r="814" spans="1:18" hidden="1">
      <c r="A814" s="1">
        <v>2</v>
      </c>
      <c r="B814" s="1" t="str">
        <f>"قطعات و لوازم يدكي"</f>
        <v>قطعات و لوازم يدكي</v>
      </c>
      <c r="C814" s="1">
        <v>101</v>
      </c>
      <c r="D814" s="1" t="str">
        <f>"انبار قطعات و لوازم يدكي اصفهان"</f>
        <v>انبار قطعات و لوازم يدكي اصفهان</v>
      </c>
      <c r="E814" s="1" t="str">
        <f>"7537321142"</f>
        <v>7537321142</v>
      </c>
      <c r="F814" s="1" t="str">
        <f>"گيت ولو 1/2-1 کلاس 150"</f>
        <v>گيت ولو 1/2-1 کلاس 150</v>
      </c>
      <c r="G814" s="1" t="str">
        <f>"عدد"</f>
        <v>عدد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O814" s="1">
        <v>97</v>
      </c>
      <c r="P814" s="1">
        <f t="shared" si="36"/>
        <v>0</v>
      </c>
      <c r="Q814" s="1">
        <f t="shared" si="37"/>
        <v>0</v>
      </c>
      <c r="R814" s="1" t="e">
        <f t="shared" si="38"/>
        <v>#DIV/0!</v>
      </c>
    </row>
    <row r="815" spans="1:18">
      <c r="A815" s="1">
        <v>2</v>
      </c>
      <c r="B815" s="1" t="str">
        <f>"قطعات و لوازم يدكي"</f>
        <v>قطعات و لوازم يدكي</v>
      </c>
      <c r="C815" s="1">
        <v>101</v>
      </c>
      <c r="D815" s="1" t="str">
        <f>"انبار قطعات و لوازم يدكي اصفهان"</f>
        <v>انبار قطعات و لوازم يدكي اصفهان</v>
      </c>
      <c r="E815" s="1" t="str">
        <f>"7537331202"</f>
        <v>7537331202</v>
      </c>
      <c r="F815" s="1" t="str">
        <f>"گيت ولو 3اينچ کلاس 300كربن استيل (  gate valve C.S )"</f>
        <v>گيت ولو 3اينچ کلاس 300كربن استيل (  gate valve C.S )</v>
      </c>
      <c r="G815" s="1" t="str">
        <f>"عدد"</f>
        <v>عدد</v>
      </c>
      <c r="H815" s="1">
        <v>3</v>
      </c>
      <c r="I815" s="1">
        <v>41700000</v>
      </c>
      <c r="J815" s="1">
        <v>0</v>
      </c>
      <c r="K815" s="1">
        <v>0</v>
      </c>
      <c r="L815" s="1">
        <v>2</v>
      </c>
      <c r="M815" s="1">
        <v>27800000</v>
      </c>
      <c r="O815" s="1">
        <v>97</v>
      </c>
      <c r="P815" s="4">
        <f t="shared" si="36"/>
        <v>13900000</v>
      </c>
      <c r="Q815" s="4">
        <f t="shared" si="37"/>
        <v>1</v>
      </c>
      <c r="R815" s="4">
        <f t="shared" si="38"/>
        <v>13900000</v>
      </c>
    </row>
    <row r="816" spans="1:18">
      <c r="A816" s="1">
        <v>2</v>
      </c>
      <c r="B816" s="1" t="str">
        <f>"قطعات و لوازم يدكي"</f>
        <v>قطعات و لوازم يدكي</v>
      </c>
      <c r="C816" s="1">
        <v>101</v>
      </c>
      <c r="D816" s="1" t="str">
        <f>"انبار قطعات و لوازم يدكي اصفهان"</f>
        <v>انبار قطعات و لوازم يدكي اصفهان</v>
      </c>
      <c r="E816" s="1" t="str">
        <f>"7556131042"</f>
        <v>7556131042</v>
      </c>
      <c r="F816" s="1" t="str">
        <f>"چك ولو جوشي 1/2 800"</f>
        <v>چك ولو جوشي 1/2 800</v>
      </c>
      <c r="G816" s="1" t="str">
        <f>"عدد"</f>
        <v>عدد</v>
      </c>
      <c r="H816" s="1">
        <v>8</v>
      </c>
      <c r="I816" s="1">
        <v>4080000</v>
      </c>
      <c r="J816" s="1">
        <v>0</v>
      </c>
      <c r="K816" s="1">
        <v>0</v>
      </c>
      <c r="L816" s="1">
        <v>0</v>
      </c>
      <c r="M816" s="1">
        <v>0</v>
      </c>
      <c r="O816" s="1">
        <v>97</v>
      </c>
      <c r="P816" s="4">
        <f t="shared" si="36"/>
        <v>4080000</v>
      </c>
      <c r="Q816" s="4">
        <f t="shared" si="37"/>
        <v>8</v>
      </c>
      <c r="R816" s="4">
        <f t="shared" si="38"/>
        <v>510000</v>
      </c>
    </row>
    <row r="817" spans="1:18">
      <c r="A817" s="1">
        <v>2</v>
      </c>
      <c r="B817" s="1" t="str">
        <f>"قطعات و لوازم يدكي"</f>
        <v>قطعات و لوازم يدكي</v>
      </c>
      <c r="C817" s="1">
        <v>101</v>
      </c>
      <c r="D817" s="1" t="str">
        <f>"انبار قطعات و لوازم يدكي اصفهان"</f>
        <v>انبار قطعات و لوازم يدكي اصفهان</v>
      </c>
      <c r="E817" s="1" t="str">
        <f>"7556131082"</f>
        <v>7556131082</v>
      </c>
      <c r="F817" s="1" t="str">
        <f>"چك ولو 1 اينچ جوشي كلاس 800"</f>
        <v>چك ولو 1 اينچ جوشي كلاس 800</v>
      </c>
      <c r="G817" s="1" t="str">
        <f>"عدد"</f>
        <v>عدد</v>
      </c>
      <c r="H817" s="1">
        <v>4</v>
      </c>
      <c r="I817" s="1">
        <v>3010000</v>
      </c>
      <c r="J817" s="1">
        <v>0</v>
      </c>
      <c r="K817" s="1">
        <v>0</v>
      </c>
      <c r="L817" s="1">
        <v>0</v>
      </c>
      <c r="M817" s="1">
        <v>0</v>
      </c>
      <c r="O817" s="1">
        <v>97</v>
      </c>
      <c r="P817" s="4">
        <f t="shared" si="36"/>
        <v>3010000</v>
      </c>
      <c r="Q817" s="4">
        <f t="shared" si="37"/>
        <v>4</v>
      </c>
      <c r="R817" s="4">
        <f t="shared" si="38"/>
        <v>752500</v>
      </c>
    </row>
    <row r="818" spans="1:18">
      <c r="A818" s="1">
        <v>2</v>
      </c>
      <c r="B818" s="1" t="str">
        <f>"قطعات و لوازم يدكي"</f>
        <v>قطعات و لوازم يدكي</v>
      </c>
      <c r="C818" s="1">
        <v>101</v>
      </c>
      <c r="D818" s="1" t="str">
        <f>"انبار قطعات و لوازم يدكي اصفهان"</f>
        <v>انبار قطعات و لوازم يدكي اصفهان</v>
      </c>
      <c r="E818" s="1" t="str">
        <f>"7556451082"</f>
        <v>7556451082</v>
      </c>
      <c r="F818" s="1" t="str">
        <f>"گلوب ولو 1 اينچ 800 (golob valve)"</f>
        <v>گلوب ولو 1 اينچ 800 (golob valve)</v>
      </c>
      <c r="G818" s="1" t="str">
        <f>"عدد"</f>
        <v>عدد</v>
      </c>
      <c r="H818" s="1">
        <v>7</v>
      </c>
      <c r="I818" s="1">
        <v>4248335</v>
      </c>
      <c r="J818" s="1">
        <v>0</v>
      </c>
      <c r="K818" s="1">
        <v>0</v>
      </c>
      <c r="L818" s="1">
        <v>0</v>
      </c>
      <c r="M818" s="1">
        <v>0</v>
      </c>
      <c r="O818" s="1">
        <v>97</v>
      </c>
      <c r="P818" s="4">
        <f t="shared" si="36"/>
        <v>4248335</v>
      </c>
      <c r="Q818" s="4">
        <f t="shared" si="37"/>
        <v>7</v>
      </c>
      <c r="R818" s="4">
        <f t="shared" si="38"/>
        <v>606905</v>
      </c>
    </row>
    <row r="819" spans="1:18">
      <c r="A819" s="1">
        <v>2</v>
      </c>
      <c r="B819" s="1" t="str">
        <f>"قطعات و لوازم يدكي"</f>
        <v>قطعات و لوازم يدكي</v>
      </c>
      <c r="C819" s="1">
        <v>101</v>
      </c>
      <c r="D819" s="1" t="str">
        <f>"انبار قطعات و لوازم يدكي اصفهان"</f>
        <v>انبار قطعات و لوازم يدكي اصفهان</v>
      </c>
      <c r="E819" s="1" t="str">
        <f>"7589795172"</f>
        <v>7589795172</v>
      </c>
      <c r="F819" s="1" t="str">
        <f>"استيم تراپ 1اينچ"</f>
        <v>استيم تراپ 1اينچ</v>
      </c>
      <c r="G819" s="1" t="str">
        <f>"عدد"</f>
        <v>عدد</v>
      </c>
      <c r="H819" s="1">
        <v>21</v>
      </c>
      <c r="I819" s="1">
        <v>87553845</v>
      </c>
      <c r="J819" s="1">
        <v>0</v>
      </c>
      <c r="K819" s="1">
        <v>0</v>
      </c>
      <c r="L819" s="1">
        <v>4</v>
      </c>
      <c r="M819" s="1">
        <v>16676923</v>
      </c>
      <c r="O819" s="1">
        <v>97</v>
      </c>
      <c r="P819" s="4">
        <f t="shared" si="36"/>
        <v>70876922</v>
      </c>
      <c r="Q819" s="4">
        <f t="shared" si="37"/>
        <v>17</v>
      </c>
      <c r="R819" s="4">
        <f t="shared" si="38"/>
        <v>4169230.7058823528</v>
      </c>
    </row>
    <row r="820" spans="1:18">
      <c r="A820" s="1">
        <v>2</v>
      </c>
      <c r="B820" s="1" t="str">
        <f>"قطعات و لوازم يدكي"</f>
        <v>قطعات و لوازم يدكي</v>
      </c>
      <c r="C820" s="1">
        <v>101</v>
      </c>
      <c r="D820" s="1" t="str">
        <f>"انبار قطعات و لوازم يدكي اصفهان"</f>
        <v>انبار قطعات و لوازم يدكي اصفهان</v>
      </c>
      <c r="E820" s="1" t="str">
        <f>"7605140212"</f>
        <v>7605140212</v>
      </c>
      <c r="F820" s="1" t="str">
        <f>"بوشينگ 1/2 * 1/4 A-105"</f>
        <v>بوشينگ 1/2 * 1/4 A-105</v>
      </c>
      <c r="G820" s="1" t="str">
        <f>"عدد"</f>
        <v>عدد</v>
      </c>
      <c r="H820" s="1">
        <v>4</v>
      </c>
      <c r="I820" s="1">
        <v>116000</v>
      </c>
      <c r="J820" s="1">
        <v>20</v>
      </c>
      <c r="K820" s="1">
        <v>12795000</v>
      </c>
      <c r="L820" s="1">
        <v>11</v>
      </c>
      <c r="M820" s="1">
        <v>5650258</v>
      </c>
      <c r="O820" s="1">
        <v>97</v>
      </c>
      <c r="P820" s="4">
        <f t="shared" si="36"/>
        <v>7260742</v>
      </c>
      <c r="Q820" s="4">
        <f t="shared" si="37"/>
        <v>13</v>
      </c>
      <c r="R820" s="4">
        <f t="shared" si="38"/>
        <v>558518.61538461538</v>
      </c>
    </row>
    <row r="821" spans="1:18">
      <c r="A821" s="1">
        <v>2</v>
      </c>
      <c r="B821" s="1" t="str">
        <f>"قطعات و لوازم يدكي"</f>
        <v>قطعات و لوازم يدكي</v>
      </c>
      <c r="C821" s="1">
        <v>101</v>
      </c>
      <c r="D821" s="1" t="str">
        <f>"انبار قطعات و لوازم يدكي اصفهان"</f>
        <v>انبار قطعات و لوازم يدكي اصفهان</v>
      </c>
      <c r="E821" s="1" t="str">
        <f>"7605281082"</f>
        <v>7605281082</v>
      </c>
      <c r="F821" s="1" t="str">
        <f>"فول كوپلينگ دنده اي 1/2اينچ 3000"</f>
        <v>فول كوپلينگ دنده اي 1/2اينچ 3000</v>
      </c>
      <c r="G821" s="1" t="str">
        <f>"عدد"</f>
        <v>عدد</v>
      </c>
      <c r="H821" s="1">
        <v>31</v>
      </c>
      <c r="I821" s="1">
        <v>881183</v>
      </c>
      <c r="J821" s="1">
        <v>1</v>
      </c>
      <c r="K821" s="1">
        <v>28426</v>
      </c>
      <c r="L821" s="1">
        <v>9</v>
      </c>
      <c r="M821" s="1">
        <v>255827</v>
      </c>
      <c r="O821" s="1">
        <v>97</v>
      </c>
      <c r="P821" s="4">
        <f t="shared" si="36"/>
        <v>653782</v>
      </c>
      <c r="Q821" s="4">
        <f t="shared" si="37"/>
        <v>23</v>
      </c>
      <c r="R821" s="4">
        <f t="shared" si="38"/>
        <v>28425.304347826088</v>
      </c>
    </row>
    <row r="822" spans="1:18">
      <c r="A822" s="1">
        <v>2</v>
      </c>
      <c r="B822" s="1" t="str">
        <f>"قطعات و لوازم يدكي"</f>
        <v>قطعات و لوازم يدكي</v>
      </c>
      <c r="C822" s="1">
        <v>101</v>
      </c>
      <c r="D822" s="1" t="str">
        <f>"انبار قطعات و لوازم يدكي اصفهان"</f>
        <v>انبار قطعات و لوازم يدكي اصفهان</v>
      </c>
      <c r="E822" s="1" t="str">
        <f>"7605284082"</f>
        <v>7605284082</v>
      </c>
      <c r="F822" s="1" t="str">
        <f>"هاف كاپلينگ 1/2 دنده اي 3000"</f>
        <v>هاف كاپلينگ 1/2 دنده اي 3000</v>
      </c>
      <c r="G822" s="1" t="str">
        <f>"عدد"</f>
        <v>عدد</v>
      </c>
      <c r="H822" s="1">
        <v>27</v>
      </c>
      <c r="I822" s="1">
        <v>536000</v>
      </c>
      <c r="J822" s="1">
        <v>0</v>
      </c>
      <c r="K822" s="1">
        <v>0</v>
      </c>
      <c r="L822" s="1">
        <v>0</v>
      </c>
      <c r="M822" s="1">
        <v>0</v>
      </c>
      <c r="O822" s="1">
        <v>97</v>
      </c>
      <c r="P822" s="4">
        <f t="shared" si="36"/>
        <v>536000</v>
      </c>
      <c r="Q822" s="4">
        <f t="shared" si="37"/>
        <v>27</v>
      </c>
      <c r="R822" s="4">
        <f t="shared" si="38"/>
        <v>19851.85185185185</v>
      </c>
    </row>
    <row r="823" spans="1:18">
      <c r="A823" s="1">
        <v>2</v>
      </c>
      <c r="B823" s="1" t="str">
        <f>"قطعات و لوازم يدكي"</f>
        <v>قطعات و لوازم يدكي</v>
      </c>
      <c r="C823" s="1">
        <v>101</v>
      </c>
      <c r="D823" s="1" t="str">
        <f>"انبار قطعات و لوازم يدكي اصفهان"</f>
        <v>انبار قطعات و لوازم يدكي اصفهان</v>
      </c>
      <c r="E823" s="1" t="str">
        <f>"7605286122"</f>
        <v>7605286122</v>
      </c>
      <c r="F823" s="1" t="str">
        <f>"هاف كو  پلينگ دنده اي 3/4اينچ 6000"</f>
        <v>هاف كو  پلينگ دنده اي 3/4اينچ 6000</v>
      </c>
      <c r="G823" s="1" t="str">
        <f>"عدد"</f>
        <v>عدد</v>
      </c>
      <c r="H823" s="1">
        <v>2</v>
      </c>
      <c r="I823" s="1">
        <v>30000</v>
      </c>
      <c r="J823" s="1">
        <v>0</v>
      </c>
      <c r="K823" s="1">
        <v>0</v>
      </c>
      <c r="L823" s="1">
        <v>0</v>
      </c>
      <c r="M823" s="1">
        <v>0</v>
      </c>
      <c r="O823" s="1">
        <v>97</v>
      </c>
      <c r="P823" s="4">
        <f t="shared" si="36"/>
        <v>30000</v>
      </c>
      <c r="Q823" s="4">
        <f t="shared" si="37"/>
        <v>2</v>
      </c>
      <c r="R823" s="4">
        <f t="shared" si="38"/>
        <v>15000</v>
      </c>
    </row>
    <row r="824" spans="1:18">
      <c r="A824" s="1">
        <v>2</v>
      </c>
      <c r="B824" s="1" t="str">
        <f>"قطعات و لوازم يدكي"</f>
        <v>قطعات و لوازم يدكي</v>
      </c>
      <c r="C824" s="1">
        <v>101</v>
      </c>
      <c r="D824" s="1" t="str">
        <f>"انبار قطعات و لوازم يدكي اصفهان"</f>
        <v>انبار قطعات و لوازم يدكي اصفهان</v>
      </c>
      <c r="E824" s="1" t="str">
        <f>"7605381082"</f>
        <v>7605381082</v>
      </c>
      <c r="F824" s="1" t="str">
        <f>"زانوي 45درجه دنده اي 1/2اينچ 3000"</f>
        <v>زانوي 45درجه دنده اي 1/2اينچ 3000</v>
      </c>
      <c r="G824" s="1" t="str">
        <f>"عدد"</f>
        <v>عدد</v>
      </c>
      <c r="H824" s="1">
        <v>57</v>
      </c>
      <c r="I824" s="1">
        <v>1737586</v>
      </c>
      <c r="J824" s="1">
        <v>0</v>
      </c>
      <c r="K824" s="1">
        <v>0</v>
      </c>
      <c r="L824" s="1">
        <v>0</v>
      </c>
      <c r="M824" s="1">
        <v>0</v>
      </c>
      <c r="O824" s="1">
        <v>97</v>
      </c>
      <c r="P824" s="4">
        <f t="shared" si="36"/>
        <v>1737586</v>
      </c>
      <c r="Q824" s="4">
        <f t="shared" si="37"/>
        <v>57</v>
      </c>
      <c r="R824" s="4">
        <f t="shared" si="38"/>
        <v>30483.964912280702</v>
      </c>
    </row>
    <row r="825" spans="1:18">
      <c r="A825" s="1">
        <v>2</v>
      </c>
      <c r="B825" s="1" t="str">
        <f>"قطعات و لوازم يدكي"</f>
        <v>قطعات و لوازم يدكي</v>
      </c>
      <c r="C825" s="1">
        <v>101</v>
      </c>
      <c r="D825" s="1" t="str">
        <f>"انبار قطعات و لوازم يدكي اصفهان"</f>
        <v>انبار قطعات و لوازم يدكي اصفهان</v>
      </c>
      <c r="E825" s="1" t="str">
        <f>"7605391082"</f>
        <v>7605391082</v>
      </c>
      <c r="F825" s="1" t="str">
        <f>"زانو دنده اي 90 درجه 1/2 اينچ 3000"</f>
        <v>زانو دنده اي 90 درجه 1/2 اينچ 3000</v>
      </c>
      <c r="G825" s="1" t="str">
        <f>"عدد"</f>
        <v>عدد</v>
      </c>
      <c r="H825" s="1">
        <v>52</v>
      </c>
      <c r="I825" s="1">
        <v>1123057</v>
      </c>
      <c r="J825" s="1">
        <v>7</v>
      </c>
      <c r="K825" s="1">
        <v>1960000</v>
      </c>
      <c r="L825" s="1">
        <v>15</v>
      </c>
      <c r="M825" s="1">
        <v>760571</v>
      </c>
      <c r="O825" s="1">
        <v>97</v>
      </c>
      <c r="P825" s="4">
        <f t="shared" si="36"/>
        <v>2322486</v>
      </c>
      <c r="Q825" s="4">
        <f t="shared" si="37"/>
        <v>44</v>
      </c>
      <c r="R825" s="4">
        <f t="shared" si="38"/>
        <v>52783.772727272728</v>
      </c>
    </row>
    <row r="826" spans="1:18">
      <c r="A826" s="1">
        <v>2</v>
      </c>
      <c r="B826" s="1" t="str">
        <f>"قطعات و لوازم يدكي"</f>
        <v>قطعات و لوازم يدكي</v>
      </c>
      <c r="C826" s="1">
        <v>101</v>
      </c>
      <c r="D826" s="1" t="str">
        <f>"انبار قطعات و لوازم يدكي اصفهان"</f>
        <v>انبار قطعات و لوازم يدكي اصفهان</v>
      </c>
      <c r="E826" s="1" t="str">
        <f>"7605391122"</f>
        <v>7605391122</v>
      </c>
      <c r="F826" s="1" t="str">
        <f>"زانو90درجه 3/4اينچ 3000"</f>
        <v>زانو90درجه 3/4اينچ 3000</v>
      </c>
      <c r="G826" s="1" t="str">
        <f>"عدد"</f>
        <v>عدد</v>
      </c>
      <c r="H826" s="1">
        <v>24</v>
      </c>
      <c r="I826" s="1">
        <v>2838424</v>
      </c>
      <c r="J826" s="1">
        <v>30</v>
      </c>
      <c r="K826" s="1">
        <v>17985000</v>
      </c>
      <c r="L826" s="1">
        <v>20</v>
      </c>
      <c r="M826" s="1">
        <v>4216247</v>
      </c>
      <c r="O826" s="1">
        <v>97</v>
      </c>
      <c r="P826" s="4">
        <f t="shared" si="36"/>
        <v>16607177</v>
      </c>
      <c r="Q826" s="4">
        <f t="shared" si="37"/>
        <v>34</v>
      </c>
      <c r="R826" s="4">
        <f t="shared" si="38"/>
        <v>488446.3823529412</v>
      </c>
    </row>
    <row r="827" spans="1:18">
      <c r="A827" s="1">
        <v>2</v>
      </c>
      <c r="B827" s="1" t="str">
        <f>"قطعات و لوازم يدكي"</f>
        <v>قطعات و لوازم يدكي</v>
      </c>
      <c r="C827" s="1">
        <v>101</v>
      </c>
      <c r="D827" s="1" t="str">
        <f>"انبار قطعات و لوازم يدكي اصفهان"</f>
        <v>انبار قطعات و لوازم يدكي اصفهان</v>
      </c>
      <c r="E827" s="1" t="str">
        <f>"7605391202"</f>
        <v>7605391202</v>
      </c>
      <c r="F827" s="1" t="str">
        <f>"زانو90درجه 2اينچ 3000"</f>
        <v>زانو90درجه 2اينچ 3000</v>
      </c>
      <c r="G827" s="1" t="str">
        <f>"عدد"</f>
        <v>عدد</v>
      </c>
      <c r="H827" s="1">
        <v>7</v>
      </c>
      <c r="I827" s="1">
        <v>222406</v>
      </c>
      <c r="J827" s="1">
        <v>0</v>
      </c>
      <c r="K827" s="1">
        <v>0</v>
      </c>
      <c r="L827" s="1">
        <v>0</v>
      </c>
      <c r="M827" s="1">
        <v>0</v>
      </c>
      <c r="O827" s="1">
        <v>97</v>
      </c>
      <c r="P827" s="4">
        <f t="shared" si="36"/>
        <v>222406</v>
      </c>
      <c r="Q827" s="4">
        <f t="shared" si="37"/>
        <v>7</v>
      </c>
      <c r="R827" s="4">
        <f t="shared" si="38"/>
        <v>31772.285714285714</v>
      </c>
    </row>
    <row r="828" spans="1:18">
      <c r="A828" s="1">
        <v>2</v>
      </c>
      <c r="B828" s="1" t="str">
        <f>"قطعات و لوازم يدكي"</f>
        <v>قطعات و لوازم يدكي</v>
      </c>
      <c r="C828" s="1">
        <v>101</v>
      </c>
      <c r="D828" s="1" t="str">
        <f>"انبار قطعات و لوازم يدكي اصفهان"</f>
        <v>انبار قطعات و لوازم يدكي اصفهان</v>
      </c>
      <c r="E828" s="1" t="str">
        <f>"7605563482"</f>
        <v>7605563482</v>
      </c>
      <c r="F828" s="1" t="str">
        <f>"نيپل دنده اي 100*1/4 رده 80"</f>
        <v>نيپل دنده اي 100*1/4 رده 80</v>
      </c>
      <c r="G828" s="1" t="str">
        <f>"عدد"</f>
        <v>عدد</v>
      </c>
      <c r="H828" s="1">
        <v>10</v>
      </c>
      <c r="I828" s="1">
        <v>345385</v>
      </c>
      <c r="J828" s="1">
        <v>0</v>
      </c>
      <c r="K828" s="1">
        <v>0</v>
      </c>
      <c r="L828" s="1">
        <v>0</v>
      </c>
      <c r="M828" s="1">
        <v>0</v>
      </c>
      <c r="O828" s="1">
        <v>97</v>
      </c>
      <c r="P828" s="4">
        <f t="shared" si="36"/>
        <v>345385</v>
      </c>
      <c r="Q828" s="4">
        <f t="shared" si="37"/>
        <v>10</v>
      </c>
      <c r="R828" s="4">
        <f t="shared" si="38"/>
        <v>34538.5</v>
      </c>
    </row>
    <row r="829" spans="1:18">
      <c r="A829" s="1">
        <v>2</v>
      </c>
      <c r="B829" s="1" t="str">
        <f>"قطعات و لوازم يدكي"</f>
        <v>قطعات و لوازم يدكي</v>
      </c>
      <c r="C829" s="1">
        <v>101</v>
      </c>
      <c r="D829" s="1" t="str">
        <f>"انبار قطعات و لوازم يدكي اصفهان"</f>
        <v>انبار قطعات و لوازم يدكي اصفهان</v>
      </c>
      <c r="E829" s="1" t="str">
        <f>"7605567242"</f>
        <v>7605567242</v>
      </c>
      <c r="F829" s="1" t="s">
        <v>51</v>
      </c>
      <c r="G829" s="1" t="str">
        <f>"عدد"</f>
        <v>عدد</v>
      </c>
      <c r="H829" s="1">
        <v>4</v>
      </c>
      <c r="I829" s="1">
        <v>253523</v>
      </c>
      <c r="J829" s="1">
        <v>0</v>
      </c>
      <c r="K829" s="1">
        <v>0</v>
      </c>
      <c r="L829" s="1">
        <v>1</v>
      </c>
      <c r="M829" s="1">
        <v>63381</v>
      </c>
      <c r="O829" s="1">
        <v>97</v>
      </c>
      <c r="P829" s="4">
        <f t="shared" si="36"/>
        <v>190142</v>
      </c>
      <c r="Q829" s="4">
        <f t="shared" si="37"/>
        <v>3</v>
      </c>
      <c r="R829" s="4">
        <f t="shared" si="38"/>
        <v>63380.666666666664</v>
      </c>
    </row>
    <row r="830" spans="1:18">
      <c r="A830" s="1">
        <v>2</v>
      </c>
      <c r="B830" s="1" t="str">
        <f>"قطعات و لوازم يدكي"</f>
        <v>قطعات و لوازم يدكي</v>
      </c>
      <c r="C830" s="1">
        <v>101</v>
      </c>
      <c r="D830" s="1" t="str">
        <f>"انبار قطعات و لوازم يدكي اصفهان"</f>
        <v>انبار قطعات و لوازم يدكي اصفهان</v>
      </c>
      <c r="E830" s="1" t="str">
        <f>"7605583062"</f>
        <v>7605583062</v>
      </c>
      <c r="F830" s="1" t="s">
        <v>52</v>
      </c>
      <c r="G830" s="1" t="str">
        <f>"عدد"</f>
        <v>عدد</v>
      </c>
      <c r="H830" s="1">
        <v>9</v>
      </c>
      <c r="I830" s="1">
        <v>5805000</v>
      </c>
      <c r="J830" s="1">
        <v>0</v>
      </c>
      <c r="K830" s="1">
        <v>0</v>
      </c>
      <c r="L830" s="1">
        <v>0</v>
      </c>
      <c r="M830" s="1">
        <v>0</v>
      </c>
      <c r="O830" s="1">
        <v>97</v>
      </c>
      <c r="P830" s="4">
        <f t="shared" si="36"/>
        <v>5805000</v>
      </c>
      <c r="Q830" s="4">
        <f t="shared" si="37"/>
        <v>9</v>
      </c>
      <c r="R830" s="4">
        <f t="shared" si="38"/>
        <v>645000</v>
      </c>
    </row>
    <row r="831" spans="1:18">
      <c r="A831" s="1">
        <v>2</v>
      </c>
      <c r="B831" s="1" t="str">
        <f>"قطعات و لوازم يدكي"</f>
        <v>قطعات و لوازم يدكي</v>
      </c>
      <c r="C831" s="1">
        <v>101</v>
      </c>
      <c r="D831" s="1" t="str">
        <f>"انبار قطعات و لوازم يدكي اصفهان"</f>
        <v>انبار قطعات و لوازم يدكي اصفهان</v>
      </c>
      <c r="E831" s="1" t="str">
        <f>"7605661162"</f>
        <v>7605661162</v>
      </c>
      <c r="F831" s="1" t="s">
        <v>53</v>
      </c>
      <c r="G831" s="1" t="str">
        <f>"عدد"</f>
        <v>عدد</v>
      </c>
      <c r="H831" s="1">
        <v>5</v>
      </c>
      <c r="I831" s="1">
        <v>222417</v>
      </c>
      <c r="J831" s="1">
        <v>10</v>
      </c>
      <c r="K831" s="1">
        <v>980000</v>
      </c>
      <c r="L831" s="1">
        <v>5</v>
      </c>
      <c r="M831" s="1">
        <v>400805</v>
      </c>
      <c r="O831" s="1">
        <v>97</v>
      </c>
      <c r="P831" s="4">
        <f t="shared" si="36"/>
        <v>801612</v>
      </c>
      <c r="Q831" s="4">
        <f t="shared" si="37"/>
        <v>10</v>
      </c>
      <c r="R831" s="4">
        <f t="shared" si="38"/>
        <v>80161.2</v>
      </c>
    </row>
    <row r="832" spans="1:18">
      <c r="A832" s="1">
        <v>2</v>
      </c>
      <c r="B832" s="1" t="str">
        <f>"قطعات و لوازم يدكي"</f>
        <v>قطعات و لوازم يدكي</v>
      </c>
      <c r="C832" s="1">
        <v>101</v>
      </c>
      <c r="D832" s="1" t="str">
        <f>"انبار قطعات و لوازم يدكي اصفهان"</f>
        <v>انبار قطعات و لوازم يدكي اصفهان</v>
      </c>
      <c r="E832" s="1" t="str">
        <f>"7605705382"</f>
        <v>7605705382</v>
      </c>
      <c r="F832" s="1" t="s">
        <v>54</v>
      </c>
      <c r="G832" s="1" t="str">
        <f>"عدد"</f>
        <v>عدد</v>
      </c>
      <c r="H832" s="1">
        <v>54</v>
      </c>
      <c r="I832" s="1">
        <v>3556798</v>
      </c>
      <c r="J832" s="1">
        <v>4</v>
      </c>
      <c r="K832" s="1">
        <v>263467</v>
      </c>
      <c r="L832" s="1">
        <v>8</v>
      </c>
      <c r="M832" s="1">
        <v>526934</v>
      </c>
      <c r="O832" s="1">
        <v>97</v>
      </c>
      <c r="P832" s="4">
        <f t="shared" si="36"/>
        <v>3293331</v>
      </c>
      <c r="Q832" s="4">
        <f t="shared" si="37"/>
        <v>50</v>
      </c>
      <c r="R832" s="4">
        <f t="shared" si="38"/>
        <v>65866.62</v>
      </c>
    </row>
    <row r="833" spans="1:18">
      <c r="A833" s="1">
        <v>2</v>
      </c>
      <c r="B833" s="1" t="str">
        <f>"قطعات و لوازم يدكي"</f>
        <v>قطعات و لوازم يدكي</v>
      </c>
      <c r="C833" s="1">
        <v>101</v>
      </c>
      <c r="D833" s="1" t="str">
        <f>"انبار قطعات و لوازم يدكي اصفهان"</f>
        <v>انبار قطعات و لوازم يدكي اصفهان</v>
      </c>
      <c r="E833" s="1" t="str">
        <f>"7605705702"</f>
        <v>7605705702</v>
      </c>
      <c r="F833" s="1" t="str">
        <f>"رديو سر كوپلينگ دنده اي 1/2-1*1 3000"</f>
        <v>رديو سر كوپلينگ دنده اي 1/2-1*1 3000</v>
      </c>
      <c r="G833" s="1" t="str">
        <f>"عدد"</f>
        <v>عدد</v>
      </c>
      <c r="H833" s="1">
        <v>9</v>
      </c>
      <c r="I833" s="1">
        <v>1440000</v>
      </c>
      <c r="J833" s="1">
        <v>0</v>
      </c>
      <c r="K833" s="1">
        <v>0</v>
      </c>
      <c r="L833" s="1">
        <v>0</v>
      </c>
      <c r="M833" s="1">
        <v>0</v>
      </c>
      <c r="O833" s="1">
        <v>97</v>
      </c>
      <c r="P833" s="4">
        <f t="shared" si="36"/>
        <v>1440000</v>
      </c>
      <c r="Q833" s="4">
        <f t="shared" si="37"/>
        <v>9</v>
      </c>
      <c r="R833" s="4">
        <f t="shared" si="38"/>
        <v>160000</v>
      </c>
    </row>
    <row r="834" spans="1:18">
      <c r="A834" s="1">
        <v>2</v>
      </c>
      <c r="B834" s="1" t="str">
        <f>"قطعات و لوازم يدكي"</f>
        <v>قطعات و لوازم يدكي</v>
      </c>
      <c r="C834" s="1">
        <v>101</v>
      </c>
      <c r="D834" s="1" t="str">
        <f>"انبار قطعات و لوازم يدكي اصفهان"</f>
        <v>انبار قطعات و لوازم يدكي اصفهان</v>
      </c>
      <c r="E834" s="1" t="str">
        <f>"7605841202"</f>
        <v>7605841202</v>
      </c>
      <c r="F834" s="1" t="str">
        <f>"سه راهي دنده اي 2 اينچ 3000"</f>
        <v>سه راهي دنده اي 2 اينچ 3000</v>
      </c>
      <c r="G834" s="1" t="str">
        <f>"عدد"</f>
        <v>عدد</v>
      </c>
      <c r="H834" s="1">
        <v>5</v>
      </c>
      <c r="I834" s="1">
        <v>1100000</v>
      </c>
      <c r="J834" s="1">
        <v>0</v>
      </c>
      <c r="K834" s="1">
        <v>0</v>
      </c>
      <c r="L834" s="1">
        <v>0</v>
      </c>
      <c r="M834" s="1">
        <v>0</v>
      </c>
      <c r="O834" s="1">
        <v>97</v>
      </c>
      <c r="P834" s="4">
        <f t="shared" si="36"/>
        <v>1100000</v>
      </c>
      <c r="Q834" s="4">
        <f t="shared" si="37"/>
        <v>5</v>
      </c>
      <c r="R834" s="4">
        <f t="shared" si="38"/>
        <v>220000</v>
      </c>
    </row>
    <row r="835" spans="1:18">
      <c r="A835" s="1">
        <v>2</v>
      </c>
      <c r="B835" s="1" t="str">
        <f>"قطعات و لوازم يدكي"</f>
        <v>قطعات و لوازم يدكي</v>
      </c>
      <c r="C835" s="1">
        <v>101</v>
      </c>
      <c r="D835" s="1" t="str">
        <f>"انبار قطعات و لوازم يدكي اصفهان"</f>
        <v>انبار قطعات و لوازم يدكي اصفهان</v>
      </c>
      <c r="E835" s="1" t="str">
        <f>"7606141322"</f>
        <v>7606141322</v>
      </c>
      <c r="F835" s="1" t="str">
        <f>"بوشينگ 3/4*1 گالوانيزه"</f>
        <v>بوشينگ 3/4*1 گالوانيزه</v>
      </c>
      <c r="G835" s="1" t="str">
        <f>"عدد"</f>
        <v>عدد</v>
      </c>
      <c r="H835" s="1">
        <v>12</v>
      </c>
      <c r="I835" s="1">
        <v>31080</v>
      </c>
      <c r="J835" s="1">
        <v>0</v>
      </c>
      <c r="K835" s="1">
        <v>0</v>
      </c>
      <c r="L835" s="1">
        <v>5</v>
      </c>
      <c r="M835" s="1">
        <v>12950</v>
      </c>
      <c r="O835" s="1">
        <v>97</v>
      </c>
      <c r="P835" s="4">
        <f t="shared" ref="P835:P898" si="39">I835+K835-M835</f>
        <v>18130</v>
      </c>
      <c r="Q835" s="4">
        <f t="shared" ref="Q835:Q898" si="40">H835+J835-L835</f>
        <v>7</v>
      </c>
      <c r="R835" s="4">
        <f t="shared" ref="R835:R898" si="41">P835/Q835</f>
        <v>2590</v>
      </c>
    </row>
    <row r="836" spans="1:18">
      <c r="A836" s="1">
        <v>2</v>
      </c>
      <c r="B836" s="1" t="str">
        <f>"قطعات و لوازم يدكي"</f>
        <v>قطعات و لوازم يدكي</v>
      </c>
      <c r="C836" s="1">
        <v>101</v>
      </c>
      <c r="D836" s="1" t="str">
        <f>"انبار قطعات و لوازم يدكي اصفهان"</f>
        <v>انبار قطعات و لوازم يدكي اصفهان</v>
      </c>
      <c r="E836" s="1" t="str">
        <f>"7606280162"</f>
        <v>7606280162</v>
      </c>
      <c r="F836" s="1" t="str">
        <f>"کاپلينگ 1 اينچ دنده اي گالوانيزه"</f>
        <v>کاپلينگ 1 اينچ دنده اي گالوانيزه</v>
      </c>
      <c r="G836" s="1" t="str">
        <f>"عدد"</f>
        <v>عدد</v>
      </c>
      <c r="H836" s="1">
        <v>11</v>
      </c>
      <c r="I836" s="1">
        <v>125146</v>
      </c>
      <c r="J836" s="1">
        <v>0</v>
      </c>
      <c r="K836" s="1">
        <v>0</v>
      </c>
      <c r="L836" s="1">
        <v>1</v>
      </c>
      <c r="M836" s="1">
        <v>11377</v>
      </c>
      <c r="O836" s="1">
        <v>97</v>
      </c>
      <c r="P836" s="4">
        <f t="shared" si="39"/>
        <v>113769</v>
      </c>
      <c r="Q836" s="4">
        <f t="shared" si="40"/>
        <v>10</v>
      </c>
      <c r="R836" s="4">
        <f t="shared" si="41"/>
        <v>11376.9</v>
      </c>
    </row>
    <row r="837" spans="1:18">
      <c r="A837" s="1">
        <v>2</v>
      </c>
      <c r="B837" s="1" t="str">
        <f>"قطعات و لوازم يدكي"</f>
        <v>قطعات و لوازم يدكي</v>
      </c>
      <c r="C837" s="1">
        <v>101</v>
      </c>
      <c r="D837" s="1" t="str">
        <f>"انبار قطعات و لوازم يدكي اصفهان"</f>
        <v>انبار قطعات و لوازم يدكي اصفهان</v>
      </c>
      <c r="E837" s="1" t="str">
        <f>"7606391082"</f>
        <v>7606391082</v>
      </c>
      <c r="F837" s="1" t="str">
        <f>"ELBOW 1/2 SCR 90 GALV"</f>
        <v>ELBOW 1/2 SCR 90 GALV</v>
      </c>
      <c r="G837" s="1" t="str">
        <f>"عدد"</f>
        <v>عدد</v>
      </c>
      <c r="H837" s="1">
        <v>56</v>
      </c>
      <c r="I837" s="1">
        <v>4400000</v>
      </c>
      <c r="J837" s="1">
        <v>0</v>
      </c>
      <c r="K837" s="1">
        <v>0</v>
      </c>
      <c r="L837" s="1">
        <v>0</v>
      </c>
      <c r="M837" s="1">
        <v>0</v>
      </c>
      <c r="O837" s="1">
        <v>97</v>
      </c>
      <c r="P837" s="4">
        <f t="shared" si="39"/>
        <v>4400000</v>
      </c>
      <c r="Q837" s="4">
        <f t="shared" si="40"/>
        <v>56</v>
      </c>
      <c r="R837" s="4">
        <f t="shared" si="41"/>
        <v>78571.428571428565</v>
      </c>
    </row>
    <row r="838" spans="1:18">
      <c r="A838" s="1">
        <v>2</v>
      </c>
      <c r="B838" s="1" t="str">
        <f>"قطعات و لوازم يدكي"</f>
        <v>قطعات و لوازم يدكي</v>
      </c>
      <c r="C838" s="1">
        <v>101</v>
      </c>
      <c r="D838" s="1" t="str">
        <f>"انبار قطعات و لوازم يدكي اصفهان"</f>
        <v>انبار قطعات و لوازم يدكي اصفهان</v>
      </c>
      <c r="E838" s="1" t="str">
        <f>"7606391122"</f>
        <v>7606391122</v>
      </c>
      <c r="F838" s="1" t="str">
        <f>"ELBOW90  3/4 SCR GALV"</f>
        <v>ELBOW90  3/4 SCR GALV</v>
      </c>
      <c r="G838" s="1" t="str">
        <f>"عدد"</f>
        <v>عدد</v>
      </c>
      <c r="H838" s="1">
        <v>37</v>
      </c>
      <c r="I838" s="1">
        <v>4164872</v>
      </c>
      <c r="J838" s="1">
        <v>0</v>
      </c>
      <c r="K838" s="1">
        <v>0</v>
      </c>
      <c r="L838" s="1">
        <v>2</v>
      </c>
      <c r="M838" s="1">
        <v>225128</v>
      </c>
      <c r="O838" s="1">
        <v>97</v>
      </c>
      <c r="P838" s="4">
        <f t="shared" si="39"/>
        <v>3939744</v>
      </c>
      <c r="Q838" s="4">
        <f t="shared" si="40"/>
        <v>35</v>
      </c>
      <c r="R838" s="4">
        <f t="shared" si="41"/>
        <v>112564.11428571428</v>
      </c>
    </row>
    <row r="839" spans="1:18">
      <c r="A839" s="1">
        <v>2</v>
      </c>
      <c r="B839" s="1" t="str">
        <f>"قطعات و لوازم يدكي"</f>
        <v>قطعات و لوازم يدكي</v>
      </c>
      <c r="C839" s="1">
        <v>101</v>
      </c>
      <c r="D839" s="1" t="str">
        <f>"انبار قطعات و لوازم يدكي اصفهان"</f>
        <v>انبار قطعات و لوازم يدكي اصفهان</v>
      </c>
      <c r="E839" s="1" t="str">
        <f>"7606900082"</f>
        <v>7606900082</v>
      </c>
      <c r="F839" s="1" t="str">
        <f>"يونيون 1/2 گالوانيزه"</f>
        <v>يونيون 1/2 گالوانيزه</v>
      </c>
      <c r="G839" s="1" t="str">
        <f>"عدد"</f>
        <v>عدد</v>
      </c>
      <c r="H839" s="1">
        <v>12</v>
      </c>
      <c r="I839" s="1">
        <v>1260000</v>
      </c>
      <c r="J839" s="1">
        <v>0</v>
      </c>
      <c r="K839" s="1">
        <v>0</v>
      </c>
      <c r="L839" s="1">
        <v>1</v>
      </c>
      <c r="M839" s="1">
        <v>105000</v>
      </c>
      <c r="O839" s="1">
        <v>97</v>
      </c>
      <c r="P839" s="4">
        <f t="shared" si="39"/>
        <v>1155000</v>
      </c>
      <c r="Q839" s="4">
        <f t="shared" si="40"/>
        <v>11</v>
      </c>
      <c r="R839" s="4">
        <f t="shared" si="41"/>
        <v>105000</v>
      </c>
    </row>
    <row r="840" spans="1:18">
      <c r="A840" s="1">
        <v>2</v>
      </c>
      <c r="B840" s="1" t="str">
        <f>"قطعات و لوازم يدكي"</f>
        <v>قطعات و لوازم يدكي</v>
      </c>
      <c r="C840" s="1">
        <v>101</v>
      </c>
      <c r="D840" s="1" t="str">
        <f>"انبار قطعات و لوازم يدكي اصفهان"</f>
        <v>انبار قطعات و لوازم يدكي اصفهان</v>
      </c>
      <c r="E840" s="1" t="str">
        <f>"7630387352"</f>
        <v>7630387352</v>
      </c>
      <c r="F840" s="1" t="str">
        <f>"زانو 45درجه جوشي3اينچ اس40"</f>
        <v>زانو 45درجه جوشي3اينچ اس40</v>
      </c>
      <c r="G840" s="1" t="str">
        <f>"عدد"</f>
        <v>عدد</v>
      </c>
      <c r="H840" s="1">
        <v>2</v>
      </c>
      <c r="I840" s="1">
        <v>76800</v>
      </c>
      <c r="J840" s="1">
        <v>0</v>
      </c>
      <c r="K840" s="1">
        <v>0</v>
      </c>
      <c r="L840" s="1">
        <v>0</v>
      </c>
      <c r="M840" s="1">
        <v>0</v>
      </c>
      <c r="O840" s="1">
        <v>97</v>
      </c>
      <c r="P840" s="4">
        <f t="shared" si="39"/>
        <v>76800</v>
      </c>
      <c r="Q840" s="4">
        <f t="shared" si="40"/>
        <v>2</v>
      </c>
      <c r="R840" s="4">
        <f t="shared" si="41"/>
        <v>38400</v>
      </c>
    </row>
    <row r="841" spans="1:18">
      <c r="A841" s="1">
        <v>2</v>
      </c>
      <c r="B841" s="1" t="str">
        <f>"قطعات و لوازم يدكي"</f>
        <v>قطعات و لوازم يدكي</v>
      </c>
      <c r="C841" s="1">
        <v>101</v>
      </c>
      <c r="D841" s="1" t="str">
        <f>"انبار قطعات و لوازم يدكي اصفهان"</f>
        <v>انبار قطعات و لوازم يدكي اصفهان</v>
      </c>
      <c r="E841" s="1" t="str">
        <f>"7630407372"</f>
        <v>7630407372</v>
      </c>
      <c r="F841" s="1" t="str">
        <f>"زانو 90 درجه جوشي 3 اينچ اس 80"</f>
        <v>زانو 90 درجه جوشي 3 اينچ اس 80</v>
      </c>
      <c r="G841" s="1" t="str">
        <f>"عدد"</f>
        <v>عدد</v>
      </c>
      <c r="H841" s="1">
        <v>6</v>
      </c>
      <c r="I841" s="1">
        <v>517500</v>
      </c>
      <c r="J841" s="1">
        <v>0</v>
      </c>
      <c r="K841" s="1">
        <v>0</v>
      </c>
      <c r="L841" s="1">
        <v>0</v>
      </c>
      <c r="M841" s="1">
        <v>0</v>
      </c>
      <c r="O841" s="1">
        <v>97</v>
      </c>
      <c r="P841" s="4">
        <f t="shared" si="39"/>
        <v>517500</v>
      </c>
      <c r="Q841" s="4">
        <f t="shared" si="40"/>
        <v>6</v>
      </c>
      <c r="R841" s="4">
        <f t="shared" si="41"/>
        <v>86250</v>
      </c>
    </row>
    <row r="842" spans="1:18">
      <c r="A842" s="1">
        <v>2</v>
      </c>
      <c r="B842" s="1" t="str">
        <f>"قطعات و لوازم يدكي"</f>
        <v>قطعات و لوازم يدكي</v>
      </c>
      <c r="C842" s="1">
        <v>101</v>
      </c>
      <c r="D842" s="1" t="str">
        <f>"انبار قطعات و لوازم يدكي اصفهان"</f>
        <v>انبار قطعات و لوازم يدكي اصفهان</v>
      </c>
      <c r="E842" s="1" t="str">
        <f>"7630407652"</f>
        <v>7630407652</v>
      </c>
      <c r="F842" s="1" t="str">
        <f>"زانو 90 درجه جوشي 6 اينچ اس 40"</f>
        <v>زانو 90 درجه جوشي 6 اينچ اس 40</v>
      </c>
      <c r="G842" s="1" t="str">
        <f>"عدد"</f>
        <v>عدد</v>
      </c>
      <c r="H842" s="1">
        <v>9</v>
      </c>
      <c r="I842" s="1">
        <v>7358099</v>
      </c>
      <c r="J842" s="1">
        <v>0</v>
      </c>
      <c r="K842" s="1">
        <v>0</v>
      </c>
      <c r="L842" s="1">
        <v>0</v>
      </c>
      <c r="M842" s="1">
        <v>0</v>
      </c>
      <c r="O842" s="1">
        <v>97</v>
      </c>
      <c r="P842" s="4">
        <f t="shared" si="39"/>
        <v>7358099</v>
      </c>
      <c r="Q842" s="4">
        <f t="shared" si="40"/>
        <v>9</v>
      </c>
      <c r="R842" s="4">
        <f t="shared" si="41"/>
        <v>817566.5555555555</v>
      </c>
    </row>
    <row r="843" spans="1:18">
      <c r="A843" s="1">
        <v>2</v>
      </c>
      <c r="B843" s="1" t="str">
        <f>"قطعات و لوازم يدكي"</f>
        <v>قطعات و لوازم يدكي</v>
      </c>
      <c r="C843" s="1">
        <v>101</v>
      </c>
      <c r="D843" s="1" t="str">
        <f>"انبار قطعات و لوازم يدكي اصفهان"</f>
        <v>انبار قطعات و لوازم يدكي اصفهان</v>
      </c>
      <c r="E843" s="1" t="str">
        <f>"7630722352"</f>
        <v>7630722352</v>
      </c>
      <c r="F843" s="1" t="str">
        <f>"تبديل هم محور جوشي 2*3 اينچ اس 40"</f>
        <v>تبديل هم محور جوشي 2*3 اينچ اس 40</v>
      </c>
      <c r="G843" s="1" t="str">
        <f>"عدد"</f>
        <v>عدد</v>
      </c>
      <c r="H843" s="1">
        <v>7</v>
      </c>
      <c r="I843" s="1">
        <v>543200</v>
      </c>
      <c r="J843" s="1">
        <v>2</v>
      </c>
      <c r="K843" s="1">
        <v>155200</v>
      </c>
      <c r="L843" s="1">
        <v>4</v>
      </c>
      <c r="M843" s="1">
        <v>310400</v>
      </c>
      <c r="O843" s="1">
        <v>97</v>
      </c>
      <c r="P843" s="4">
        <f t="shared" si="39"/>
        <v>388000</v>
      </c>
      <c r="Q843" s="4">
        <f t="shared" si="40"/>
        <v>5</v>
      </c>
      <c r="R843" s="4">
        <f t="shared" si="41"/>
        <v>77600</v>
      </c>
    </row>
    <row r="844" spans="1:18" hidden="1">
      <c r="A844" s="1">
        <v>2</v>
      </c>
      <c r="B844" s="1" t="str">
        <f>"قطعات و لوازم يدكي"</f>
        <v>قطعات و لوازم يدكي</v>
      </c>
      <c r="C844" s="1">
        <v>101</v>
      </c>
      <c r="D844" s="1" t="str">
        <f>"انبار قطعات و لوازم يدكي اصفهان"</f>
        <v>انبار قطعات و لوازم يدكي اصفهان</v>
      </c>
      <c r="E844" s="1" t="str">
        <f>"6800000272"</f>
        <v>6800000272</v>
      </c>
      <c r="F844" s="1" t="str">
        <f>"جعبه تقسيم ضد گرد و غبار M20 15*15"</f>
        <v>جعبه تقسيم ضد گرد و غبار M20 15*15</v>
      </c>
      <c r="G844" s="1" t="str">
        <f>"عدد"</f>
        <v>عدد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O844" s="1">
        <v>97</v>
      </c>
      <c r="P844" s="1">
        <f t="shared" si="39"/>
        <v>0</v>
      </c>
      <c r="Q844" s="1">
        <f t="shared" si="40"/>
        <v>0</v>
      </c>
      <c r="R844" s="1" t="e">
        <f t="shared" si="41"/>
        <v>#DIV/0!</v>
      </c>
    </row>
    <row r="845" spans="1:18" hidden="1">
      <c r="A845" s="1">
        <v>2</v>
      </c>
      <c r="B845" s="1" t="str">
        <f>"قطعات و لوازم يدكي"</f>
        <v>قطعات و لوازم يدكي</v>
      </c>
      <c r="C845" s="1">
        <v>101</v>
      </c>
      <c r="D845" s="1" t="str">
        <f>"انبار قطعات و لوازم يدكي اصفهان"</f>
        <v>انبار قطعات و لوازم يدكي اصفهان</v>
      </c>
      <c r="E845" s="1" t="str">
        <f>"6800000372"</f>
        <v>6800000372</v>
      </c>
      <c r="F845" s="1" t="str">
        <f>"شرينگ سايز 40 درجه 1"</f>
        <v>شرينگ سايز 40 درجه 1</v>
      </c>
      <c r="G845" s="1" t="str">
        <f>"متر"</f>
        <v>متر</v>
      </c>
      <c r="H845" s="1">
        <v>0</v>
      </c>
      <c r="I845" s="1">
        <v>0</v>
      </c>
      <c r="J845" s="1">
        <v>5</v>
      </c>
      <c r="K845" s="1">
        <v>575000</v>
      </c>
      <c r="L845" s="1">
        <v>5</v>
      </c>
      <c r="M845" s="1">
        <v>575000</v>
      </c>
      <c r="O845" s="1">
        <v>97</v>
      </c>
      <c r="P845" s="1">
        <f t="shared" si="39"/>
        <v>0</v>
      </c>
      <c r="Q845" s="1">
        <f t="shared" si="40"/>
        <v>0</v>
      </c>
      <c r="R845" s="1" t="e">
        <f t="shared" si="41"/>
        <v>#DIV/0!</v>
      </c>
    </row>
    <row r="846" spans="1:18">
      <c r="A846" s="1">
        <v>2</v>
      </c>
      <c r="B846" s="1" t="str">
        <f>"قطعات و لوازم يدكي"</f>
        <v>قطعات و لوازم يدكي</v>
      </c>
      <c r="C846" s="1">
        <v>101</v>
      </c>
      <c r="D846" s="1" t="str">
        <f>"انبار قطعات و لوازم يدكي اصفهان"</f>
        <v>انبار قطعات و لوازم يدكي اصفهان</v>
      </c>
      <c r="E846" s="1" t="str">
        <f>"6801010142"</f>
        <v>6801010142</v>
      </c>
      <c r="F846" s="1" t="str">
        <f>"بي متال کابلشو 50"</f>
        <v>بي متال کابلشو 50</v>
      </c>
      <c r="G846" s="1" t="str">
        <f>"عدد"</f>
        <v>عدد</v>
      </c>
      <c r="H846" s="1">
        <v>8</v>
      </c>
      <c r="I846" s="1">
        <v>176000</v>
      </c>
      <c r="J846" s="1">
        <v>0</v>
      </c>
      <c r="K846" s="1">
        <v>0</v>
      </c>
      <c r="L846" s="1">
        <v>6</v>
      </c>
      <c r="M846" s="1">
        <v>132000</v>
      </c>
      <c r="O846" s="1">
        <v>97</v>
      </c>
      <c r="P846" s="4">
        <f t="shared" si="39"/>
        <v>44000</v>
      </c>
      <c r="Q846" s="4">
        <f t="shared" si="40"/>
        <v>2</v>
      </c>
      <c r="R846" s="4">
        <f t="shared" si="41"/>
        <v>22000</v>
      </c>
    </row>
    <row r="847" spans="1:18" hidden="1">
      <c r="A847" s="1">
        <v>2</v>
      </c>
      <c r="B847" s="1" t="str">
        <f>"قطعات و لوازم يدكي"</f>
        <v>قطعات و لوازم يدكي</v>
      </c>
      <c r="C847" s="1">
        <v>101</v>
      </c>
      <c r="D847" s="1" t="str">
        <f>"انبار قطعات و لوازم يدكي اصفهان"</f>
        <v>انبار قطعات و لوازم يدكي اصفهان</v>
      </c>
      <c r="E847" s="1" t="str">
        <f>"6843142482"</f>
        <v>6843142482</v>
      </c>
      <c r="F847" s="1" t="str">
        <f>"كابل6*4"</f>
        <v>كابل6*4</v>
      </c>
      <c r="G847" s="1" t="str">
        <f>"متر"</f>
        <v>متر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O847" s="1">
        <v>97</v>
      </c>
      <c r="P847" s="1">
        <f t="shared" si="39"/>
        <v>0</v>
      </c>
      <c r="Q847" s="1">
        <f t="shared" si="40"/>
        <v>0</v>
      </c>
      <c r="R847" s="1" t="e">
        <f t="shared" si="41"/>
        <v>#DIV/0!</v>
      </c>
    </row>
    <row r="848" spans="1:18" hidden="1">
      <c r="A848" s="1">
        <v>2</v>
      </c>
      <c r="B848" s="1" t="str">
        <f>"قطعات و لوازم يدكي"</f>
        <v>قطعات و لوازم يدكي</v>
      </c>
      <c r="C848" s="1">
        <v>101</v>
      </c>
      <c r="D848" s="1" t="str">
        <f>"انبار قطعات و لوازم يدكي اصفهان"</f>
        <v>انبار قطعات و لوازم يدكي اصفهان</v>
      </c>
      <c r="E848" s="1" t="str">
        <f>"6878900502"</f>
        <v>6878900502</v>
      </c>
      <c r="F848" s="1" t="str">
        <f>"کابل 70*1"</f>
        <v>کابل 70*1</v>
      </c>
      <c r="G848" s="1" t="str">
        <f>"متر"</f>
        <v>متر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O848" s="1">
        <v>97</v>
      </c>
      <c r="P848" s="1">
        <f t="shared" si="39"/>
        <v>0</v>
      </c>
      <c r="Q848" s="1">
        <f t="shared" si="40"/>
        <v>0</v>
      </c>
      <c r="R848" s="1" t="e">
        <f t="shared" si="41"/>
        <v>#DIV/0!</v>
      </c>
    </row>
    <row r="849" spans="1:18">
      <c r="A849" s="1">
        <v>2</v>
      </c>
      <c r="B849" s="1" t="str">
        <f>"قطعات و لوازم يدكي"</f>
        <v>قطعات و لوازم يدكي</v>
      </c>
      <c r="C849" s="1">
        <v>101</v>
      </c>
      <c r="D849" s="1" t="str">
        <f>"انبار قطعات و لوازم يدكي اصفهان"</f>
        <v>انبار قطعات و لوازم يدكي اصفهان</v>
      </c>
      <c r="E849" s="1" t="str">
        <f>"6901010012"</f>
        <v>6901010012</v>
      </c>
      <c r="F849" s="1" t="str">
        <f>"گلند مستقيم LT-A-M"</f>
        <v>گلند مستقيم LT-A-M</v>
      </c>
      <c r="G849" s="1" t="str">
        <f>"عدد"</f>
        <v>عدد</v>
      </c>
      <c r="H849" s="1">
        <v>20</v>
      </c>
      <c r="I849" s="1">
        <v>1100000</v>
      </c>
      <c r="J849" s="1">
        <v>0</v>
      </c>
      <c r="K849" s="1">
        <v>0</v>
      </c>
      <c r="L849" s="1">
        <v>10</v>
      </c>
      <c r="M849" s="1">
        <v>550000</v>
      </c>
      <c r="O849" s="1">
        <v>97</v>
      </c>
      <c r="P849" s="4">
        <f t="shared" si="39"/>
        <v>550000</v>
      </c>
      <c r="Q849" s="4">
        <f t="shared" si="40"/>
        <v>10</v>
      </c>
      <c r="R849" s="4">
        <f t="shared" si="41"/>
        <v>55000</v>
      </c>
    </row>
    <row r="850" spans="1:18">
      <c r="A850" s="1">
        <v>2</v>
      </c>
      <c r="B850" s="1" t="str">
        <f>"قطعات و لوازم يدكي"</f>
        <v>قطعات و لوازم يدكي</v>
      </c>
      <c r="C850" s="1">
        <v>101</v>
      </c>
      <c r="D850" s="1" t="str">
        <f>"انبار قطعات و لوازم يدكي اصفهان"</f>
        <v>انبار قطعات و لوازم يدكي اصفهان</v>
      </c>
      <c r="E850" s="1" t="str">
        <f>"6901010022"</f>
        <v>6901010022</v>
      </c>
      <c r="F850" s="1" t="str">
        <f>"سر لوله فلزي FRL"</f>
        <v>سر لوله فلزي FRL</v>
      </c>
      <c r="G850" s="1" t="str">
        <f>"عدد"</f>
        <v>عدد</v>
      </c>
      <c r="H850" s="1">
        <v>19</v>
      </c>
      <c r="I850" s="1">
        <v>665000</v>
      </c>
      <c r="J850" s="1">
        <v>0</v>
      </c>
      <c r="K850" s="1">
        <v>0</v>
      </c>
      <c r="L850" s="1">
        <v>0</v>
      </c>
      <c r="M850" s="1">
        <v>0</v>
      </c>
      <c r="O850" s="1">
        <v>97</v>
      </c>
      <c r="P850" s="4">
        <f t="shared" si="39"/>
        <v>665000</v>
      </c>
      <c r="Q850" s="4">
        <f t="shared" si="40"/>
        <v>19</v>
      </c>
      <c r="R850" s="4">
        <f t="shared" si="41"/>
        <v>35000</v>
      </c>
    </row>
    <row r="851" spans="1:18" hidden="1">
      <c r="A851" s="1">
        <v>2</v>
      </c>
      <c r="B851" s="1" t="str">
        <f>"قطعات و لوازم يدكي"</f>
        <v>قطعات و لوازم يدكي</v>
      </c>
      <c r="C851" s="1">
        <v>101</v>
      </c>
      <c r="D851" s="1" t="str">
        <f>"انبار قطعات و لوازم يدكي اصفهان"</f>
        <v>انبار قطعات و لوازم يدكي اصفهان</v>
      </c>
      <c r="E851" s="1" t="str">
        <f>"6901020122"</f>
        <v>6901020122</v>
      </c>
      <c r="F851" s="1" t="str">
        <f>"پيچ و مهره نمره 8 با واشر"</f>
        <v>پيچ و مهره نمره 8 با واشر</v>
      </c>
      <c r="G851" s="1" t="str">
        <f>"عدد"</f>
        <v>عدد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O851" s="1">
        <v>97</v>
      </c>
      <c r="P851" s="1">
        <f t="shared" si="39"/>
        <v>0</v>
      </c>
      <c r="Q851" s="1">
        <f t="shared" si="40"/>
        <v>0</v>
      </c>
      <c r="R851" s="1" t="e">
        <f t="shared" si="41"/>
        <v>#DIV/0!</v>
      </c>
    </row>
    <row r="852" spans="1:18" hidden="1">
      <c r="A852" s="1">
        <v>2</v>
      </c>
      <c r="B852" s="1" t="str">
        <f>"قطعات و لوازم يدكي"</f>
        <v>قطعات و لوازم يدكي</v>
      </c>
      <c r="C852" s="1">
        <v>101</v>
      </c>
      <c r="D852" s="1" t="str">
        <f>"انبار قطعات و لوازم يدكي اصفهان"</f>
        <v>انبار قطعات و لوازم يدكي اصفهان</v>
      </c>
      <c r="E852" s="1" t="str">
        <f>"6901020162"</f>
        <v>6901020162</v>
      </c>
      <c r="F852" s="1" t="str">
        <f>"پيچ سربسته 2 سانت"</f>
        <v>پيچ سربسته 2 سانت</v>
      </c>
      <c r="G852" s="1" t="str">
        <f>"عدد"</f>
        <v>عدد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O852" s="1">
        <v>97</v>
      </c>
      <c r="P852" s="1">
        <f t="shared" si="39"/>
        <v>0</v>
      </c>
      <c r="Q852" s="1">
        <f t="shared" si="40"/>
        <v>0</v>
      </c>
      <c r="R852" s="1" t="e">
        <f t="shared" si="41"/>
        <v>#DIV/0!</v>
      </c>
    </row>
    <row r="853" spans="1:18" hidden="1">
      <c r="A853" s="1">
        <v>2</v>
      </c>
      <c r="B853" s="1" t="str">
        <f>"قطعات و لوازم يدكي"</f>
        <v>قطعات و لوازم يدكي</v>
      </c>
      <c r="C853" s="1">
        <v>101</v>
      </c>
      <c r="D853" s="1" t="str">
        <f>"انبار قطعات و لوازم يدكي اصفهان"</f>
        <v>انبار قطعات و لوازم يدكي اصفهان</v>
      </c>
      <c r="E853" s="1" t="str">
        <f>"6901020192"</f>
        <v>6901020192</v>
      </c>
      <c r="F853" s="1" t="str">
        <f>"بست چنگالي 1/2-1"</f>
        <v>بست چنگالي 1/2-1</v>
      </c>
      <c r="G853" s="1" t="str">
        <f>"عدد"</f>
        <v>عدد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O853" s="1">
        <v>97</v>
      </c>
      <c r="P853" s="1">
        <f t="shared" si="39"/>
        <v>0</v>
      </c>
      <c r="Q853" s="1">
        <f t="shared" si="40"/>
        <v>0</v>
      </c>
      <c r="R853" s="1" t="e">
        <f t="shared" si="41"/>
        <v>#DIV/0!</v>
      </c>
    </row>
    <row r="854" spans="1:18">
      <c r="A854" s="1">
        <v>2</v>
      </c>
      <c r="B854" s="1" t="str">
        <f>"قطعات و لوازم يدكي"</f>
        <v>قطعات و لوازم يدكي</v>
      </c>
      <c r="C854" s="1">
        <v>101</v>
      </c>
      <c r="D854" s="1" t="str">
        <f>"انبار قطعات و لوازم يدكي اصفهان"</f>
        <v>انبار قطعات و لوازم يدكي اصفهان</v>
      </c>
      <c r="E854" s="1" t="str">
        <f>"6901020222"</f>
        <v>6901020222</v>
      </c>
      <c r="F854" s="1" t="str">
        <f>"ترمينال 16 ريلي"</f>
        <v>ترمينال 16 ريلي</v>
      </c>
      <c r="G854" s="1" t="str">
        <f>"عدد"</f>
        <v>عدد</v>
      </c>
      <c r="H854" s="1">
        <v>0</v>
      </c>
      <c r="I854" s="1">
        <v>0</v>
      </c>
      <c r="J854" s="1">
        <v>30</v>
      </c>
      <c r="K854" s="1">
        <v>1260000</v>
      </c>
      <c r="L854" s="1">
        <v>0</v>
      </c>
      <c r="M854" s="1">
        <v>0</v>
      </c>
      <c r="O854" s="1">
        <v>97</v>
      </c>
      <c r="P854" s="4">
        <f t="shared" si="39"/>
        <v>1260000</v>
      </c>
      <c r="Q854" s="4">
        <f t="shared" si="40"/>
        <v>30</v>
      </c>
      <c r="R854" s="4">
        <f t="shared" si="41"/>
        <v>42000</v>
      </c>
    </row>
    <row r="855" spans="1:18" hidden="1">
      <c r="A855" s="1">
        <v>2</v>
      </c>
      <c r="B855" s="1" t="str">
        <f>"قطعات و لوازم يدكي"</f>
        <v>قطعات و لوازم يدكي</v>
      </c>
      <c r="C855" s="1">
        <v>101</v>
      </c>
      <c r="D855" s="1" t="str">
        <f>"انبار قطعات و لوازم يدكي اصفهان"</f>
        <v>انبار قطعات و لوازم يدكي اصفهان</v>
      </c>
      <c r="E855" s="1" t="str">
        <f>"6901400222"</f>
        <v>6901400222</v>
      </c>
      <c r="F855" s="1" t="str">
        <f>"لامپ كم مصرف افتابي 20W"</f>
        <v>لامپ كم مصرف افتابي 20W</v>
      </c>
      <c r="G855" s="1" t="str">
        <f>"عدد"</f>
        <v>عدد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O855" s="1">
        <v>97</v>
      </c>
      <c r="P855" s="1">
        <f t="shared" si="39"/>
        <v>0</v>
      </c>
      <c r="Q855" s="1">
        <f t="shared" si="40"/>
        <v>0</v>
      </c>
      <c r="R855" s="1" t="e">
        <f t="shared" si="41"/>
        <v>#DIV/0!</v>
      </c>
    </row>
    <row r="856" spans="1:18" hidden="1">
      <c r="A856" s="1">
        <v>2</v>
      </c>
      <c r="B856" s="1" t="str">
        <f>"قطعات و لوازم يدكي"</f>
        <v>قطعات و لوازم يدكي</v>
      </c>
      <c r="C856" s="1">
        <v>101</v>
      </c>
      <c r="D856" s="1" t="str">
        <f>"انبار قطعات و لوازم يدكي اصفهان"</f>
        <v>انبار قطعات و لوازم يدكي اصفهان</v>
      </c>
      <c r="E856" s="1" t="str">
        <f>"6901400482"</f>
        <v>6901400482</v>
      </c>
      <c r="F856" s="1" t="str">
        <f>"لامپ کم مصرف 10W LED سر پيچي"</f>
        <v>لامپ کم مصرف 10W LED سر پيچي</v>
      </c>
      <c r="G856" s="1" t="str">
        <f>"عدد"</f>
        <v>عدد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O856" s="1">
        <v>97</v>
      </c>
      <c r="P856" s="1">
        <f t="shared" si="39"/>
        <v>0</v>
      </c>
      <c r="Q856" s="1">
        <f t="shared" si="40"/>
        <v>0</v>
      </c>
      <c r="R856" s="1" t="e">
        <f t="shared" si="41"/>
        <v>#DIV/0!</v>
      </c>
    </row>
    <row r="857" spans="1:18">
      <c r="A857" s="1">
        <v>2</v>
      </c>
      <c r="B857" s="1" t="str">
        <f>"قطعات و لوازم يدكي"</f>
        <v>قطعات و لوازم يدكي</v>
      </c>
      <c r="C857" s="1">
        <v>101</v>
      </c>
      <c r="D857" s="1" t="str">
        <f>"انبار قطعات و لوازم يدكي اصفهان"</f>
        <v>انبار قطعات و لوازم يدكي اصفهان</v>
      </c>
      <c r="E857" s="1" t="str">
        <f>"6901400492"</f>
        <v>6901400492</v>
      </c>
      <c r="F857" s="1" t="str">
        <f>"لامپ مهتابي کم مصرف PL-L 18W"</f>
        <v>لامپ مهتابي کم مصرف PL-L 18W</v>
      </c>
      <c r="G857" s="1" t="str">
        <f>"عدد"</f>
        <v>عدد</v>
      </c>
      <c r="H857" s="1">
        <v>4</v>
      </c>
      <c r="I857" s="1">
        <v>240000</v>
      </c>
      <c r="J857" s="1">
        <v>50</v>
      </c>
      <c r="K857" s="1">
        <v>3100000</v>
      </c>
      <c r="L857" s="1">
        <v>14</v>
      </c>
      <c r="M857" s="1">
        <v>865927</v>
      </c>
      <c r="O857" s="1">
        <v>97</v>
      </c>
      <c r="P857" s="4">
        <f t="shared" si="39"/>
        <v>2474073</v>
      </c>
      <c r="Q857" s="4">
        <f t="shared" si="40"/>
        <v>40</v>
      </c>
      <c r="R857" s="4">
        <f t="shared" si="41"/>
        <v>61851.824999999997</v>
      </c>
    </row>
    <row r="858" spans="1:18">
      <c r="A858" s="1">
        <v>2</v>
      </c>
      <c r="B858" s="1" t="str">
        <f>"قطعات و لوازم يدكي"</f>
        <v>قطعات و لوازم يدكي</v>
      </c>
      <c r="C858" s="1">
        <v>101</v>
      </c>
      <c r="D858" s="1" t="str">
        <f>"انبار قطعات و لوازم يدكي اصفهان"</f>
        <v>انبار قطعات و لوازم يدكي اصفهان</v>
      </c>
      <c r="E858" s="1" t="str">
        <f>"6901462442"</f>
        <v>6901462442</v>
      </c>
      <c r="F858" s="1" t="str">
        <f>"لامپ 100W"</f>
        <v>لامپ 100W</v>
      </c>
      <c r="G858" s="1" t="str">
        <f>"عدد"</f>
        <v>عدد</v>
      </c>
      <c r="H858" s="1">
        <v>35</v>
      </c>
      <c r="I858" s="1">
        <v>525000</v>
      </c>
      <c r="J858" s="1">
        <v>0</v>
      </c>
      <c r="K858" s="1">
        <v>0</v>
      </c>
      <c r="L858" s="1">
        <v>4</v>
      </c>
      <c r="M858" s="1">
        <v>60000</v>
      </c>
      <c r="O858" s="1">
        <v>97</v>
      </c>
      <c r="P858" s="4">
        <f t="shared" si="39"/>
        <v>465000</v>
      </c>
      <c r="Q858" s="4">
        <f t="shared" si="40"/>
        <v>31</v>
      </c>
      <c r="R858" s="4">
        <f t="shared" si="41"/>
        <v>15000</v>
      </c>
    </row>
    <row r="859" spans="1:18">
      <c r="A859" s="1">
        <v>2</v>
      </c>
      <c r="B859" s="1" t="str">
        <f>"قطعات و لوازم يدكي"</f>
        <v>قطعات و لوازم يدكي</v>
      </c>
      <c r="C859" s="1">
        <v>101</v>
      </c>
      <c r="D859" s="1" t="str">
        <f>"انبار قطعات و لوازم يدكي اصفهان"</f>
        <v>انبار قطعات و لوازم يدكي اصفهان</v>
      </c>
      <c r="E859" s="1" t="str">
        <f>"6935521822"</f>
        <v>6935521822</v>
      </c>
      <c r="F859" s="1" t="str">
        <f>"لامپ HQL 400 W"</f>
        <v>لامپ HQL 400 W</v>
      </c>
      <c r="G859" s="1" t="str">
        <f>"عدد"</f>
        <v>عدد</v>
      </c>
      <c r="H859" s="1">
        <v>8</v>
      </c>
      <c r="I859" s="1">
        <v>84898</v>
      </c>
      <c r="J859" s="1">
        <v>0</v>
      </c>
      <c r="K859" s="1">
        <v>0</v>
      </c>
      <c r="L859" s="1">
        <v>0</v>
      </c>
      <c r="M859" s="1">
        <v>0</v>
      </c>
      <c r="O859" s="1">
        <v>97</v>
      </c>
      <c r="P859" s="4">
        <f t="shared" si="39"/>
        <v>84898</v>
      </c>
      <c r="Q859" s="4">
        <f t="shared" si="40"/>
        <v>8</v>
      </c>
      <c r="R859" s="4">
        <f t="shared" si="41"/>
        <v>10612.25</v>
      </c>
    </row>
    <row r="860" spans="1:18">
      <c r="A860" s="1">
        <v>2</v>
      </c>
      <c r="B860" s="1" t="str">
        <f>"قطعات و لوازم يدكي"</f>
        <v>قطعات و لوازم يدكي</v>
      </c>
      <c r="C860" s="1">
        <v>101</v>
      </c>
      <c r="D860" s="1" t="str">
        <f>"انبار قطعات و لوازم يدكي اصفهان"</f>
        <v>انبار قطعات و لوازم يدكي اصفهان</v>
      </c>
      <c r="E860" s="1" t="str">
        <f>"6935521842"</f>
        <v>6935521842</v>
      </c>
      <c r="F860" s="1" t="str">
        <f>"لامپ خياري 400W مهتابي"</f>
        <v>لامپ خياري 400W مهتابي</v>
      </c>
      <c r="G860" s="1" t="str">
        <f>"عدد"</f>
        <v>عدد</v>
      </c>
      <c r="H860" s="1">
        <v>5</v>
      </c>
      <c r="I860" s="1">
        <v>1840000</v>
      </c>
      <c r="J860" s="1">
        <v>20</v>
      </c>
      <c r="K860" s="1">
        <v>20200000</v>
      </c>
      <c r="L860" s="1">
        <v>5</v>
      </c>
      <c r="M860" s="1">
        <v>1840000</v>
      </c>
      <c r="O860" s="1">
        <v>97</v>
      </c>
      <c r="P860" s="4">
        <f t="shared" si="39"/>
        <v>20200000</v>
      </c>
      <c r="Q860" s="4">
        <f t="shared" si="40"/>
        <v>20</v>
      </c>
      <c r="R860" s="4">
        <f t="shared" si="41"/>
        <v>1010000</v>
      </c>
    </row>
    <row r="861" spans="1:18">
      <c r="A861" s="1">
        <v>2</v>
      </c>
      <c r="B861" s="1" t="str">
        <f>"قطعات و لوازم يدكي"</f>
        <v>قطعات و لوازم يدكي</v>
      </c>
      <c r="C861" s="1">
        <v>101</v>
      </c>
      <c r="D861" s="1" t="str">
        <f>"انبار قطعات و لوازم يدكي اصفهان"</f>
        <v>انبار قطعات و لوازم يدكي اصفهان</v>
      </c>
      <c r="E861" s="1" t="str">
        <f>"6941781402"</f>
        <v>6941781402</v>
      </c>
      <c r="F861" s="1" t="str">
        <f>"لامپ مهتابي 40w"</f>
        <v>لامپ مهتابي 40w</v>
      </c>
      <c r="G861" s="1" t="str">
        <f>"عدد"</f>
        <v>عدد</v>
      </c>
      <c r="H861" s="1">
        <v>87</v>
      </c>
      <c r="I861" s="1">
        <v>2116405</v>
      </c>
      <c r="J861" s="1">
        <v>0</v>
      </c>
      <c r="K861" s="1">
        <v>0</v>
      </c>
      <c r="L861" s="1">
        <v>84</v>
      </c>
      <c r="M861" s="1">
        <v>2043425</v>
      </c>
      <c r="O861" s="1">
        <v>97</v>
      </c>
      <c r="P861" s="4">
        <f t="shared" si="39"/>
        <v>72980</v>
      </c>
      <c r="Q861" s="4">
        <f t="shared" si="40"/>
        <v>3</v>
      </c>
      <c r="R861" s="4">
        <f t="shared" si="41"/>
        <v>24326.666666666668</v>
      </c>
    </row>
    <row r="862" spans="1:18">
      <c r="A862" s="1">
        <v>2</v>
      </c>
      <c r="B862" s="1" t="str">
        <f>"قطعات و لوازم يدكي"</f>
        <v>قطعات و لوازم يدكي</v>
      </c>
      <c r="C862" s="1">
        <v>101</v>
      </c>
      <c r="D862" s="1" t="str">
        <f>"انبار قطعات و لوازم يدكي اصفهان"</f>
        <v>انبار قطعات و لوازم يدكي اصفهان</v>
      </c>
      <c r="E862" s="1" t="str">
        <f>"6980291422"</f>
        <v>6980291422</v>
      </c>
      <c r="F862" s="1" t="str">
        <f>"استارت مهتابي"</f>
        <v>استارت مهتابي</v>
      </c>
      <c r="G862" s="1" t="str">
        <f>"عدد"</f>
        <v>عدد</v>
      </c>
      <c r="H862" s="1">
        <v>269</v>
      </c>
      <c r="I862" s="1">
        <v>3991613</v>
      </c>
      <c r="J862" s="1">
        <v>0</v>
      </c>
      <c r="K862" s="1">
        <v>0</v>
      </c>
      <c r="L862" s="1">
        <v>63</v>
      </c>
      <c r="M862" s="1">
        <v>934840</v>
      </c>
      <c r="O862" s="1">
        <v>97</v>
      </c>
      <c r="P862" s="4">
        <f t="shared" si="39"/>
        <v>3056773</v>
      </c>
      <c r="Q862" s="4">
        <f t="shared" si="40"/>
        <v>206</v>
      </c>
      <c r="R862" s="4">
        <f t="shared" si="41"/>
        <v>14838.703883495145</v>
      </c>
    </row>
    <row r="863" spans="1:18">
      <c r="A863" s="1">
        <v>2</v>
      </c>
      <c r="B863" s="1" t="str">
        <f>"قطعات و لوازم يدكي"</f>
        <v>قطعات و لوازم يدكي</v>
      </c>
      <c r="C863" s="1">
        <v>101</v>
      </c>
      <c r="D863" s="1" t="str">
        <f>"انبار قطعات و لوازم يدكي اصفهان"</f>
        <v>انبار قطعات و لوازم يدكي اصفهان</v>
      </c>
      <c r="E863" s="1" t="str">
        <f>"7001010042"</f>
        <v>7001010042</v>
      </c>
      <c r="F863" s="1" t="str">
        <f>"رله شانت 230 ولت"</f>
        <v>رله شانت 230 ولت</v>
      </c>
      <c r="G863" s="1" t="str">
        <f>"عدد"</f>
        <v>عدد</v>
      </c>
      <c r="H863" s="1">
        <v>2</v>
      </c>
      <c r="I863" s="1">
        <v>2700000</v>
      </c>
      <c r="J863" s="1">
        <v>0</v>
      </c>
      <c r="K863" s="1">
        <v>0</v>
      </c>
      <c r="L863" s="1">
        <v>0</v>
      </c>
      <c r="M863" s="1">
        <v>0</v>
      </c>
      <c r="O863" s="1">
        <v>97</v>
      </c>
      <c r="P863" s="4">
        <f t="shared" si="39"/>
        <v>2700000</v>
      </c>
      <c r="Q863" s="4">
        <f t="shared" si="40"/>
        <v>2</v>
      </c>
      <c r="R863" s="4">
        <f t="shared" si="41"/>
        <v>1350000</v>
      </c>
    </row>
    <row r="864" spans="1:18">
      <c r="A864" s="1">
        <v>2</v>
      </c>
      <c r="B864" s="1" t="str">
        <f>"قطعات و لوازم يدكي"</f>
        <v>قطعات و لوازم يدكي</v>
      </c>
      <c r="C864" s="1">
        <v>101</v>
      </c>
      <c r="D864" s="1" t="str">
        <f>"انبار قطعات و لوازم يدكي اصفهان"</f>
        <v>انبار قطعات و لوازم يدكي اصفهان</v>
      </c>
      <c r="E864" s="1" t="str">
        <f>"7001010062"</f>
        <v>7001010062</v>
      </c>
      <c r="F864" s="1" t="str">
        <f>"پدال"</f>
        <v>پدال</v>
      </c>
      <c r="G864" s="1" t="str">
        <f>"عدد"</f>
        <v>عدد</v>
      </c>
      <c r="H864" s="1">
        <v>1</v>
      </c>
      <c r="I864" s="1">
        <v>100000</v>
      </c>
      <c r="J864" s="1">
        <v>0</v>
      </c>
      <c r="K864" s="1">
        <v>0</v>
      </c>
      <c r="L864" s="1">
        <v>0</v>
      </c>
      <c r="M864" s="1">
        <v>0</v>
      </c>
      <c r="O864" s="1">
        <v>97</v>
      </c>
      <c r="P864" s="4">
        <f t="shared" si="39"/>
        <v>100000</v>
      </c>
      <c r="Q864" s="4">
        <f t="shared" si="40"/>
        <v>1</v>
      </c>
      <c r="R864" s="4">
        <f t="shared" si="41"/>
        <v>100000</v>
      </c>
    </row>
    <row r="865" spans="1:18">
      <c r="A865" s="1">
        <v>2</v>
      </c>
      <c r="B865" s="1" t="str">
        <f>"قطعات و لوازم يدكي"</f>
        <v>قطعات و لوازم يدكي</v>
      </c>
      <c r="C865" s="1">
        <v>101</v>
      </c>
      <c r="D865" s="1" t="str">
        <f>"انبار قطعات و لوازم يدكي اصفهان"</f>
        <v>انبار قطعات و لوازم يدكي اصفهان</v>
      </c>
      <c r="E865" s="1" t="str">
        <f>"7001010092"</f>
        <v>7001010092</v>
      </c>
      <c r="F865" s="1" t="str">
        <f>"کابين مخصوص رله"</f>
        <v>کابين مخصوص رله</v>
      </c>
      <c r="G865" s="1" t="str">
        <f>"عدد"</f>
        <v>عدد</v>
      </c>
      <c r="H865" s="1">
        <v>2</v>
      </c>
      <c r="I865" s="1">
        <v>1900000</v>
      </c>
      <c r="J865" s="1">
        <v>0</v>
      </c>
      <c r="K865" s="1">
        <v>0</v>
      </c>
      <c r="L865" s="1">
        <v>0</v>
      </c>
      <c r="M865" s="1">
        <v>0</v>
      </c>
      <c r="O865" s="1">
        <v>97</v>
      </c>
      <c r="P865" s="4">
        <f t="shared" si="39"/>
        <v>1900000</v>
      </c>
      <c r="Q865" s="4">
        <f t="shared" si="40"/>
        <v>2</v>
      </c>
      <c r="R865" s="4">
        <f t="shared" si="41"/>
        <v>950000</v>
      </c>
    </row>
    <row r="866" spans="1:18">
      <c r="A866" s="1">
        <v>2</v>
      </c>
      <c r="B866" s="1" t="str">
        <f>"قطعات و لوازم يدكي"</f>
        <v>قطعات و لوازم يدكي</v>
      </c>
      <c r="C866" s="1">
        <v>101</v>
      </c>
      <c r="D866" s="1" t="str">
        <f>"انبار قطعات و لوازم يدكي اصفهان"</f>
        <v>انبار قطعات و لوازم يدكي اصفهان</v>
      </c>
      <c r="E866" s="1" t="str">
        <f>"7042043052"</f>
        <v>7042043052</v>
      </c>
      <c r="F866" s="1" t="str">
        <f>"كليد تك پل درپوش دار"</f>
        <v>كليد تك پل درپوش دار</v>
      </c>
      <c r="G866" s="1" t="str">
        <f>"عدد"</f>
        <v>عدد</v>
      </c>
      <c r="H866" s="1">
        <v>25</v>
      </c>
      <c r="I866" s="1">
        <v>555556</v>
      </c>
      <c r="J866" s="1">
        <v>0</v>
      </c>
      <c r="K866" s="1">
        <v>0</v>
      </c>
      <c r="L866" s="1">
        <v>1</v>
      </c>
      <c r="M866" s="1">
        <v>22222</v>
      </c>
      <c r="O866" s="1">
        <v>97</v>
      </c>
      <c r="P866" s="4">
        <f t="shared" si="39"/>
        <v>533334</v>
      </c>
      <c r="Q866" s="4">
        <f t="shared" si="40"/>
        <v>24</v>
      </c>
      <c r="R866" s="4">
        <f t="shared" si="41"/>
        <v>22222.25</v>
      </c>
    </row>
    <row r="867" spans="1:18">
      <c r="A867" s="1">
        <v>2</v>
      </c>
      <c r="B867" s="1" t="str">
        <f>"قطعات و لوازم يدكي"</f>
        <v>قطعات و لوازم يدكي</v>
      </c>
      <c r="C867" s="1">
        <v>101</v>
      </c>
      <c r="D867" s="1" t="str">
        <f>"انبار قطعات و لوازم يدكي اصفهان"</f>
        <v>انبار قطعات و لوازم يدكي اصفهان</v>
      </c>
      <c r="E867" s="1" t="str">
        <f>"7061044102"</f>
        <v>7061044102</v>
      </c>
      <c r="F867" s="1" t="str">
        <f>"فيوز  كاردي 20A"</f>
        <v>فيوز  كاردي 20A</v>
      </c>
      <c r="G867" s="1" t="str">
        <f>"عدد"</f>
        <v>عدد</v>
      </c>
      <c r="H867" s="1">
        <v>6</v>
      </c>
      <c r="I867" s="1">
        <v>44361</v>
      </c>
      <c r="J867" s="1">
        <v>9</v>
      </c>
      <c r="K867" s="1">
        <v>1890000</v>
      </c>
      <c r="L867" s="1">
        <v>6</v>
      </c>
      <c r="M867" s="1">
        <v>44361</v>
      </c>
      <c r="O867" s="1">
        <v>97</v>
      </c>
      <c r="P867" s="4">
        <f t="shared" si="39"/>
        <v>1890000</v>
      </c>
      <c r="Q867" s="4">
        <f t="shared" si="40"/>
        <v>9</v>
      </c>
      <c r="R867" s="4">
        <f t="shared" si="41"/>
        <v>210000</v>
      </c>
    </row>
    <row r="868" spans="1:18">
      <c r="A868" s="1">
        <v>2</v>
      </c>
      <c r="B868" s="1" t="str">
        <f>"قطعات و لوازم يدكي"</f>
        <v>قطعات و لوازم يدكي</v>
      </c>
      <c r="C868" s="1">
        <v>101</v>
      </c>
      <c r="D868" s="1" t="str">
        <f>"انبار قطعات و لوازم يدكي اصفهان"</f>
        <v>انبار قطعات و لوازم يدكي اصفهان</v>
      </c>
      <c r="E868" s="1" t="str">
        <f>"7061044262"</f>
        <v>7061044262</v>
      </c>
      <c r="F868" s="1" t="str">
        <f>"فيوز كاردي 100A  پايه كوتاه"</f>
        <v>فيوز كاردي 100A  پايه كوتاه</v>
      </c>
      <c r="G868" s="1" t="str">
        <f>"عدد"</f>
        <v>عدد</v>
      </c>
      <c r="H868" s="1">
        <v>13</v>
      </c>
      <c r="I868" s="1">
        <v>1006762</v>
      </c>
      <c r="J868" s="1">
        <v>6</v>
      </c>
      <c r="K868" s="1">
        <v>1290000</v>
      </c>
      <c r="L868" s="1">
        <v>9</v>
      </c>
      <c r="M868" s="1">
        <v>887452</v>
      </c>
      <c r="O868" s="1">
        <v>97</v>
      </c>
      <c r="P868" s="4">
        <f t="shared" si="39"/>
        <v>1409310</v>
      </c>
      <c r="Q868" s="4">
        <f t="shared" si="40"/>
        <v>10</v>
      </c>
      <c r="R868" s="4">
        <f t="shared" si="41"/>
        <v>140931</v>
      </c>
    </row>
    <row r="869" spans="1:18">
      <c r="A869" s="1">
        <v>2</v>
      </c>
      <c r="B869" s="1" t="str">
        <f>"قطعات و لوازم يدكي"</f>
        <v>قطعات و لوازم يدكي</v>
      </c>
      <c r="C869" s="1">
        <v>101</v>
      </c>
      <c r="D869" s="1" t="str">
        <f>"انبار قطعات و لوازم يدكي اصفهان"</f>
        <v>انبار قطعات و لوازم يدكي اصفهان</v>
      </c>
      <c r="E869" s="1" t="str">
        <f>"7061044282"</f>
        <v>7061044282</v>
      </c>
      <c r="F869" s="1" t="str">
        <f>"فيوز کاردي A 125 پايه کوتاه"</f>
        <v>فيوز کاردي A 125 پايه کوتاه</v>
      </c>
      <c r="G869" s="1" t="str">
        <f>"عدد"</f>
        <v>عدد</v>
      </c>
      <c r="H869" s="1">
        <v>3</v>
      </c>
      <c r="I869" s="1">
        <v>45000</v>
      </c>
      <c r="J869" s="1">
        <v>0</v>
      </c>
      <c r="K869" s="1">
        <v>0</v>
      </c>
      <c r="L869" s="1">
        <v>0</v>
      </c>
      <c r="M869" s="1">
        <v>0</v>
      </c>
      <c r="O869" s="1">
        <v>97</v>
      </c>
      <c r="P869" s="4">
        <f t="shared" si="39"/>
        <v>45000</v>
      </c>
      <c r="Q869" s="4">
        <f t="shared" si="40"/>
        <v>3</v>
      </c>
      <c r="R869" s="4">
        <f t="shared" si="41"/>
        <v>15000</v>
      </c>
    </row>
    <row r="870" spans="1:18" hidden="1">
      <c r="A870" s="1">
        <v>2</v>
      </c>
      <c r="B870" s="1" t="str">
        <f>"قطعات و لوازم يدكي"</f>
        <v>قطعات و لوازم يدكي</v>
      </c>
      <c r="C870" s="1">
        <v>101</v>
      </c>
      <c r="D870" s="1" t="str">
        <f>"انبار قطعات و لوازم يدكي اصفهان"</f>
        <v>انبار قطعات و لوازم يدكي اصفهان</v>
      </c>
      <c r="E870" s="1" t="str">
        <f>"7301020032"</f>
        <v>7301020032</v>
      </c>
      <c r="F870" s="1" t="str">
        <f>"فلاکسي بل 1/2-1 11 متري"</f>
        <v>فلاکسي بل 1/2-1 11 متري</v>
      </c>
      <c r="G870" s="1" t="str">
        <f>"عدد"</f>
        <v>عدد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O870" s="1">
        <v>97</v>
      </c>
      <c r="P870" s="1">
        <f t="shared" si="39"/>
        <v>0</v>
      </c>
      <c r="Q870" s="1">
        <f t="shared" si="40"/>
        <v>0</v>
      </c>
      <c r="R870" s="1" t="e">
        <f t="shared" si="41"/>
        <v>#DIV/0!</v>
      </c>
    </row>
    <row r="871" spans="1:18">
      <c r="A871" s="1">
        <v>2</v>
      </c>
      <c r="B871" s="1" t="str">
        <f>"قطعات و لوازم يدكي"</f>
        <v>قطعات و لوازم يدكي</v>
      </c>
      <c r="C871" s="1">
        <v>101</v>
      </c>
      <c r="D871" s="1" t="str">
        <f>"انبار قطعات و لوازم يدكي اصفهان"</f>
        <v>انبار قطعات و لوازم يدكي اصفهان</v>
      </c>
      <c r="E871" s="1" t="str">
        <f>"7401020042"</f>
        <v>7401020042</v>
      </c>
      <c r="F871" s="1" t="str">
        <f>"PIPE ISNSUL 1/2 PIPE SEC 50MM"</f>
        <v>PIPE ISNSUL 1/2 PIPE SEC 50MM</v>
      </c>
      <c r="G871" s="1" t="str">
        <f>"متر"</f>
        <v>متر</v>
      </c>
      <c r="H871" s="1">
        <v>40</v>
      </c>
      <c r="I871" s="1">
        <v>1120000</v>
      </c>
      <c r="J871" s="1">
        <v>0</v>
      </c>
      <c r="K871" s="1">
        <v>0</v>
      </c>
      <c r="L871" s="1">
        <v>0</v>
      </c>
      <c r="M871" s="1">
        <v>0</v>
      </c>
      <c r="O871" s="1">
        <v>97</v>
      </c>
      <c r="P871" s="4">
        <f t="shared" si="39"/>
        <v>1120000</v>
      </c>
      <c r="Q871" s="4">
        <f t="shared" si="40"/>
        <v>40</v>
      </c>
      <c r="R871" s="4">
        <f t="shared" si="41"/>
        <v>28000</v>
      </c>
    </row>
    <row r="872" spans="1:18">
      <c r="A872" s="1">
        <v>2</v>
      </c>
      <c r="B872" s="1" t="str">
        <f>"قطعات و لوازم يدكي"</f>
        <v>قطعات و لوازم يدكي</v>
      </c>
      <c r="C872" s="1">
        <v>101</v>
      </c>
      <c r="D872" s="1" t="str">
        <f>"انبار قطعات و لوازم يدكي اصفهان"</f>
        <v>انبار قطعات و لوازم يدكي اصفهان</v>
      </c>
      <c r="E872" s="1" t="str">
        <f>"7413212042"</f>
        <v>7413212042</v>
      </c>
      <c r="F872" s="1" t="str">
        <f>"لوله 8 اينچ رده 30"</f>
        <v>لوله 8 اينچ رده 30</v>
      </c>
      <c r="G872" s="1" t="str">
        <f>"فوت"</f>
        <v>فوت</v>
      </c>
      <c r="H872" s="1">
        <v>16</v>
      </c>
      <c r="I872" s="1">
        <v>7472715</v>
      </c>
      <c r="J872" s="1">
        <v>0</v>
      </c>
      <c r="K872" s="1">
        <v>0</v>
      </c>
      <c r="L872" s="1">
        <v>0</v>
      </c>
      <c r="M872" s="1">
        <v>0</v>
      </c>
      <c r="O872" s="1">
        <v>97</v>
      </c>
      <c r="P872" s="4">
        <f t="shared" si="39"/>
        <v>7472715</v>
      </c>
      <c r="Q872" s="4">
        <f t="shared" si="40"/>
        <v>16</v>
      </c>
      <c r="R872" s="4">
        <f t="shared" si="41"/>
        <v>467044.6875</v>
      </c>
    </row>
    <row r="873" spans="1:18">
      <c r="A873" s="1">
        <v>2</v>
      </c>
      <c r="B873" s="1" t="str">
        <f>"قطعات و لوازم يدكي"</f>
        <v>قطعات و لوازم يدكي</v>
      </c>
      <c r="C873" s="1">
        <v>101</v>
      </c>
      <c r="D873" s="1" t="str">
        <f>"انبار قطعات و لوازم يدكي اصفهان"</f>
        <v>انبار قطعات و لوازم يدكي اصفهان</v>
      </c>
      <c r="E873" s="1" t="str">
        <f>"7413212402"</f>
        <v>7413212402</v>
      </c>
      <c r="F873" s="1" t="str">
        <f>"لوله 10 اينچ رده 30"</f>
        <v>لوله 10 اينچ رده 30</v>
      </c>
      <c r="G873" s="1" t="str">
        <f>"فوت"</f>
        <v>فوت</v>
      </c>
      <c r="H873" s="1">
        <v>180</v>
      </c>
      <c r="I873" s="1">
        <v>40295092</v>
      </c>
      <c r="J873" s="1">
        <v>0</v>
      </c>
      <c r="K873" s="1">
        <v>0</v>
      </c>
      <c r="L873" s="1">
        <v>0</v>
      </c>
      <c r="M873" s="1">
        <v>0</v>
      </c>
      <c r="O873" s="1">
        <v>97</v>
      </c>
      <c r="P873" s="4">
        <f t="shared" si="39"/>
        <v>40295092</v>
      </c>
      <c r="Q873" s="4">
        <f t="shared" si="40"/>
        <v>180</v>
      </c>
      <c r="R873" s="4">
        <f t="shared" si="41"/>
        <v>223861.62222222221</v>
      </c>
    </row>
    <row r="874" spans="1:18">
      <c r="A874" s="1">
        <v>2</v>
      </c>
      <c r="B874" s="1" t="str">
        <f>"قطعات و لوازم يدكي"</f>
        <v>قطعات و لوازم يدكي</v>
      </c>
      <c r="C874" s="1">
        <v>101</v>
      </c>
      <c r="D874" s="1" t="str">
        <f>"انبار قطعات و لوازم يدكي اصفهان"</f>
        <v>انبار قطعات و لوازم يدكي اصفهان</v>
      </c>
      <c r="E874" s="1" t="str">
        <f>"7466221442"</f>
        <v>7466221442</v>
      </c>
      <c r="F874" s="1" t="str">
        <f>"لوله مسي 1/4 فشار قوي"</f>
        <v>لوله مسي 1/4 فشار قوي</v>
      </c>
      <c r="G874" s="1" t="str">
        <f>"متر"</f>
        <v>متر</v>
      </c>
      <c r="H874" s="1">
        <v>56</v>
      </c>
      <c r="I874" s="1">
        <v>1661333</v>
      </c>
      <c r="J874" s="1">
        <v>32</v>
      </c>
      <c r="K874" s="1">
        <v>4701800</v>
      </c>
      <c r="L874" s="1">
        <v>28</v>
      </c>
      <c r="M874" s="1">
        <v>1659133</v>
      </c>
      <c r="O874" s="1">
        <v>97</v>
      </c>
      <c r="P874" s="4">
        <f t="shared" si="39"/>
        <v>4704000</v>
      </c>
      <c r="Q874" s="4">
        <f t="shared" si="40"/>
        <v>60</v>
      </c>
      <c r="R874" s="4">
        <f t="shared" si="41"/>
        <v>78400</v>
      </c>
    </row>
    <row r="875" spans="1:18">
      <c r="A875" s="1">
        <v>2</v>
      </c>
      <c r="B875" s="1" t="str">
        <f>"قطعات و لوازم يدكي"</f>
        <v>قطعات و لوازم يدكي</v>
      </c>
      <c r="C875" s="1">
        <v>101</v>
      </c>
      <c r="D875" s="1" t="str">
        <f>"انبار قطعات و لوازم يدكي اصفهان"</f>
        <v>انبار قطعات و لوازم يدكي اصفهان</v>
      </c>
      <c r="E875" s="1" t="str">
        <f>"7466221892"</f>
        <v>7466221892</v>
      </c>
      <c r="F875" s="1" t="str">
        <f>"لوله مسي 1/2 فشار قوي"</f>
        <v>لوله مسي 1/2 فشار قوي</v>
      </c>
      <c r="G875" s="1" t="str">
        <f>"متر"</f>
        <v>متر</v>
      </c>
      <c r="H875" s="1">
        <v>66</v>
      </c>
      <c r="I875" s="1">
        <v>5219022</v>
      </c>
      <c r="J875" s="1">
        <v>30</v>
      </c>
      <c r="K875" s="1">
        <v>9600000</v>
      </c>
      <c r="L875" s="1">
        <v>61</v>
      </c>
      <c r="M875" s="1">
        <v>9256109</v>
      </c>
      <c r="O875" s="1">
        <v>97</v>
      </c>
      <c r="P875" s="4">
        <f t="shared" si="39"/>
        <v>5562913</v>
      </c>
      <c r="Q875" s="4">
        <f t="shared" si="40"/>
        <v>35</v>
      </c>
      <c r="R875" s="4">
        <f t="shared" si="41"/>
        <v>158940.37142857144</v>
      </c>
    </row>
    <row r="876" spans="1:18">
      <c r="A876" s="1">
        <v>2</v>
      </c>
      <c r="B876" s="1" t="str">
        <f>"قطعات و لوازم يدكي"</f>
        <v>قطعات و لوازم يدكي</v>
      </c>
      <c r="C876" s="1">
        <v>101</v>
      </c>
      <c r="D876" s="1" t="str">
        <f>"انبار قطعات و لوازم يدكي اصفهان"</f>
        <v>انبار قطعات و لوازم يدكي اصفهان</v>
      </c>
      <c r="E876" s="1" t="str">
        <f>"7501010012"</f>
        <v>7501010012</v>
      </c>
      <c r="F876" s="1" t="str">
        <f>"ولو تعميري"</f>
        <v>ولو تعميري</v>
      </c>
      <c r="G876" s="1" t="str">
        <f>"عدد"</f>
        <v>عدد</v>
      </c>
      <c r="H876" s="1">
        <v>40</v>
      </c>
      <c r="I876" s="1">
        <v>127200000</v>
      </c>
      <c r="J876" s="1">
        <v>0</v>
      </c>
      <c r="K876" s="1">
        <v>0</v>
      </c>
      <c r="L876" s="1">
        <v>3</v>
      </c>
      <c r="M876" s="1">
        <v>9540000</v>
      </c>
      <c r="O876" s="1">
        <v>97</v>
      </c>
      <c r="P876" s="4">
        <f t="shared" si="39"/>
        <v>117660000</v>
      </c>
      <c r="Q876" s="4">
        <f t="shared" si="40"/>
        <v>37</v>
      </c>
      <c r="R876" s="4">
        <f t="shared" si="41"/>
        <v>3180000</v>
      </c>
    </row>
    <row r="877" spans="1:18">
      <c r="A877" s="1">
        <v>2</v>
      </c>
      <c r="B877" s="1" t="str">
        <f>"قطعات و لوازم يدكي"</f>
        <v>قطعات و لوازم يدكي</v>
      </c>
      <c r="C877" s="1">
        <v>101</v>
      </c>
      <c r="D877" s="1" t="str">
        <f>"انبار قطعات و لوازم يدكي اصفهان"</f>
        <v>انبار قطعات و لوازم يدكي اصفهان</v>
      </c>
      <c r="E877" s="1" t="str">
        <f>"7521161622"</f>
        <v>7521161622</v>
      </c>
      <c r="F877" s="1" t="str">
        <f>"شير گازي 1/2-1 اينچ"</f>
        <v>شير گازي 1/2-1 اينچ</v>
      </c>
      <c r="G877" s="1" t="str">
        <f>"عدد"</f>
        <v>عدد</v>
      </c>
      <c r="H877" s="1">
        <v>3</v>
      </c>
      <c r="I877" s="1">
        <v>1500000</v>
      </c>
      <c r="J877" s="1">
        <v>1</v>
      </c>
      <c r="K877" s="1">
        <v>500000</v>
      </c>
      <c r="L877" s="1">
        <v>2</v>
      </c>
      <c r="M877" s="1">
        <v>1000000</v>
      </c>
      <c r="O877" s="1">
        <v>97</v>
      </c>
      <c r="P877" s="4">
        <f t="shared" si="39"/>
        <v>1000000</v>
      </c>
      <c r="Q877" s="4">
        <f t="shared" si="40"/>
        <v>2</v>
      </c>
      <c r="R877" s="4">
        <f t="shared" si="41"/>
        <v>500000</v>
      </c>
    </row>
    <row r="878" spans="1:18">
      <c r="A878" s="1">
        <v>2</v>
      </c>
      <c r="B878" s="1" t="str">
        <f>"قطعات و لوازم يدكي"</f>
        <v>قطعات و لوازم يدكي</v>
      </c>
      <c r="C878" s="1">
        <v>101</v>
      </c>
      <c r="D878" s="1" t="str">
        <f>"انبار قطعات و لوازم يدكي اصفهان"</f>
        <v>انبار قطعات و لوازم يدكي اصفهان</v>
      </c>
      <c r="E878" s="1" t="str">
        <f>"7525174042"</f>
        <v>7525174042</v>
      </c>
      <c r="F878" s="1" t="str">
        <f>"GLOBE VALVE 1/2 SCR GALV"</f>
        <v>GLOBE VALVE 1/2 SCR GALV</v>
      </c>
      <c r="G878" s="1" t="str">
        <f>"عدد"</f>
        <v>عدد</v>
      </c>
      <c r="H878" s="1">
        <v>4</v>
      </c>
      <c r="I878" s="1">
        <v>3880000</v>
      </c>
      <c r="J878" s="1">
        <v>0</v>
      </c>
      <c r="K878" s="1">
        <v>0</v>
      </c>
      <c r="L878" s="1">
        <v>0</v>
      </c>
      <c r="M878" s="1">
        <v>0</v>
      </c>
      <c r="O878" s="1">
        <v>97</v>
      </c>
      <c r="P878" s="4">
        <f t="shared" si="39"/>
        <v>3880000</v>
      </c>
      <c r="Q878" s="4">
        <f t="shared" si="40"/>
        <v>4</v>
      </c>
      <c r="R878" s="4">
        <f t="shared" si="41"/>
        <v>970000</v>
      </c>
    </row>
    <row r="879" spans="1:18">
      <c r="A879" s="1">
        <v>2</v>
      </c>
      <c r="B879" s="1" t="str">
        <f>"قطعات و لوازم يدكي"</f>
        <v>قطعات و لوازم يدكي</v>
      </c>
      <c r="C879" s="1">
        <v>101</v>
      </c>
      <c r="D879" s="1" t="str">
        <f>"انبار قطعات و لوازم يدكي اصفهان"</f>
        <v>انبار قطعات و لوازم يدكي اصفهان</v>
      </c>
      <c r="E879" s="1" t="str">
        <f>"7537321162"</f>
        <v>7537321162</v>
      </c>
      <c r="F879" s="1" t="s">
        <v>55</v>
      </c>
      <c r="G879" s="1" t="str">
        <f>"عدد"</f>
        <v>عدد</v>
      </c>
      <c r="H879" s="1">
        <v>13</v>
      </c>
      <c r="I879" s="1">
        <v>28862652</v>
      </c>
      <c r="J879" s="1">
        <v>1</v>
      </c>
      <c r="K879" s="1">
        <v>2220204</v>
      </c>
      <c r="L879" s="1">
        <v>2</v>
      </c>
      <c r="M879" s="1">
        <v>4440408</v>
      </c>
      <c r="O879" s="1">
        <v>97</v>
      </c>
      <c r="P879" s="4">
        <f t="shared" si="39"/>
        <v>26642448</v>
      </c>
      <c r="Q879" s="4">
        <f t="shared" si="40"/>
        <v>12</v>
      </c>
      <c r="R879" s="4">
        <f t="shared" si="41"/>
        <v>2220204</v>
      </c>
    </row>
    <row r="880" spans="1:18">
      <c r="A880" s="1">
        <v>2</v>
      </c>
      <c r="B880" s="1" t="str">
        <f>"قطعات و لوازم يدكي"</f>
        <v>قطعات و لوازم يدكي</v>
      </c>
      <c r="C880" s="1">
        <v>101</v>
      </c>
      <c r="D880" s="1" t="str">
        <f>"انبار قطعات و لوازم يدكي اصفهان"</f>
        <v>انبار قطعات و لوازم يدكي اصفهان</v>
      </c>
      <c r="E880" s="1" t="str">
        <f>"7537431202"</f>
        <v>7537431202</v>
      </c>
      <c r="F880" s="1" t="str">
        <f>"گلوب ولو  3  اينچ 300  (golob valve)"</f>
        <v>گلوب ولو  3  اينچ 300  (golob valve)</v>
      </c>
      <c r="G880" s="1" t="str">
        <f>"عدد"</f>
        <v>عدد</v>
      </c>
      <c r="H880" s="1">
        <v>4</v>
      </c>
      <c r="I880" s="1">
        <v>9002906</v>
      </c>
      <c r="J880" s="1">
        <v>0</v>
      </c>
      <c r="K880" s="1">
        <v>0</v>
      </c>
      <c r="L880" s="1">
        <v>0</v>
      </c>
      <c r="M880" s="1">
        <v>0</v>
      </c>
      <c r="O880" s="1">
        <v>97</v>
      </c>
      <c r="P880" s="4">
        <f t="shared" si="39"/>
        <v>9002906</v>
      </c>
      <c r="Q880" s="4">
        <f t="shared" si="40"/>
        <v>4</v>
      </c>
      <c r="R880" s="4">
        <f t="shared" si="41"/>
        <v>2250726.5</v>
      </c>
    </row>
    <row r="881" spans="1:18">
      <c r="A881" s="1">
        <v>2</v>
      </c>
      <c r="B881" s="1" t="str">
        <f>"قطعات و لوازم يدكي"</f>
        <v>قطعات و لوازم يدكي</v>
      </c>
      <c r="C881" s="1">
        <v>101</v>
      </c>
      <c r="D881" s="1" t="str">
        <f>"انبار قطعات و لوازم يدكي اصفهان"</f>
        <v>انبار قطعات و لوازم يدكي اصفهان</v>
      </c>
      <c r="E881" s="1" t="str">
        <f>"7634182162"</f>
        <v>7634182162</v>
      </c>
      <c r="F881" s="1" t="s">
        <v>56</v>
      </c>
      <c r="G881" s="1" t="str">
        <f>"عدد"</f>
        <v>عدد</v>
      </c>
      <c r="H881" s="1">
        <v>10</v>
      </c>
      <c r="I881" s="1">
        <v>515000</v>
      </c>
      <c r="J881" s="1">
        <v>0</v>
      </c>
      <c r="K881" s="1">
        <v>0</v>
      </c>
      <c r="L881" s="1">
        <v>0</v>
      </c>
      <c r="M881" s="1">
        <v>0</v>
      </c>
      <c r="O881" s="1">
        <v>97</v>
      </c>
      <c r="P881" s="4">
        <f t="shared" si="39"/>
        <v>515000</v>
      </c>
      <c r="Q881" s="4">
        <f t="shared" si="40"/>
        <v>10</v>
      </c>
      <c r="R881" s="4">
        <f t="shared" si="41"/>
        <v>51500</v>
      </c>
    </row>
    <row r="882" spans="1:18">
      <c r="A882" s="1">
        <v>2</v>
      </c>
      <c r="B882" s="1" t="str">
        <f>"قطعات و لوازم يدكي"</f>
        <v>قطعات و لوازم يدكي</v>
      </c>
      <c r="C882" s="1">
        <v>101</v>
      </c>
      <c r="D882" s="1" t="str">
        <f>"انبار قطعات و لوازم يدكي اصفهان"</f>
        <v>انبار قطعات و لوازم يدكي اصفهان</v>
      </c>
      <c r="E882" s="1" t="str">
        <f>"7634282122"</f>
        <v>7634282122</v>
      </c>
      <c r="F882" s="1" t="str">
        <f>"فول كوپلينگ ساكت ولد 3/4 اينچ 3000"</f>
        <v>فول كوپلينگ ساكت ولد 3/4 اينچ 3000</v>
      </c>
      <c r="G882" s="1" t="str">
        <f>"عدد"</f>
        <v>عدد</v>
      </c>
      <c r="H882" s="1">
        <v>56</v>
      </c>
      <c r="I882" s="1">
        <v>4200000</v>
      </c>
      <c r="J882" s="1">
        <v>77</v>
      </c>
      <c r="K882" s="1">
        <v>8403646</v>
      </c>
      <c r="L882" s="1">
        <v>81</v>
      </c>
      <c r="M882" s="1">
        <v>7376564</v>
      </c>
      <c r="O882" s="1">
        <v>97</v>
      </c>
      <c r="P882" s="4">
        <f t="shared" si="39"/>
        <v>5227082</v>
      </c>
      <c r="Q882" s="4">
        <f t="shared" si="40"/>
        <v>52</v>
      </c>
      <c r="R882" s="4">
        <f t="shared" si="41"/>
        <v>100520.80769230769</v>
      </c>
    </row>
    <row r="883" spans="1:18">
      <c r="A883" s="1">
        <v>2</v>
      </c>
      <c r="B883" s="1" t="str">
        <f>"قطعات و لوازم يدكي"</f>
        <v>قطعات و لوازم يدكي</v>
      </c>
      <c r="C883" s="1">
        <v>101</v>
      </c>
      <c r="D883" s="1" t="str">
        <f>"انبار قطعات و لوازم يدكي اصفهان"</f>
        <v>انبار قطعات و لوازم يدكي اصفهان</v>
      </c>
      <c r="E883" s="1" t="str">
        <f>"7634842082"</f>
        <v>7634842082</v>
      </c>
      <c r="F883" s="1" t="s">
        <v>57</v>
      </c>
      <c r="G883" s="1" t="str">
        <f>"عدد"</f>
        <v>عدد</v>
      </c>
      <c r="H883" s="1">
        <v>60</v>
      </c>
      <c r="I883" s="1">
        <v>2310886</v>
      </c>
      <c r="J883" s="1">
        <v>0</v>
      </c>
      <c r="K883" s="1">
        <v>0</v>
      </c>
      <c r="L883" s="1">
        <v>2</v>
      </c>
      <c r="M883" s="1">
        <v>77030</v>
      </c>
      <c r="O883" s="1">
        <v>97</v>
      </c>
      <c r="P883" s="4">
        <f t="shared" si="39"/>
        <v>2233856</v>
      </c>
      <c r="Q883" s="4">
        <f t="shared" si="40"/>
        <v>58</v>
      </c>
      <c r="R883" s="4">
        <f t="shared" si="41"/>
        <v>38514.758620689652</v>
      </c>
    </row>
    <row r="884" spans="1:18">
      <c r="A884" s="1">
        <v>2</v>
      </c>
      <c r="B884" s="1" t="str">
        <f>"قطعات و لوازم يدكي"</f>
        <v>قطعات و لوازم يدكي</v>
      </c>
      <c r="C884" s="1">
        <v>101</v>
      </c>
      <c r="D884" s="1" t="str">
        <f>"انبار قطعات و لوازم يدكي اصفهان"</f>
        <v>انبار قطعات و لوازم يدكي اصفهان</v>
      </c>
      <c r="E884" s="1" t="str">
        <f>"7634842182"</f>
        <v>7634842182</v>
      </c>
      <c r="F884" s="1" t="str">
        <f>"سه راهي جوشي 1/2-1  3000"</f>
        <v>سه راهي جوشي 1/2-1  3000</v>
      </c>
      <c r="G884" s="1" t="str">
        <f>"عدد"</f>
        <v>عدد</v>
      </c>
      <c r="H884" s="1">
        <v>5</v>
      </c>
      <c r="I884" s="1">
        <v>741667</v>
      </c>
      <c r="J884" s="1">
        <v>0</v>
      </c>
      <c r="K884" s="1">
        <v>0</v>
      </c>
      <c r="L884" s="1">
        <v>0</v>
      </c>
      <c r="M884" s="1">
        <v>0</v>
      </c>
      <c r="O884" s="1">
        <v>97</v>
      </c>
      <c r="P884" s="4">
        <f t="shared" si="39"/>
        <v>741667</v>
      </c>
      <c r="Q884" s="4">
        <f t="shared" si="40"/>
        <v>5</v>
      </c>
      <c r="R884" s="4">
        <f t="shared" si="41"/>
        <v>148333.4</v>
      </c>
    </row>
    <row r="885" spans="1:18" hidden="1">
      <c r="A885" s="1">
        <v>2</v>
      </c>
      <c r="B885" s="1" t="str">
        <f>"قطعات و لوازم يدكي"</f>
        <v>قطعات و لوازم يدكي</v>
      </c>
      <c r="C885" s="1">
        <v>101</v>
      </c>
      <c r="D885" s="1" t="str">
        <f>"انبار قطعات و لوازم يدكي اصفهان"</f>
        <v>انبار قطعات و لوازم يدكي اصفهان</v>
      </c>
      <c r="E885" s="1" t="str">
        <f>"7634902202"</f>
        <v>7634902202</v>
      </c>
      <c r="F885" s="1" t="str">
        <f>"يونيون 2 اينچ جوشي 3000"</f>
        <v>يونيون 2 اينچ جوشي 3000</v>
      </c>
      <c r="G885" s="1" t="str">
        <f>"عدد"</f>
        <v>عدد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O885" s="1">
        <v>97</v>
      </c>
      <c r="P885" s="1">
        <f t="shared" si="39"/>
        <v>0</v>
      </c>
      <c r="Q885" s="1">
        <f t="shared" si="40"/>
        <v>0</v>
      </c>
      <c r="R885" s="1" t="e">
        <f t="shared" si="41"/>
        <v>#DIV/0!</v>
      </c>
    </row>
    <row r="886" spans="1:18">
      <c r="A886" s="1">
        <v>2</v>
      </c>
      <c r="B886" s="1" t="str">
        <f>"قطعات و لوازم يدكي"</f>
        <v>قطعات و لوازم يدكي</v>
      </c>
      <c r="C886" s="1">
        <v>101</v>
      </c>
      <c r="D886" s="1" t="str">
        <f>"انبار قطعات و لوازم يدكي اصفهان"</f>
        <v>انبار قطعات و لوازم يدكي اصفهان</v>
      </c>
      <c r="E886" s="1" t="str">
        <f>"7640260012"</f>
        <v>7640260012</v>
      </c>
      <c r="F886" s="1" t="str">
        <f>"STUD CONNCTOR 1/2*1/4 M"</f>
        <v>STUD CONNCTOR 1/2*1/4 M</v>
      </c>
      <c r="G886" s="1" t="str">
        <f>"عدد"</f>
        <v>عدد</v>
      </c>
      <c r="H886" s="1">
        <v>9</v>
      </c>
      <c r="I886" s="1">
        <v>900000</v>
      </c>
      <c r="J886" s="1">
        <v>0</v>
      </c>
      <c r="K886" s="1">
        <v>0</v>
      </c>
      <c r="L886" s="1">
        <v>0</v>
      </c>
      <c r="M886" s="1">
        <v>0</v>
      </c>
      <c r="O886" s="1">
        <v>97</v>
      </c>
      <c r="P886" s="4">
        <f t="shared" si="39"/>
        <v>900000</v>
      </c>
      <c r="Q886" s="4">
        <f t="shared" si="40"/>
        <v>9</v>
      </c>
      <c r="R886" s="4">
        <f t="shared" si="41"/>
        <v>100000</v>
      </c>
    </row>
    <row r="887" spans="1:18">
      <c r="A887" s="1">
        <v>2</v>
      </c>
      <c r="B887" s="1" t="str">
        <f>"قطعات و لوازم يدكي"</f>
        <v>قطعات و لوازم يدكي</v>
      </c>
      <c r="C887" s="1">
        <v>101</v>
      </c>
      <c r="D887" s="1" t="str">
        <f>"انبار قطعات و لوازم يدكي اصفهان"</f>
        <v>انبار قطعات و لوازم يدكي اصفهان</v>
      </c>
      <c r="E887" s="1" t="str">
        <f>"7640260082"</f>
        <v>7640260082</v>
      </c>
      <c r="F887" s="1" t="str">
        <f>"STUD CONNECTOR 1/4*1/8 M"</f>
        <v>STUD CONNECTOR 1/4*1/8 M</v>
      </c>
      <c r="G887" s="1" t="str">
        <f>"عدد"</f>
        <v>عدد</v>
      </c>
      <c r="H887" s="1">
        <v>2</v>
      </c>
      <c r="I887" s="1">
        <v>130741</v>
      </c>
      <c r="J887" s="1">
        <v>5</v>
      </c>
      <c r="K887" s="1">
        <v>1250000</v>
      </c>
      <c r="L887" s="1">
        <v>5</v>
      </c>
      <c r="M887" s="1">
        <v>986244</v>
      </c>
      <c r="O887" s="1">
        <v>97</v>
      </c>
      <c r="P887" s="4">
        <f t="shared" si="39"/>
        <v>394497</v>
      </c>
      <c r="Q887" s="4">
        <f t="shared" si="40"/>
        <v>2</v>
      </c>
      <c r="R887" s="4">
        <f t="shared" si="41"/>
        <v>197248.5</v>
      </c>
    </row>
    <row r="888" spans="1:18">
      <c r="A888" s="1">
        <v>2</v>
      </c>
      <c r="B888" s="1" t="str">
        <f>"قطعات و لوازم يدكي"</f>
        <v>قطعات و لوازم يدكي</v>
      </c>
      <c r="C888" s="1">
        <v>101</v>
      </c>
      <c r="D888" s="1" t="str">
        <f>"انبار قطعات و لوازم يدكي اصفهان"</f>
        <v>انبار قطعات و لوازم يدكي اصفهان</v>
      </c>
      <c r="E888" s="1" t="str">
        <f>"7640260782"</f>
        <v>7640260782</v>
      </c>
      <c r="F888" s="1" t="str">
        <f>"STUD CONNECTOR 1/2*1/2 FM"</f>
        <v>STUD CONNECTOR 1/2*1/2 FM</v>
      </c>
      <c r="G888" s="1" t="str">
        <f>"عدد"</f>
        <v>عدد</v>
      </c>
      <c r="H888" s="1">
        <v>21</v>
      </c>
      <c r="I888" s="1">
        <v>2847600</v>
      </c>
      <c r="J888" s="1">
        <v>11</v>
      </c>
      <c r="K888" s="1">
        <v>8385600</v>
      </c>
      <c r="L888" s="1">
        <v>10</v>
      </c>
      <c r="M888" s="1">
        <v>1356000</v>
      </c>
      <c r="O888" s="1">
        <v>97</v>
      </c>
      <c r="P888" s="4">
        <f t="shared" si="39"/>
        <v>9877200</v>
      </c>
      <c r="Q888" s="4">
        <f t="shared" si="40"/>
        <v>22</v>
      </c>
      <c r="R888" s="4">
        <f t="shared" si="41"/>
        <v>448963.63636363635</v>
      </c>
    </row>
    <row r="889" spans="1:18">
      <c r="A889" s="1">
        <v>2</v>
      </c>
      <c r="B889" s="1" t="str">
        <f>"قطعات و لوازم يدكي"</f>
        <v>قطعات و لوازم يدكي</v>
      </c>
      <c r="C889" s="1">
        <v>101</v>
      </c>
      <c r="D889" s="1" t="str">
        <f>"انبار قطعات و لوازم يدكي اصفهان"</f>
        <v>انبار قطعات و لوازم يدكي اصفهان</v>
      </c>
      <c r="E889" s="1" t="str">
        <f>"7640390082"</f>
        <v>7640390082</v>
      </c>
      <c r="F889" s="1" t="str">
        <f>"ELBOW 90 deg 1/2  tube*tube"</f>
        <v>ELBOW 90 deg 1/2  tube*tube</v>
      </c>
      <c r="G889" s="1" t="str">
        <f>"عدد"</f>
        <v>عدد</v>
      </c>
      <c r="H889" s="1">
        <v>10</v>
      </c>
      <c r="I889" s="1">
        <v>5865000</v>
      </c>
      <c r="J889" s="1">
        <v>0</v>
      </c>
      <c r="K889" s="1">
        <v>0</v>
      </c>
      <c r="L889" s="1">
        <v>2</v>
      </c>
      <c r="M889" s="1">
        <v>1173000</v>
      </c>
      <c r="O889" s="1">
        <v>97</v>
      </c>
      <c r="P889" s="4">
        <f t="shared" si="39"/>
        <v>4692000</v>
      </c>
      <c r="Q889" s="4">
        <f t="shared" si="40"/>
        <v>8</v>
      </c>
      <c r="R889" s="4">
        <f t="shared" si="41"/>
        <v>586500</v>
      </c>
    </row>
    <row r="890" spans="1:18">
      <c r="A890" s="1">
        <v>2</v>
      </c>
      <c r="B890" s="1" t="str">
        <f>"قطعات و لوازم يدكي"</f>
        <v>قطعات و لوازم يدكي</v>
      </c>
      <c r="C890" s="1">
        <v>101</v>
      </c>
      <c r="D890" s="1" t="str">
        <f>"انبار قطعات و لوازم يدكي اصفهان"</f>
        <v>انبار قطعات و لوازم يدكي اصفهان</v>
      </c>
      <c r="E890" s="1" t="str">
        <f>"7640390862"</f>
        <v>7640390862</v>
      </c>
      <c r="F890" s="1" t="s">
        <v>58</v>
      </c>
      <c r="G890" s="1" t="str">
        <f>"عدد"</f>
        <v>عدد</v>
      </c>
      <c r="H890" s="1">
        <v>3</v>
      </c>
      <c r="I890" s="1">
        <v>862166</v>
      </c>
      <c r="J890" s="1">
        <v>3</v>
      </c>
      <c r="K890" s="1">
        <v>862166</v>
      </c>
      <c r="L890" s="1">
        <v>3</v>
      </c>
      <c r="M890" s="1">
        <v>862166</v>
      </c>
      <c r="O890" s="1">
        <v>97</v>
      </c>
      <c r="P890" s="4">
        <f t="shared" si="39"/>
        <v>862166</v>
      </c>
      <c r="Q890" s="4">
        <f t="shared" si="40"/>
        <v>3</v>
      </c>
      <c r="R890" s="4">
        <f t="shared" si="41"/>
        <v>287388.66666666669</v>
      </c>
    </row>
    <row r="891" spans="1:18">
      <c r="A891" s="1">
        <v>2</v>
      </c>
      <c r="B891" s="1" t="str">
        <f>"قطعات و لوازم يدكي"</f>
        <v>قطعات و لوازم يدكي</v>
      </c>
      <c r="C891" s="1">
        <v>101</v>
      </c>
      <c r="D891" s="1" t="str">
        <f>"انبار قطعات و لوازم يدكي اصفهان"</f>
        <v>انبار قطعات و لوازم يدكي اصفهان</v>
      </c>
      <c r="E891" s="1" t="str">
        <f>"7662100802"</f>
        <v>7662100802</v>
      </c>
      <c r="F891" s="1" t="str">
        <f>"فلنج كور 10 اينچ كلاس 150"</f>
        <v>فلنج كور 10 اينچ كلاس 150</v>
      </c>
      <c r="G891" s="1" t="str">
        <f>"عدد"</f>
        <v>عدد</v>
      </c>
      <c r="H891" s="1">
        <v>1</v>
      </c>
      <c r="I891" s="1">
        <v>2200000</v>
      </c>
      <c r="J891" s="1">
        <v>0</v>
      </c>
      <c r="K891" s="1">
        <v>0</v>
      </c>
      <c r="L891" s="1">
        <v>0</v>
      </c>
      <c r="M891" s="1">
        <v>0</v>
      </c>
      <c r="O891" s="1">
        <v>97</v>
      </c>
      <c r="P891" s="4">
        <f t="shared" si="39"/>
        <v>2200000</v>
      </c>
      <c r="Q891" s="4">
        <f t="shared" si="40"/>
        <v>1</v>
      </c>
      <c r="R891" s="4">
        <f t="shared" si="41"/>
        <v>2200000</v>
      </c>
    </row>
    <row r="892" spans="1:18">
      <c r="A892" s="1">
        <v>2</v>
      </c>
      <c r="B892" s="1" t="str">
        <f>"قطعات و لوازم يدكي"</f>
        <v>قطعات و لوازم يدكي</v>
      </c>
      <c r="C892" s="1">
        <v>101</v>
      </c>
      <c r="D892" s="1" t="str">
        <f>"انبار قطعات و لوازم يدكي اصفهان"</f>
        <v>انبار قطعات و لوازم يدكي اصفهان</v>
      </c>
      <c r="E892" s="1" t="str">
        <f>"7662101202"</f>
        <v>7662101202</v>
      </c>
      <c r="F892" s="1" t="str">
        <f>"فلنج كور 2 اينچ 300"</f>
        <v>فلنج كور 2 اينچ 300</v>
      </c>
      <c r="G892" s="1" t="str">
        <f>"عدد"</f>
        <v>عدد</v>
      </c>
      <c r="H892" s="1">
        <v>8</v>
      </c>
      <c r="I892" s="1">
        <v>3695000</v>
      </c>
      <c r="J892" s="1">
        <v>1</v>
      </c>
      <c r="K892" s="1">
        <v>461875</v>
      </c>
      <c r="L892" s="1">
        <v>8</v>
      </c>
      <c r="M892" s="1">
        <v>3695000</v>
      </c>
      <c r="O892" s="1">
        <v>97</v>
      </c>
      <c r="P892" s="4">
        <f t="shared" si="39"/>
        <v>461875</v>
      </c>
      <c r="Q892" s="4">
        <f t="shared" si="40"/>
        <v>1</v>
      </c>
      <c r="R892" s="4">
        <f t="shared" si="41"/>
        <v>461875</v>
      </c>
    </row>
    <row r="893" spans="1:18">
      <c r="A893" s="1">
        <v>2</v>
      </c>
      <c r="B893" s="1" t="str">
        <f>"قطعات و لوازم يدكي"</f>
        <v>قطعات و لوازم يدكي</v>
      </c>
      <c r="C893" s="1">
        <v>101</v>
      </c>
      <c r="D893" s="1" t="str">
        <f>"انبار قطعات و لوازم يدكي اصفهان"</f>
        <v>انبار قطعات و لوازم يدكي اصفهان</v>
      </c>
      <c r="E893" s="1" t="str">
        <f>"7662101302"</f>
        <v>7662101302</v>
      </c>
      <c r="F893" s="1" t="s">
        <v>59</v>
      </c>
      <c r="G893" s="1" t="str">
        <f>"عدد"</f>
        <v>عدد</v>
      </c>
      <c r="H893" s="1">
        <v>2</v>
      </c>
      <c r="I893" s="1">
        <v>5800000</v>
      </c>
      <c r="J893" s="1">
        <v>0</v>
      </c>
      <c r="K893" s="1">
        <v>0</v>
      </c>
      <c r="L893" s="1">
        <v>0</v>
      </c>
      <c r="M893" s="1">
        <v>0</v>
      </c>
      <c r="O893" s="1">
        <v>97</v>
      </c>
      <c r="P893" s="4">
        <f t="shared" si="39"/>
        <v>5800000</v>
      </c>
      <c r="Q893" s="4">
        <f t="shared" si="40"/>
        <v>2</v>
      </c>
      <c r="R893" s="4">
        <f t="shared" si="41"/>
        <v>2900000</v>
      </c>
    </row>
    <row r="894" spans="1:18">
      <c r="A894" s="1">
        <v>2</v>
      </c>
      <c r="B894" s="1" t="str">
        <f>"قطعات و لوازم يدكي"</f>
        <v>قطعات و لوازم يدكي</v>
      </c>
      <c r="C894" s="1">
        <v>101</v>
      </c>
      <c r="D894" s="1" t="str">
        <f>"انبار قطعات و لوازم يدكي اصفهان"</f>
        <v>انبار قطعات و لوازم يدكي اصفهان</v>
      </c>
      <c r="E894" s="1" t="str">
        <f>"7662400842"</f>
        <v>7662400842</v>
      </c>
      <c r="F894" s="1" t="str">
        <f>"رديوس فلنج 10*14 كلاس 150"</f>
        <v>رديوس فلنج 10*14 كلاس 150</v>
      </c>
      <c r="G894" s="1" t="str">
        <f>"عدد"</f>
        <v>عدد</v>
      </c>
      <c r="H894" s="1">
        <v>1</v>
      </c>
      <c r="I894" s="1">
        <v>1431667</v>
      </c>
      <c r="J894" s="1">
        <v>0</v>
      </c>
      <c r="K894" s="1">
        <v>0</v>
      </c>
      <c r="L894" s="1">
        <v>0</v>
      </c>
      <c r="M894" s="1">
        <v>0</v>
      </c>
      <c r="O894" s="1">
        <v>97</v>
      </c>
      <c r="P894" s="4">
        <f t="shared" si="39"/>
        <v>1431667</v>
      </c>
      <c r="Q894" s="4">
        <f t="shared" si="40"/>
        <v>1</v>
      </c>
      <c r="R894" s="4">
        <f t="shared" si="41"/>
        <v>1431667</v>
      </c>
    </row>
    <row r="895" spans="1:18">
      <c r="A895" s="1">
        <v>2</v>
      </c>
      <c r="B895" s="1" t="str">
        <f>"قطعات و لوازم يدكي"</f>
        <v>قطعات و لوازم يدكي</v>
      </c>
      <c r="C895" s="1">
        <v>101</v>
      </c>
      <c r="D895" s="1" t="str">
        <f>"انبار قطعات و لوازم يدكي اصفهان"</f>
        <v>انبار قطعات و لوازم يدكي اصفهان</v>
      </c>
      <c r="E895" s="1" t="str">
        <f>"7662701102"</f>
        <v>7662701102</v>
      </c>
      <c r="F895" s="1" t="str">
        <f>"فلنج جوشي 1/2كلاس 150"</f>
        <v>فلنج جوشي 1/2كلاس 150</v>
      </c>
      <c r="G895" s="1" t="str">
        <f>"عدد"</f>
        <v>عدد</v>
      </c>
      <c r="H895" s="1">
        <v>72</v>
      </c>
      <c r="I895" s="1">
        <v>8476363</v>
      </c>
      <c r="J895" s="1">
        <v>2</v>
      </c>
      <c r="K895" s="1">
        <v>235454</v>
      </c>
      <c r="L895" s="1">
        <v>10</v>
      </c>
      <c r="M895" s="1">
        <v>1177273</v>
      </c>
      <c r="O895" s="1">
        <v>97</v>
      </c>
      <c r="P895" s="4">
        <f t="shared" si="39"/>
        <v>7534544</v>
      </c>
      <c r="Q895" s="4">
        <f t="shared" si="40"/>
        <v>64</v>
      </c>
      <c r="R895" s="4">
        <f t="shared" si="41"/>
        <v>117727.25</v>
      </c>
    </row>
    <row r="896" spans="1:18">
      <c r="A896" s="1">
        <v>2</v>
      </c>
      <c r="B896" s="1" t="str">
        <f>"قطعات و لوازم يدكي"</f>
        <v>قطعات و لوازم يدكي</v>
      </c>
      <c r="C896" s="1">
        <v>101</v>
      </c>
      <c r="D896" s="1" t="str">
        <f>"انبار قطعات و لوازم يدكي اصفهان"</f>
        <v>انبار قطعات و لوازم يدكي اصفهان</v>
      </c>
      <c r="E896" s="1" t="str">
        <f>"7662702102"</f>
        <v>7662702102</v>
      </c>
      <c r="F896" s="1" t="s">
        <v>60</v>
      </c>
      <c r="G896" s="1" t="str">
        <f>"عدد"</f>
        <v>عدد</v>
      </c>
      <c r="H896" s="1">
        <v>5</v>
      </c>
      <c r="I896" s="1">
        <v>279687</v>
      </c>
      <c r="J896" s="1">
        <v>35</v>
      </c>
      <c r="K896" s="1">
        <v>9350000</v>
      </c>
      <c r="L896" s="1">
        <v>10</v>
      </c>
      <c r="M896" s="1">
        <v>1791406</v>
      </c>
      <c r="O896" s="1">
        <v>97</v>
      </c>
      <c r="P896" s="4">
        <f t="shared" si="39"/>
        <v>7838281</v>
      </c>
      <c r="Q896" s="4">
        <f t="shared" si="40"/>
        <v>30</v>
      </c>
      <c r="R896" s="4">
        <f t="shared" si="41"/>
        <v>261276.03333333333</v>
      </c>
    </row>
    <row r="897" spans="1:18">
      <c r="A897" s="1">
        <v>2</v>
      </c>
      <c r="B897" s="1" t="str">
        <f>"قطعات و لوازم يدكي"</f>
        <v>قطعات و لوازم يدكي</v>
      </c>
      <c r="C897" s="1">
        <v>101</v>
      </c>
      <c r="D897" s="1" t="str">
        <f>"انبار قطعات و لوازم يدكي اصفهان"</f>
        <v>انبار قطعات و لوازم يدكي اصفهان</v>
      </c>
      <c r="E897" s="1" t="str">
        <f>"7662702122"</f>
        <v>7662702122</v>
      </c>
      <c r="F897" s="1" t="s">
        <v>61</v>
      </c>
      <c r="G897" s="1" t="str">
        <f>"عدد"</f>
        <v>عدد</v>
      </c>
      <c r="H897" s="1">
        <v>12</v>
      </c>
      <c r="I897" s="1">
        <v>2900000</v>
      </c>
      <c r="J897" s="1">
        <v>61</v>
      </c>
      <c r="K897" s="1">
        <v>18754482</v>
      </c>
      <c r="L897" s="1">
        <v>19</v>
      </c>
      <c r="M897" s="1">
        <v>5212414</v>
      </c>
      <c r="O897" s="1">
        <v>97</v>
      </c>
      <c r="P897" s="4">
        <f t="shared" si="39"/>
        <v>16442068</v>
      </c>
      <c r="Q897" s="4">
        <f t="shared" si="40"/>
        <v>54</v>
      </c>
      <c r="R897" s="4">
        <f t="shared" si="41"/>
        <v>304482.74074074073</v>
      </c>
    </row>
    <row r="898" spans="1:18">
      <c r="A898" s="1">
        <v>2</v>
      </c>
      <c r="B898" s="1" t="str">
        <f>"قطعات و لوازم يدكي"</f>
        <v>قطعات و لوازم يدكي</v>
      </c>
      <c r="C898" s="1">
        <v>101</v>
      </c>
      <c r="D898" s="1" t="str">
        <f>"انبار قطعات و لوازم يدكي اصفهان"</f>
        <v>انبار قطعات و لوازم يدكي اصفهان</v>
      </c>
      <c r="E898" s="1" t="str">
        <f>"7662795842"</f>
        <v>7662795842</v>
      </c>
      <c r="F898" s="1" t="str">
        <f>"فلنج 4 اينچ 300"</f>
        <v>فلنج 4 اينچ 300</v>
      </c>
      <c r="G898" s="1" t="str">
        <f>"عدد"</f>
        <v>عدد</v>
      </c>
      <c r="H898" s="1">
        <v>9</v>
      </c>
      <c r="I898" s="1">
        <v>2740911</v>
      </c>
      <c r="J898" s="1">
        <v>0</v>
      </c>
      <c r="K898" s="1">
        <v>0</v>
      </c>
      <c r="L898" s="1">
        <v>2</v>
      </c>
      <c r="M898" s="1">
        <v>609091</v>
      </c>
      <c r="O898" s="1">
        <v>97</v>
      </c>
      <c r="P898" s="4">
        <f t="shared" si="39"/>
        <v>2131820</v>
      </c>
      <c r="Q898" s="4">
        <f t="shared" si="40"/>
        <v>7</v>
      </c>
      <c r="R898" s="4">
        <f t="shared" si="41"/>
        <v>304545.71428571426</v>
      </c>
    </row>
    <row r="899" spans="1:18">
      <c r="A899" s="1">
        <v>2</v>
      </c>
      <c r="B899" s="1" t="str">
        <f>"قطعات و لوازم يدكي"</f>
        <v>قطعات و لوازم يدكي</v>
      </c>
      <c r="C899" s="1">
        <v>101</v>
      </c>
      <c r="D899" s="1" t="str">
        <f>"انبار قطعات و لوازم يدكي اصفهان"</f>
        <v>انبار قطعات و لوازم يدكي اصفهان</v>
      </c>
      <c r="E899" s="1" t="str">
        <f>"7662795862"</f>
        <v>7662795862</v>
      </c>
      <c r="F899" s="1" t="str">
        <f>"فلنج 6 اينچ 300"</f>
        <v>فلنج 6 اينچ 300</v>
      </c>
      <c r="G899" s="1" t="str">
        <f>"عدد"</f>
        <v>عدد</v>
      </c>
      <c r="H899" s="1">
        <v>3</v>
      </c>
      <c r="I899" s="1">
        <v>25712920</v>
      </c>
      <c r="J899" s="1">
        <v>2</v>
      </c>
      <c r="K899" s="1">
        <v>4100000</v>
      </c>
      <c r="L899" s="1">
        <v>0</v>
      </c>
      <c r="M899" s="1">
        <v>0</v>
      </c>
      <c r="O899" s="1">
        <v>97</v>
      </c>
      <c r="P899" s="4">
        <f t="shared" ref="P899:P962" si="42">I899+K899-M899</f>
        <v>29812920</v>
      </c>
      <c r="Q899" s="4">
        <f t="shared" ref="Q899:Q962" si="43">H899+J899-L899</f>
        <v>5</v>
      </c>
      <c r="R899" s="4">
        <f t="shared" ref="R899:R962" si="44">P899/Q899</f>
        <v>5962584</v>
      </c>
    </row>
    <row r="900" spans="1:18">
      <c r="A900" s="1">
        <v>2</v>
      </c>
      <c r="B900" s="1" t="str">
        <f>"قطعات و لوازم يدكي"</f>
        <v>قطعات و لوازم يدكي</v>
      </c>
      <c r="C900" s="1">
        <v>101</v>
      </c>
      <c r="D900" s="1" t="str">
        <f>"انبار قطعات و لوازم يدكي اصفهان"</f>
        <v>انبار قطعات و لوازم يدكي اصفهان</v>
      </c>
      <c r="E900" s="1" t="str">
        <f>"7688062302"</f>
        <v>7688062302</v>
      </c>
      <c r="F900" s="1" t="str">
        <f>"فلنج عينکي 10 اينچ کلاي 150"</f>
        <v>فلنج عينکي 10 اينچ کلاي 150</v>
      </c>
      <c r="G900" s="1" t="str">
        <f>"عدد"</f>
        <v>عدد</v>
      </c>
      <c r="H900" s="1">
        <v>9</v>
      </c>
      <c r="I900" s="1">
        <v>45000000</v>
      </c>
      <c r="J900" s="1">
        <v>0</v>
      </c>
      <c r="K900" s="1">
        <v>0</v>
      </c>
      <c r="L900" s="1">
        <v>0</v>
      </c>
      <c r="M900" s="1">
        <v>0</v>
      </c>
      <c r="O900" s="1">
        <v>97</v>
      </c>
      <c r="P900" s="4">
        <f t="shared" si="42"/>
        <v>45000000</v>
      </c>
      <c r="Q900" s="4">
        <f t="shared" si="43"/>
        <v>9</v>
      </c>
      <c r="R900" s="4">
        <f t="shared" si="44"/>
        <v>5000000</v>
      </c>
    </row>
    <row r="901" spans="1:18" hidden="1">
      <c r="A901" s="1">
        <v>2</v>
      </c>
      <c r="B901" s="1" t="str">
        <f>"قطعات و لوازم يدكي"</f>
        <v>قطعات و لوازم يدكي</v>
      </c>
      <c r="C901" s="1">
        <v>101</v>
      </c>
      <c r="D901" s="1" t="str">
        <f>"انبار قطعات و لوازم يدكي اصفهان"</f>
        <v>انبار قطعات و لوازم يدكي اصفهان</v>
      </c>
      <c r="E901" s="1" t="str">
        <f>"7802020082"</f>
        <v>7802020082</v>
      </c>
      <c r="F901" s="1" t="str">
        <f>"ورق 2*1 ضخامت 1 گام 32"</f>
        <v>ورق 2*1 ضخامت 1 گام 32</v>
      </c>
      <c r="G901" s="1" t="str">
        <f>"برگ"</f>
        <v>برگ</v>
      </c>
      <c r="H901" s="1">
        <v>5</v>
      </c>
      <c r="I901" s="1">
        <v>5590000</v>
      </c>
      <c r="J901" s="1">
        <v>25</v>
      </c>
      <c r="K901" s="1">
        <v>31250000</v>
      </c>
      <c r="L901" s="1">
        <v>30</v>
      </c>
      <c r="M901" s="1">
        <v>36840000</v>
      </c>
      <c r="O901" s="1">
        <v>97</v>
      </c>
      <c r="P901" s="1">
        <f t="shared" si="42"/>
        <v>0</v>
      </c>
      <c r="Q901" s="1">
        <f t="shared" si="43"/>
        <v>0</v>
      </c>
      <c r="R901" s="1" t="e">
        <f t="shared" si="44"/>
        <v>#DIV/0!</v>
      </c>
    </row>
    <row r="902" spans="1:18" hidden="1">
      <c r="A902" s="1">
        <v>2</v>
      </c>
      <c r="B902" s="1" t="str">
        <f>"قطعات و لوازم يدكي"</f>
        <v>قطعات و لوازم يدكي</v>
      </c>
      <c r="C902" s="1">
        <v>101</v>
      </c>
      <c r="D902" s="1" t="str">
        <f>"انبار قطعات و لوازم يدكي اصفهان"</f>
        <v>انبار قطعات و لوازم يدكي اصفهان</v>
      </c>
      <c r="E902" s="1" t="str">
        <f>"8100000112"</f>
        <v>8100000112</v>
      </c>
      <c r="F902" s="1" t="str">
        <f>"پيج آلن  50*12"</f>
        <v>پيج آلن  50*12</v>
      </c>
      <c r="G902" s="1" t="str">
        <f>"عدد"</f>
        <v>عدد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O902" s="1">
        <v>97</v>
      </c>
      <c r="P902" s="1">
        <f t="shared" si="42"/>
        <v>0</v>
      </c>
      <c r="Q902" s="1">
        <f t="shared" si="43"/>
        <v>0</v>
      </c>
      <c r="R902" s="1" t="e">
        <f t="shared" si="44"/>
        <v>#DIV/0!</v>
      </c>
    </row>
    <row r="903" spans="1:18">
      <c r="A903" s="1">
        <v>2</v>
      </c>
      <c r="B903" s="1" t="str">
        <f>"قطعات و لوازم يدكي"</f>
        <v>قطعات و لوازم يدكي</v>
      </c>
      <c r="C903" s="1">
        <v>101</v>
      </c>
      <c r="D903" s="1" t="str">
        <f>"انبار قطعات و لوازم يدكي اصفهان"</f>
        <v>انبار قطعات و لوازم يدكي اصفهان</v>
      </c>
      <c r="E903" s="1" t="str">
        <f>"8138613422"</f>
        <v>8138613422</v>
      </c>
      <c r="F903" s="1" t="str">
        <f>"پيچ نگهدارنده 5/8 اينچ 120mm"</f>
        <v>پيچ نگهدارنده 5/8 اينچ 120mm</v>
      </c>
      <c r="G903" s="1" t="str">
        <f>"عدد"</f>
        <v>عدد</v>
      </c>
      <c r="H903" s="1">
        <v>73</v>
      </c>
      <c r="I903" s="1">
        <v>1323129</v>
      </c>
      <c r="J903" s="1">
        <v>216</v>
      </c>
      <c r="K903" s="1">
        <v>12048790</v>
      </c>
      <c r="L903" s="1">
        <v>107</v>
      </c>
      <c r="M903" s="1">
        <v>4854434</v>
      </c>
      <c r="O903" s="1">
        <v>97</v>
      </c>
      <c r="P903" s="4">
        <f t="shared" si="42"/>
        <v>8517485</v>
      </c>
      <c r="Q903" s="4">
        <f t="shared" si="43"/>
        <v>182</v>
      </c>
      <c r="R903" s="4">
        <f t="shared" si="44"/>
        <v>46799.368131868134</v>
      </c>
    </row>
    <row r="904" spans="1:18">
      <c r="A904" s="1">
        <v>2</v>
      </c>
      <c r="B904" s="1" t="str">
        <f>"قطعات و لوازم يدكي"</f>
        <v>قطعات و لوازم يدكي</v>
      </c>
      <c r="C904" s="1">
        <v>101</v>
      </c>
      <c r="D904" s="1" t="str">
        <f>"انبار قطعات و لوازم يدكي اصفهان"</f>
        <v>انبار قطعات و لوازم يدكي اصفهان</v>
      </c>
      <c r="E904" s="1" t="str">
        <f>"8138614732"</f>
        <v>8138614732</v>
      </c>
      <c r="F904" s="1" t="s">
        <v>62</v>
      </c>
      <c r="G904" s="1" t="str">
        <f>"عدد"</f>
        <v>عدد</v>
      </c>
      <c r="H904" s="1">
        <v>111</v>
      </c>
      <c r="I904" s="1">
        <v>4446903</v>
      </c>
      <c r="J904" s="1">
        <v>100</v>
      </c>
      <c r="K904" s="1">
        <v>10520000</v>
      </c>
      <c r="L904" s="1">
        <v>121</v>
      </c>
      <c r="M904" s="1">
        <v>8192439</v>
      </c>
      <c r="O904" s="1">
        <v>97</v>
      </c>
      <c r="P904" s="4">
        <f t="shared" si="42"/>
        <v>6774464</v>
      </c>
      <c r="Q904" s="4">
        <f t="shared" si="43"/>
        <v>90</v>
      </c>
      <c r="R904" s="4">
        <f t="shared" si="44"/>
        <v>75271.822222222225</v>
      </c>
    </row>
    <row r="905" spans="1:18">
      <c r="A905" s="1">
        <v>2</v>
      </c>
      <c r="B905" s="1" t="str">
        <f>"قطعات و لوازم يدكي"</f>
        <v>قطعات و لوازم يدكي</v>
      </c>
      <c r="C905" s="1">
        <v>101</v>
      </c>
      <c r="D905" s="1" t="str">
        <f>"انبار قطعات و لوازم يدكي اصفهان"</f>
        <v>انبار قطعات و لوازم يدكي اصفهان</v>
      </c>
      <c r="E905" s="1" t="str">
        <f>"8138615662"</f>
        <v>8138615662</v>
      </c>
      <c r="F905" s="1" t="s">
        <v>63</v>
      </c>
      <c r="G905" s="1" t="str">
        <f>"عدد"</f>
        <v>عدد</v>
      </c>
      <c r="H905" s="1">
        <v>51</v>
      </c>
      <c r="I905" s="1">
        <v>2700281</v>
      </c>
      <c r="J905" s="1">
        <v>0</v>
      </c>
      <c r="K905" s="1">
        <v>0</v>
      </c>
      <c r="L905" s="1">
        <v>0</v>
      </c>
      <c r="M905" s="1">
        <v>0</v>
      </c>
      <c r="O905" s="1">
        <v>97</v>
      </c>
      <c r="P905" s="4">
        <f t="shared" si="42"/>
        <v>2700281</v>
      </c>
      <c r="Q905" s="4">
        <f t="shared" si="43"/>
        <v>51</v>
      </c>
      <c r="R905" s="4">
        <f t="shared" si="44"/>
        <v>52946.686274509804</v>
      </c>
    </row>
    <row r="906" spans="1:18">
      <c r="A906" s="1">
        <v>2</v>
      </c>
      <c r="B906" s="1" t="str">
        <f>"قطعات و لوازم يدكي"</f>
        <v>قطعات و لوازم يدكي</v>
      </c>
      <c r="C906" s="1">
        <v>101</v>
      </c>
      <c r="D906" s="1" t="str">
        <f>"انبار قطعات و لوازم يدكي اصفهان"</f>
        <v>انبار قطعات و لوازم يدكي اصفهان</v>
      </c>
      <c r="E906" s="1" t="str">
        <f>"8138617152"</f>
        <v>8138617152</v>
      </c>
      <c r="F906" s="1" t="s">
        <v>64</v>
      </c>
      <c r="G906" s="1" t="str">
        <f>"عدد"</f>
        <v>عدد</v>
      </c>
      <c r="H906" s="1">
        <v>38</v>
      </c>
      <c r="I906" s="1">
        <v>654812</v>
      </c>
      <c r="J906" s="1">
        <v>26</v>
      </c>
      <c r="K906" s="1">
        <v>3819463</v>
      </c>
      <c r="L906" s="1">
        <v>6</v>
      </c>
      <c r="M906" s="1">
        <v>419463</v>
      </c>
      <c r="O906" s="1">
        <v>97</v>
      </c>
      <c r="P906" s="4">
        <f t="shared" si="42"/>
        <v>4054812</v>
      </c>
      <c r="Q906" s="4">
        <f t="shared" si="43"/>
        <v>58</v>
      </c>
      <c r="R906" s="4">
        <f t="shared" si="44"/>
        <v>69910.551724137928</v>
      </c>
    </row>
    <row r="907" spans="1:18">
      <c r="A907" s="1">
        <v>2</v>
      </c>
      <c r="B907" s="1" t="str">
        <f>"قطعات و لوازم يدكي"</f>
        <v>قطعات و لوازم يدكي</v>
      </c>
      <c r="C907" s="1">
        <v>101</v>
      </c>
      <c r="D907" s="1" t="str">
        <f>"انبار قطعات و لوازم يدكي اصفهان"</f>
        <v>انبار قطعات و لوازم يدكي اصفهان</v>
      </c>
      <c r="E907" s="1" t="str">
        <f>"8178010142"</f>
        <v>8178010142</v>
      </c>
      <c r="F907" s="1" t="str">
        <f>"واشر تخت معمو لي1/2"</f>
        <v>واشر تخت معمو لي1/2</v>
      </c>
      <c r="G907" s="1" t="str">
        <f>"عدد"</f>
        <v>عدد</v>
      </c>
      <c r="H907" s="1">
        <v>78</v>
      </c>
      <c r="I907" s="1">
        <v>24740</v>
      </c>
      <c r="J907" s="1">
        <v>0</v>
      </c>
      <c r="K907" s="1">
        <v>0</v>
      </c>
      <c r="L907" s="1">
        <v>0</v>
      </c>
      <c r="M907" s="1">
        <v>0</v>
      </c>
      <c r="O907" s="1">
        <v>97</v>
      </c>
      <c r="P907" s="4">
        <f t="shared" si="42"/>
        <v>24740</v>
      </c>
      <c r="Q907" s="4">
        <f t="shared" si="43"/>
        <v>78</v>
      </c>
      <c r="R907" s="4">
        <f t="shared" si="44"/>
        <v>317.17948717948718</v>
      </c>
    </row>
    <row r="908" spans="1:18">
      <c r="A908" s="1">
        <v>2</v>
      </c>
      <c r="B908" s="1" t="str">
        <f>"قطعات و لوازم يدكي"</f>
        <v>قطعات و لوازم يدكي</v>
      </c>
      <c r="C908" s="1">
        <v>101</v>
      </c>
      <c r="D908" s="1" t="str">
        <f>"انبار قطعات و لوازم يدكي اصفهان"</f>
        <v>انبار قطعات و لوازم يدكي اصفهان</v>
      </c>
      <c r="E908" s="1" t="str">
        <f>"8178120242"</f>
        <v>8178120242</v>
      </c>
      <c r="F908" s="1" t="s">
        <v>65</v>
      </c>
      <c r="G908" s="1" t="str">
        <f>"عدد"</f>
        <v>عدد</v>
      </c>
      <c r="H908" s="1">
        <v>95</v>
      </c>
      <c r="I908" s="1">
        <v>49400</v>
      </c>
      <c r="J908" s="1">
        <v>0</v>
      </c>
      <c r="K908" s="1">
        <v>0</v>
      </c>
      <c r="L908" s="1">
        <v>0</v>
      </c>
      <c r="M908" s="1">
        <v>0</v>
      </c>
      <c r="O908" s="1">
        <v>97</v>
      </c>
      <c r="P908" s="4">
        <f t="shared" si="42"/>
        <v>49400</v>
      </c>
      <c r="Q908" s="4">
        <f t="shared" si="43"/>
        <v>95</v>
      </c>
      <c r="R908" s="4">
        <f t="shared" si="44"/>
        <v>520</v>
      </c>
    </row>
    <row r="909" spans="1:18">
      <c r="A909" s="1">
        <v>2</v>
      </c>
      <c r="B909" s="1" t="str">
        <f>"قطعات و لوازم يدكي"</f>
        <v>قطعات و لوازم يدكي</v>
      </c>
      <c r="C909" s="1">
        <v>101</v>
      </c>
      <c r="D909" s="1" t="str">
        <f>"انبار قطعات و لوازم يدكي اصفهان"</f>
        <v>انبار قطعات و لوازم يدكي اصفهان</v>
      </c>
      <c r="E909" s="1" t="str">
        <f>"8178120322"</f>
        <v>8178120322</v>
      </c>
      <c r="F909" s="1" t="s">
        <v>66</v>
      </c>
      <c r="G909" s="1" t="str">
        <f>"عدد"</f>
        <v>عدد</v>
      </c>
      <c r="H909" s="1">
        <v>100</v>
      </c>
      <c r="I909" s="1">
        <v>270000</v>
      </c>
      <c r="J909" s="1">
        <v>0</v>
      </c>
      <c r="K909" s="1">
        <v>0</v>
      </c>
      <c r="L909" s="1">
        <v>0</v>
      </c>
      <c r="M909" s="1">
        <v>0</v>
      </c>
      <c r="O909" s="1">
        <v>97</v>
      </c>
      <c r="P909" s="4">
        <f t="shared" si="42"/>
        <v>270000</v>
      </c>
      <c r="Q909" s="4">
        <f t="shared" si="43"/>
        <v>100</v>
      </c>
      <c r="R909" s="4">
        <f t="shared" si="44"/>
        <v>2700</v>
      </c>
    </row>
    <row r="910" spans="1:18">
      <c r="A910" s="1">
        <v>2</v>
      </c>
      <c r="B910" s="1" t="str">
        <f>"قطعات و لوازم يدكي"</f>
        <v>قطعات و لوازم يدكي</v>
      </c>
      <c r="C910" s="1">
        <v>101</v>
      </c>
      <c r="D910" s="1" t="str">
        <f>"انبار قطعات و لوازم يدكي اصفهان"</f>
        <v>انبار قطعات و لوازم يدكي اصفهان</v>
      </c>
      <c r="E910" s="1" t="str">
        <f>"8301010012"</f>
        <v>8301010012</v>
      </c>
      <c r="F910" s="1" t="str">
        <f>"صفحه سنگ 3 ميل ميني سنگ"</f>
        <v>صفحه سنگ 3 ميل ميني سنگ</v>
      </c>
      <c r="G910" s="1" t="str">
        <f>"عدد"</f>
        <v>عدد</v>
      </c>
      <c r="H910" s="1">
        <v>78</v>
      </c>
      <c r="I910" s="1">
        <v>2340000</v>
      </c>
      <c r="J910" s="1">
        <v>110</v>
      </c>
      <c r="K910" s="1">
        <v>4365360</v>
      </c>
      <c r="L910" s="1">
        <v>63</v>
      </c>
      <c r="M910" s="1">
        <v>2138366</v>
      </c>
      <c r="O910" s="1">
        <v>97</v>
      </c>
      <c r="P910" s="4">
        <f t="shared" si="42"/>
        <v>4566994</v>
      </c>
      <c r="Q910" s="4">
        <f t="shared" si="43"/>
        <v>125</v>
      </c>
      <c r="R910" s="4">
        <f t="shared" si="44"/>
        <v>36535.951999999997</v>
      </c>
    </row>
    <row r="911" spans="1:18" hidden="1">
      <c r="A911" s="1">
        <v>2</v>
      </c>
      <c r="B911" s="1" t="str">
        <f>"قطعات و لوازم يدكي"</f>
        <v>قطعات و لوازم يدكي</v>
      </c>
      <c r="C911" s="1">
        <v>101</v>
      </c>
      <c r="D911" s="1" t="str">
        <f>"انبار قطعات و لوازم يدكي اصفهان"</f>
        <v>انبار قطعات و لوازم يدكي اصفهان</v>
      </c>
      <c r="E911" s="1" t="str">
        <f>"8521200012"</f>
        <v>8521200012</v>
      </c>
      <c r="F911" s="1" t="str">
        <f>"گسکت کاغذي 1/16"</f>
        <v>گسکت کاغذي 1/16</v>
      </c>
      <c r="G911" s="1" t="str">
        <f>"عدد"</f>
        <v>عدد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O911" s="1">
        <v>97</v>
      </c>
      <c r="P911" s="1">
        <f t="shared" si="42"/>
        <v>0</v>
      </c>
      <c r="Q911" s="1">
        <f t="shared" si="43"/>
        <v>0</v>
      </c>
      <c r="R911" s="1" t="e">
        <f t="shared" si="44"/>
        <v>#DIV/0!</v>
      </c>
    </row>
    <row r="912" spans="1:18" hidden="1">
      <c r="A912" s="1">
        <v>2</v>
      </c>
      <c r="B912" s="1" t="str">
        <f>"قطعات و لوازم يدكي"</f>
        <v>قطعات و لوازم يدكي</v>
      </c>
      <c r="C912" s="1">
        <v>101</v>
      </c>
      <c r="D912" s="1" t="str">
        <f>"انبار قطعات و لوازم يدكي اصفهان"</f>
        <v>انبار قطعات و لوازم يدكي اصفهان</v>
      </c>
      <c r="E912" s="1" t="str">
        <f>"8541201282"</f>
        <v>8541201282</v>
      </c>
      <c r="F912" s="1" t="s">
        <v>67</v>
      </c>
      <c r="G912" s="1" t="str">
        <f>"عدد"</f>
        <v>عدد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O912" s="1">
        <v>97</v>
      </c>
      <c r="P912" s="1">
        <f t="shared" si="42"/>
        <v>0</v>
      </c>
      <c r="Q912" s="1">
        <f t="shared" si="43"/>
        <v>0</v>
      </c>
      <c r="R912" s="1" t="e">
        <f t="shared" si="44"/>
        <v>#DIV/0!</v>
      </c>
    </row>
    <row r="913" spans="1:18">
      <c r="A913" s="1">
        <v>2</v>
      </c>
      <c r="B913" s="1" t="str">
        <f>"قطعات و لوازم يدكي"</f>
        <v>قطعات و لوازم يدكي</v>
      </c>
      <c r="C913" s="1">
        <v>101</v>
      </c>
      <c r="D913" s="1" t="str">
        <f>"انبار قطعات و لوازم يدكي اصفهان"</f>
        <v>انبار قطعات و لوازم يدكي اصفهان</v>
      </c>
      <c r="E913" s="1" t="str">
        <f>"8541330362"</f>
        <v>8541330362</v>
      </c>
      <c r="F913" s="1" t="s">
        <v>68</v>
      </c>
      <c r="G913" s="1" t="str">
        <f>"عدد"</f>
        <v>عدد</v>
      </c>
      <c r="H913" s="1">
        <v>19</v>
      </c>
      <c r="I913" s="1">
        <v>21813</v>
      </c>
      <c r="J913" s="1">
        <v>50</v>
      </c>
      <c r="K913" s="1">
        <v>6318000</v>
      </c>
      <c r="L913" s="1">
        <v>20</v>
      </c>
      <c r="M913" s="1">
        <v>1837627</v>
      </c>
      <c r="O913" s="1">
        <v>97</v>
      </c>
      <c r="P913" s="4">
        <f t="shared" si="42"/>
        <v>4502186</v>
      </c>
      <c r="Q913" s="4">
        <f t="shared" si="43"/>
        <v>49</v>
      </c>
      <c r="R913" s="4">
        <f t="shared" si="44"/>
        <v>91881.346938775503</v>
      </c>
    </row>
    <row r="914" spans="1:18" hidden="1">
      <c r="A914" s="1">
        <v>2</v>
      </c>
      <c r="B914" s="1" t="str">
        <f>"قطعات و لوازم يدكي"</f>
        <v>قطعات و لوازم يدكي</v>
      </c>
      <c r="C914" s="1">
        <v>101</v>
      </c>
      <c r="D914" s="1" t="str">
        <f>"انبار قطعات و لوازم يدكي اصفهان"</f>
        <v>انبار قطعات و لوازم يدكي اصفهان</v>
      </c>
      <c r="E914" s="1" t="str">
        <f>"8564010202"</f>
        <v>8564010202</v>
      </c>
      <c r="F914" s="1" t="str">
        <f>"سيمان نسوز(NC12-139 )"</f>
        <v>سيمان نسوز(NC12-139 )</v>
      </c>
      <c r="G914" s="1" t="str">
        <f>"عدد"</f>
        <v>عدد</v>
      </c>
      <c r="H914" s="1">
        <v>0</v>
      </c>
      <c r="I914" s="1">
        <v>0</v>
      </c>
      <c r="J914" s="1">
        <v>65</v>
      </c>
      <c r="K914" s="1">
        <v>24287500</v>
      </c>
      <c r="L914" s="1">
        <v>65</v>
      </c>
      <c r="M914" s="1">
        <v>24287500</v>
      </c>
      <c r="O914" s="1">
        <v>97</v>
      </c>
      <c r="P914" s="1">
        <f t="shared" si="42"/>
        <v>0</v>
      </c>
      <c r="Q914" s="1">
        <f t="shared" si="43"/>
        <v>0</v>
      </c>
      <c r="R914" s="1" t="e">
        <f t="shared" si="44"/>
        <v>#DIV/0!</v>
      </c>
    </row>
    <row r="915" spans="1:18" hidden="1">
      <c r="A915" s="1">
        <v>2</v>
      </c>
      <c r="B915" s="1" t="str">
        <f>"قطعات و لوازم يدكي"</f>
        <v>قطعات و لوازم يدكي</v>
      </c>
      <c r="C915" s="1">
        <v>101</v>
      </c>
      <c r="D915" s="1" t="str">
        <f>"انبار قطعات و لوازم يدكي اصفهان"</f>
        <v>انبار قطعات و لوازم يدكي اصفهان</v>
      </c>
      <c r="E915" s="1" t="str">
        <f>"8564011622"</f>
        <v>8564011622</v>
      </c>
      <c r="F915" s="1" t="str">
        <f>"كلسيم سيليكات 4 اينچ(ايزوپايپ)"</f>
        <v>كلسيم سيليكات 4 اينچ(ايزوپايپ)</v>
      </c>
      <c r="G915" s="1" t="str">
        <f>"متر"</f>
        <v>متر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O915" s="1">
        <v>97</v>
      </c>
      <c r="P915" s="1">
        <f t="shared" si="42"/>
        <v>0</v>
      </c>
      <c r="Q915" s="1">
        <f t="shared" si="43"/>
        <v>0</v>
      </c>
      <c r="R915" s="1" t="e">
        <f t="shared" si="44"/>
        <v>#DIV/0!</v>
      </c>
    </row>
    <row r="916" spans="1:18" hidden="1">
      <c r="A916" s="1">
        <v>2</v>
      </c>
      <c r="B916" s="1" t="str">
        <f>"قطعات و لوازم يدكي"</f>
        <v>قطعات و لوازم يدكي</v>
      </c>
      <c r="C916" s="1">
        <v>101</v>
      </c>
      <c r="D916" s="1" t="str">
        <f>"انبار قطعات و لوازم يدكي اصفهان"</f>
        <v>انبار قطعات و لوازم يدكي اصفهان</v>
      </c>
      <c r="E916" s="1" t="str">
        <f>"8574402012"</f>
        <v>8574402012</v>
      </c>
      <c r="F916" s="1" t="str">
        <f>"ورق آلومينيوم کرکره با گام 5 ضخامت 6/."</f>
        <v>ورق آلومينيوم کرکره با گام 5 ضخامت 6/.</v>
      </c>
      <c r="G916" s="1" t="str">
        <f>"مترمربع"</f>
        <v>مترمربع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O916" s="1">
        <v>97</v>
      </c>
      <c r="P916" s="1">
        <f t="shared" si="42"/>
        <v>0</v>
      </c>
      <c r="Q916" s="1">
        <f t="shared" si="43"/>
        <v>0</v>
      </c>
      <c r="R916" s="1" t="e">
        <f t="shared" si="44"/>
        <v>#DIV/0!</v>
      </c>
    </row>
    <row r="917" spans="1:18">
      <c r="A917" s="1">
        <v>2</v>
      </c>
      <c r="B917" s="1" t="str">
        <f>"قطعات و لوازم يدكي"</f>
        <v>قطعات و لوازم يدكي</v>
      </c>
      <c r="C917" s="1">
        <v>101</v>
      </c>
      <c r="D917" s="1" t="str">
        <f>"انبار قطعات و لوازم يدكي اصفهان"</f>
        <v>انبار قطعات و لوازم يدكي اصفهان</v>
      </c>
      <c r="E917" s="1" t="str">
        <f>"8178120192"</f>
        <v>8178120192</v>
      </c>
      <c r="F917" s="1" t="str">
        <f>"واشر فنري 3/4"</f>
        <v>واشر فنري 3/4</v>
      </c>
      <c r="G917" s="1" t="str">
        <f>"عدد"</f>
        <v>عدد</v>
      </c>
      <c r="H917" s="1">
        <v>50</v>
      </c>
      <c r="I917" s="1">
        <v>13750</v>
      </c>
      <c r="J917" s="1">
        <v>0</v>
      </c>
      <c r="K917" s="1">
        <v>0</v>
      </c>
      <c r="L917" s="1">
        <v>0</v>
      </c>
      <c r="M917" s="1">
        <v>0</v>
      </c>
      <c r="O917" s="1">
        <v>97</v>
      </c>
      <c r="P917" s="4">
        <f t="shared" si="42"/>
        <v>13750</v>
      </c>
      <c r="Q917" s="4">
        <f t="shared" si="43"/>
        <v>50</v>
      </c>
      <c r="R917" s="4">
        <f t="shared" si="44"/>
        <v>275</v>
      </c>
    </row>
    <row r="918" spans="1:18">
      <c r="A918" s="1">
        <v>2</v>
      </c>
      <c r="B918" s="1" t="str">
        <f>"قطعات و لوازم يدكي"</f>
        <v>قطعات و لوازم يدكي</v>
      </c>
      <c r="C918" s="1">
        <v>101</v>
      </c>
      <c r="D918" s="1" t="str">
        <f>"انبار قطعات و لوازم يدكي اصفهان"</f>
        <v>انبار قطعات و لوازم يدكي اصفهان</v>
      </c>
      <c r="E918" s="1" t="str">
        <f>"8178120252"</f>
        <v>8178120252</v>
      </c>
      <c r="F918" s="1" t="s">
        <v>69</v>
      </c>
      <c r="G918" s="1" t="str">
        <f>"عدد"</f>
        <v>عدد</v>
      </c>
      <c r="H918" s="1">
        <v>100</v>
      </c>
      <c r="I918" s="1">
        <v>145000</v>
      </c>
      <c r="J918" s="1">
        <v>0</v>
      </c>
      <c r="K918" s="1">
        <v>0</v>
      </c>
      <c r="L918" s="1">
        <v>0</v>
      </c>
      <c r="M918" s="1">
        <v>0</v>
      </c>
      <c r="O918" s="1">
        <v>97</v>
      </c>
      <c r="P918" s="4">
        <f t="shared" si="42"/>
        <v>145000</v>
      </c>
      <c r="Q918" s="4">
        <f t="shared" si="43"/>
        <v>100</v>
      </c>
      <c r="R918" s="4">
        <f t="shared" si="44"/>
        <v>1450</v>
      </c>
    </row>
    <row r="919" spans="1:18">
      <c r="A919" s="1">
        <v>2</v>
      </c>
      <c r="B919" s="1" t="str">
        <f>"قطعات و لوازم يدكي"</f>
        <v>قطعات و لوازم يدكي</v>
      </c>
      <c r="C919" s="1">
        <v>101</v>
      </c>
      <c r="D919" s="1" t="str">
        <f>"انبار قطعات و لوازم يدكي اصفهان"</f>
        <v>انبار قطعات و لوازم يدكي اصفهان</v>
      </c>
      <c r="E919" s="1" t="str">
        <f>"8300000012"</f>
        <v>8300000012</v>
      </c>
      <c r="F919" s="1" t="str">
        <f>"تيوپ اكس پنل 1*10"</f>
        <v>تيوپ اكس پنل 1*10</v>
      </c>
      <c r="G919" s="1" t="str">
        <f>"عدد"</f>
        <v>عدد</v>
      </c>
      <c r="H919" s="1">
        <v>1</v>
      </c>
      <c r="I919" s="1">
        <v>2250000</v>
      </c>
      <c r="J919" s="1">
        <v>0</v>
      </c>
      <c r="K919" s="1">
        <v>0</v>
      </c>
      <c r="L919" s="1">
        <v>0</v>
      </c>
      <c r="M919" s="1">
        <v>0</v>
      </c>
      <c r="O919" s="1">
        <v>97</v>
      </c>
      <c r="P919" s="4">
        <f t="shared" si="42"/>
        <v>2250000</v>
      </c>
      <c r="Q919" s="4">
        <f t="shared" si="43"/>
        <v>1</v>
      </c>
      <c r="R919" s="4">
        <f t="shared" si="44"/>
        <v>2250000</v>
      </c>
    </row>
    <row r="920" spans="1:18" hidden="1">
      <c r="A920" s="1">
        <v>2</v>
      </c>
      <c r="B920" s="1" t="str">
        <f>"قطعات و لوازم يدكي"</f>
        <v>قطعات و لوازم يدكي</v>
      </c>
      <c r="C920" s="1">
        <v>101</v>
      </c>
      <c r="D920" s="1" t="str">
        <f>"انبار قطعات و لوازم يدكي اصفهان"</f>
        <v>انبار قطعات و لوازم يدكي اصفهان</v>
      </c>
      <c r="E920" s="1" t="str">
        <f>"8300000072"</f>
        <v>8300000072</v>
      </c>
      <c r="F920" s="1" t="str">
        <f>"پمپ آيارا cma100"</f>
        <v>پمپ آيارا cma100</v>
      </c>
      <c r="G920" s="1" t="str">
        <f>"دستگاه"</f>
        <v>دستگاه</v>
      </c>
      <c r="H920" s="1">
        <v>1</v>
      </c>
      <c r="I920" s="1">
        <v>3850000</v>
      </c>
      <c r="J920" s="1">
        <v>0</v>
      </c>
      <c r="K920" s="1">
        <v>0</v>
      </c>
      <c r="L920" s="1">
        <v>1</v>
      </c>
      <c r="M920" s="1">
        <v>3850000</v>
      </c>
      <c r="O920" s="1">
        <v>97</v>
      </c>
      <c r="P920" s="1">
        <f t="shared" si="42"/>
        <v>0</v>
      </c>
      <c r="Q920" s="1">
        <f t="shared" si="43"/>
        <v>0</v>
      </c>
      <c r="R920" s="1" t="e">
        <f t="shared" si="44"/>
        <v>#DIV/0!</v>
      </c>
    </row>
    <row r="921" spans="1:18">
      <c r="A921" s="1">
        <v>2</v>
      </c>
      <c r="B921" s="1" t="str">
        <f>"قطعات و لوازم يدكي"</f>
        <v>قطعات و لوازم يدكي</v>
      </c>
      <c r="C921" s="1">
        <v>101</v>
      </c>
      <c r="D921" s="1" t="str">
        <f>"انبار قطعات و لوازم يدكي اصفهان"</f>
        <v>انبار قطعات و لوازم يدكي اصفهان</v>
      </c>
      <c r="E921" s="1" t="str">
        <f>"8301010212"</f>
        <v>8301010212</v>
      </c>
      <c r="F921" s="1" t="str">
        <f>"فيلتر سپراتور1003A/B"</f>
        <v>فيلتر سپراتور1003A/B</v>
      </c>
      <c r="G921" s="1" t="str">
        <f>"عدد"</f>
        <v>عدد</v>
      </c>
      <c r="H921" s="1">
        <v>3</v>
      </c>
      <c r="I921" s="1">
        <v>3750000</v>
      </c>
      <c r="J921" s="1">
        <v>0</v>
      </c>
      <c r="K921" s="1">
        <v>0</v>
      </c>
      <c r="L921" s="1">
        <v>0</v>
      </c>
      <c r="M921" s="1">
        <v>0</v>
      </c>
      <c r="O921" s="1">
        <v>97</v>
      </c>
      <c r="P921" s="4">
        <f t="shared" si="42"/>
        <v>3750000</v>
      </c>
      <c r="Q921" s="4">
        <f t="shared" si="43"/>
        <v>3</v>
      </c>
      <c r="R921" s="4">
        <f t="shared" si="44"/>
        <v>1250000</v>
      </c>
    </row>
    <row r="922" spans="1:18" hidden="1">
      <c r="A922" s="1">
        <v>2</v>
      </c>
      <c r="B922" s="1" t="str">
        <f>"قطعات و لوازم يدكي"</f>
        <v>قطعات و لوازم يدكي</v>
      </c>
      <c r="C922" s="1">
        <v>101</v>
      </c>
      <c r="D922" s="1" t="str">
        <f>"انبار قطعات و لوازم يدكي اصفهان"</f>
        <v>انبار قطعات و لوازم يدكي اصفهان</v>
      </c>
      <c r="E922" s="1" t="str">
        <f>"8301010252"</f>
        <v>8301010252</v>
      </c>
      <c r="F922" s="1" t="str">
        <f>"لاستيک ليفتراک ده تني(20*900 با تيوپ)"</f>
        <v>لاستيک ليفتراک ده تني(20*900 با تيوپ)</v>
      </c>
      <c r="G922" s="1" t="str">
        <f>"حلقه"</f>
        <v>حلقه</v>
      </c>
      <c r="H922" s="1">
        <v>0</v>
      </c>
      <c r="I922" s="1">
        <v>0</v>
      </c>
      <c r="J922" s="1">
        <v>6</v>
      </c>
      <c r="K922" s="1">
        <v>54000000</v>
      </c>
      <c r="L922" s="1">
        <v>6</v>
      </c>
      <c r="M922" s="1">
        <v>54000000</v>
      </c>
      <c r="O922" s="1">
        <v>97</v>
      </c>
      <c r="P922" s="1">
        <f t="shared" si="42"/>
        <v>0</v>
      </c>
      <c r="Q922" s="1">
        <f t="shared" si="43"/>
        <v>0</v>
      </c>
      <c r="R922" s="1" t="e">
        <f t="shared" si="44"/>
        <v>#DIV/0!</v>
      </c>
    </row>
    <row r="923" spans="1:18">
      <c r="A923" s="1">
        <v>2</v>
      </c>
      <c r="B923" s="1" t="str">
        <f>"قطعات و لوازم يدكي"</f>
        <v>قطعات و لوازم يدكي</v>
      </c>
      <c r="C923" s="1">
        <v>101</v>
      </c>
      <c r="D923" s="1" t="str">
        <f>"انبار قطعات و لوازم يدكي اصفهان"</f>
        <v>انبار قطعات و لوازم يدكي اصفهان</v>
      </c>
      <c r="E923" s="1" t="str">
        <f>"8541200062"</f>
        <v>8541200062</v>
      </c>
      <c r="F923" s="1" t="str">
        <f>"واشر يونيون 3/4"</f>
        <v>واشر يونيون 3/4</v>
      </c>
      <c r="G923" s="1" t="str">
        <f>"عدد"</f>
        <v>عدد</v>
      </c>
      <c r="H923" s="1">
        <v>59</v>
      </c>
      <c r="I923" s="1">
        <v>1567597</v>
      </c>
      <c r="J923" s="1">
        <v>400</v>
      </c>
      <c r="K923" s="1">
        <v>50544000</v>
      </c>
      <c r="L923" s="1">
        <v>3</v>
      </c>
      <c r="M923" s="1">
        <v>340599</v>
      </c>
      <c r="O923" s="1">
        <v>97</v>
      </c>
      <c r="P923" s="4">
        <f t="shared" si="42"/>
        <v>51770998</v>
      </c>
      <c r="Q923" s="4">
        <f t="shared" si="43"/>
        <v>456</v>
      </c>
      <c r="R923" s="4">
        <f t="shared" si="44"/>
        <v>113532.89035087719</v>
      </c>
    </row>
    <row r="924" spans="1:18">
      <c r="A924" s="1">
        <v>2</v>
      </c>
      <c r="B924" s="1" t="str">
        <f>"قطعات و لوازم يدكي"</f>
        <v>قطعات و لوازم يدكي</v>
      </c>
      <c r="C924" s="1">
        <v>101</v>
      </c>
      <c r="D924" s="1" t="str">
        <f>"انبار قطعات و لوازم يدكي اصفهان"</f>
        <v>انبار قطعات و لوازم يدكي اصفهان</v>
      </c>
      <c r="E924" s="1" t="str">
        <f>"8541201002"</f>
        <v>8541201002</v>
      </c>
      <c r="F924" s="1" t="str">
        <f>"گسکت بانت ولو 2 اينچ کلاس 150"</f>
        <v>گسکت بانت ولو 2 اينچ کلاس 150</v>
      </c>
      <c r="G924" s="1" t="str">
        <f>"عدد"</f>
        <v>عدد</v>
      </c>
      <c r="H924" s="1">
        <v>8</v>
      </c>
      <c r="I924" s="1">
        <v>3000000</v>
      </c>
      <c r="J924" s="1">
        <v>0</v>
      </c>
      <c r="K924" s="1">
        <v>0</v>
      </c>
      <c r="L924" s="1">
        <v>0</v>
      </c>
      <c r="M924" s="1">
        <v>0</v>
      </c>
      <c r="O924" s="1">
        <v>97</v>
      </c>
      <c r="P924" s="4">
        <f t="shared" si="42"/>
        <v>3000000</v>
      </c>
      <c r="Q924" s="4">
        <f t="shared" si="43"/>
        <v>8</v>
      </c>
      <c r="R924" s="4">
        <f t="shared" si="44"/>
        <v>375000</v>
      </c>
    </row>
    <row r="925" spans="1:18">
      <c r="A925" s="1">
        <v>2</v>
      </c>
      <c r="B925" s="1" t="str">
        <f>"قطعات و لوازم يدكي"</f>
        <v>قطعات و لوازم يدكي</v>
      </c>
      <c r="C925" s="1">
        <v>101</v>
      </c>
      <c r="D925" s="1" t="str">
        <f>"انبار قطعات و لوازم يدكي اصفهان"</f>
        <v>انبار قطعات و لوازم يدكي اصفهان</v>
      </c>
      <c r="E925" s="1" t="str">
        <f>"8541201082"</f>
        <v>8541201082</v>
      </c>
      <c r="F925" s="1" t="s">
        <v>70</v>
      </c>
      <c r="G925" s="1" t="str">
        <f>"عدد"</f>
        <v>عدد</v>
      </c>
      <c r="H925" s="1">
        <v>10</v>
      </c>
      <c r="I925" s="1">
        <v>120000</v>
      </c>
      <c r="J925" s="1">
        <v>0</v>
      </c>
      <c r="K925" s="1">
        <v>0</v>
      </c>
      <c r="L925" s="1">
        <v>0</v>
      </c>
      <c r="M925" s="1">
        <v>0</v>
      </c>
      <c r="O925" s="1">
        <v>97</v>
      </c>
      <c r="P925" s="4">
        <f t="shared" si="42"/>
        <v>120000</v>
      </c>
      <c r="Q925" s="4">
        <f t="shared" si="43"/>
        <v>10</v>
      </c>
      <c r="R925" s="4">
        <f t="shared" si="44"/>
        <v>12000</v>
      </c>
    </row>
    <row r="926" spans="1:18">
      <c r="A926" s="1">
        <v>2</v>
      </c>
      <c r="B926" s="1" t="str">
        <f>"قطعات و لوازم يدكي"</f>
        <v>قطعات و لوازم يدكي</v>
      </c>
      <c r="C926" s="1">
        <v>101</v>
      </c>
      <c r="D926" s="1" t="str">
        <f>"انبار قطعات و لوازم يدكي اصفهان"</f>
        <v>انبار قطعات و لوازم يدكي اصفهان</v>
      </c>
      <c r="E926" s="1" t="str">
        <f>"8541330062"</f>
        <v>8541330062</v>
      </c>
      <c r="F926" s="1" t="s">
        <v>71</v>
      </c>
      <c r="G926" s="1" t="str">
        <f>"عدد"</f>
        <v>عدد</v>
      </c>
      <c r="H926" s="1">
        <v>126</v>
      </c>
      <c r="I926" s="1">
        <v>3380913</v>
      </c>
      <c r="J926" s="1">
        <v>294</v>
      </c>
      <c r="K926" s="1">
        <v>35902000</v>
      </c>
      <c r="L926" s="1">
        <v>151</v>
      </c>
      <c r="M926" s="1">
        <v>12985083</v>
      </c>
      <c r="O926" s="1">
        <v>97</v>
      </c>
      <c r="P926" s="4">
        <f t="shared" si="42"/>
        <v>26297830</v>
      </c>
      <c r="Q926" s="4">
        <f t="shared" si="43"/>
        <v>269</v>
      </c>
      <c r="R926" s="4">
        <f t="shared" si="44"/>
        <v>97761.44981412639</v>
      </c>
    </row>
    <row r="927" spans="1:18">
      <c r="A927" s="1">
        <v>2</v>
      </c>
      <c r="B927" s="1" t="str">
        <f>"قطعات و لوازم يدكي"</f>
        <v>قطعات و لوازم يدكي</v>
      </c>
      <c r="C927" s="1">
        <v>101</v>
      </c>
      <c r="D927" s="1" t="str">
        <f>"انبار قطعات و لوازم يدكي اصفهان"</f>
        <v>انبار قطعات و لوازم يدكي اصفهان</v>
      </c>
      <c r="E927" s="1" t="str">
        <f>"8541330182"</f>
        <v>8541330182</v>
      </c>
      <c r="F927" s="1" t="s">
        <v>72</v>
      </c>
      <c r="G927" s="1" t="str">
        <f>"عدد"</f>
        <v>عدد</v>
      </c>
      <c r="H927" s="1">
        <v>30</v>
      </c>
      <c r="I927" s="1">
        <v>961256</v>
      </c>
      <c r="J927" s="1">
        <v>216</v>
      </c>
      <c r="K927" s="1">
        <v>27175572</v>
      </c>
      <c r="L927" s="1">
        <v>88</v>
      </c>
      <c r="M927" s="1">
        <v>9395995</v>
      </c>
      <c r="O927" s="1">
        <v>97</v>
      </c>
      <c r="P927" s="4">
        <f t="shared" si="42"/>
        <v>18740833</v>
      </c>
      <c r="Q927" s="4">
        <f t="shared" si="43"/>
        <v>158</v>
      </c>
      <c r="R927" s="4">
        <f t="shared" si="44"/>
        <v>118612.8670886076</v>
      </c>
    </row>
    <row r="928" spans="1:18">
      <c r="A928" s="1">
        <v>2</v>
      </c>
      <c r="B928" s="1" t="str">
        <f>"قطعات و لوازم يدكي"</f>
        <v>قطعات و لوازم يدكي</v>
      </c>
      <c r="C928" s="1">
        <v>101</v>
      </c>
      <c r="D928" s="1" t="str">
        <f>"انبار قطعات و لوازم يدكي اصفهان"</f>
        <v>انبار قطعات و لوازم يدكي اصفهان</v>
      </c>
      <c r="E928" s="1" t="str">
        <f>"8541330262"</f>
        <v>8541330262</v>
      </c>
      <c r="F928" s="1" t="s">
        <v>73</v>
      </c>
      <c r="G928" s="1" t="str">
        <f>"عدد"</f>
        <v>عدد</v>
      </c>
      <c r="H928" s="1">
        <v>10</v>
      </c>
      <c r="I928" s="1">
        <v>2788813</v>
      </c>
      <c r="J928" s="1">
        <v>366</v>
      </c>
      <c r="K928" s="1">
        <v>49020000</v>
      </c>
      <c r="L928" s="1">
        <v>140</v>
      </c>
      <c r="M928" s="1">
        <v>19301921</v>
      </c>
      <c r="O928" s="1">
        <v>97</v>
      </c>
      <c r="P928" s="4">
        <f t="shared" si="42"/>
        <v>32506892</v>
      </c>
      <c r="Q928" s="4">
        <f t="shared" si="43"/>
        <v>236</v>
      </c>
      <c r="R928" s="4">
        <f t="shared" si="44"/>
        <v>137741.06779661018</v>
      </c>
    </row>
    <row r="929" spans="1:18">
      <c r="A929" s="1">
        <v>2</v>
      </c>
      <c r="B929" s="1" t="str">
        <f>"قطعات و لوازم يدكي"</f>
        <v>قطعات و لوازم يدكي</v>
      </c>
      <c r="C929" s="1">
        <v>101</v>
      </c>
      <c r="D929" s="1" t="str">
        <f>"انبار قطعات و لوازم يدكي اصفهان"</f>
        <v>انبار قطعات و لوازم يدكي اصفهان</v>
      </c>
      <c r="E929" s="1" t="str">
        <f>"8541330382"</f>
        <v>8541330382</v>
      </c>
      <c r="F929" s="1" t="s">
        <v>74</v>
      </c>
      <c r="G929" s="1" t="str">
        <f>"عدد"</f>
        <v>عدد</v>
      </c>
      <c r="H929" s="1">
        <v>11</v>
      </c>
      <c r="I929" s="1">
        <v>4275601</v>
      </c>
      <c r="J929" s="1">
        <v>35</v>
      </c>
      <c r="K929" s="1">
        <v>30272320</v>
      </c>
      <c r="L929" s="1">
        <v>23</v>
      </c>
      <c r="M929" s="1">
        <v>5791921</v>
      </c>
      <c r="O929" s="1">
        <v>97</v>
      </c>
      <c r="P929" s="4">
        <f t="shared" si="42"/>
        <v>28756000</v>
      </c>
      <c r="Q929" s="4">
        <f t="shared" si="43"/>
        <v>23</v>
      </c>
      <c r="R929" s="4">
        <f t="shared" si="44"/>
        <v>1250260.8695652173</v>
      </c>
    </row>
    <row r="930" spans="1:18">
      <c r="A930" s="1">
        <v>2</v>
      </c>
      <c r="B930" s="1" t="str">
        <f>"قطعات و لوازم يدكي"</f>
        <v>قطعات و لوازم يدكي</v>
      </c>
      <c r="C930" s="1">
        <v>101</v>
      </c>
      <c r="D930" s="1" t="str">
        <f>"انبار قطعات و لوازم يدكي اصفهان"</f>
        <v>انبار قطعات و لوازم يدكي اصفهان</v>
      </c>
      <c r="E930" s="1" t="str">
        <f>"8541331082"</f>
        <v>8541331082</v>
      </c>
      <c r="F930" s="1" t="s">
        <v>75</v>
      </c>
      <c r="G930" s="1" t="str">
        <f>"عدد"</f>
        <v>عدد</v>
      </c>
      <c r="H930" s="1">
        <v>63</v>
      </c>
      <c r="I930" s="1">
        <v>2369792</v>
      </c>
      <c r="J930" s="1">
        <v>227</v>
      </c>
      <c r="K930" s="1">
        <v>19630661</v>
      </c>
      <c r="L930" s="1">
        <v>140</v>
      </c>
      <c r="M930" s="1">
        <v>11484204</v>
      </c>
      <c r="O930" s="1">
        <v>97</v>
      </c>
      <c r="P930" s="4">
        <f t="shared" si="42"/>
        <v>10516249</v>
      </c>
      <c r="Q930" s="4">
        <f t="shared" si="43"/>
        <v>150</v>
      </c>
      <c r="R930" s="4">
        <f t="shared" si="44"/>
        <v>70108.32666666666</v>
      </c>
    </row>
    <row r="931" spans="1:18">
      <c r="A931" s="1">
        <v>2</v>
      </c>
      <c r="B931" s="1" t="str">
        <f>"قطعات و لوازم يدكي"</f>
        <v>قطعات و لوازم يدكي</v>
      </c>
      <c r="C931" s="1">
        <v>101</v>
      </c>
      <c r="D931" s="1" t="str">
        <f>"انبار قطعات و لوازم يدكي اصفهان"</f>
        <v>انبار قطعات و لوازم يدكي اصفهان</v>
      </c>
      <c r="E931" s="1" t="str">
        <f>"8541331262"</f>
        <v>8541331262</v>
      </c>
      <c r="F931" s="1" t="s">
        <v>76</v>
      </c>
      <c r="G931" s="1" t="str">
        <f>"عدد"</f>
        <v>عدد</v>
      </c>
      <c r="H931" s="1">
        <v>82</v>
      </c>
      <c r="I931" s="1">
        <v>3530861</v>
      </c>
      <c r="J931" s="1">
        <v>124</v>
      </c>
      <c r="K931" s="1">
        <v>13937446</v>
      </c>
      <c r="L931" s="1">
        <v>34</v>
      </c>
      <c r="M931" s="1">
        <v>2516450</v>
      </c>
      <c r="O931" s="1">
        <v>97</v>
      </c>
      <c r="P931" s="4">
        <f t="shared" si="42"/>
        <v>14951857</v>
      </c>
      <c r="Q931" s="4">
        <f t="shared" si="43"/>
        <v>172</v>
      </c>
      <c r="R931" s="4">
        <f t="shared" si="44"/>
        <v>86929.401162790702</v>
      </c>
    </row>
    <row r="932" spans="1:18">
      <c r="A932" s="1">
        <v>2</v>
      </c>
      <c r="B932" s="1" t="str">
        <f>"قطعات و لوازم يدكي"</f>
        <v>قطعات و لوازم يدكي</v>
      </c>
      <c r="C932" s="1">
        <v>101</v>
      </c>
      <c r="D932" s="1" t="str">
        <f>"انبار قطعات و لوازم يدكي اصفهان"</f>
        <v>انبار قطعات و لوازم يدكي اصفهان</v>
      </c>
      <c r="E932" s="1" t="str">
        <f>"8541331282"</f>
        <v>8541331282</v>
      </c>
      <c r="F932" s="1" t="s">
        <v>77</v>
      </c>
      <c r="G932" s="1" t="str">
        <f>"عدد"</f>
        <v>عدد</v>
      </c>
      <c r="H932" s="1">
        <v>33</v>
      </c>
      <c r="I932" s="1">
        <v>1907053</v>
      </c>
      <c r="J932" s="1">
        <v>100</v>
      </c>
      <c r="K932" s="1">
        <v>12636000</v>
      </c>
      <c r="L932" s="1">
        <v>35</v>
      </c>
      <c r="M932" s="1">
        <v>3326038</v>
      </c>
      <c r="O932" s="1">
        <v>97</v>
      </c>
      <c r="P932" s="4">
        <f t="shared" si="42"/>
        <v>11217015</v>
      </c>
      <c r="Q932" s="4">
        <f t="shared" si="43"/>
        <v>98</v>
      </c>
      <c r="R932" s="4">
        <f t="shared" si="44"/>
        <v>114459.33673469388</v>
      </c>
    </row>
    <row r="933" spans="1:18">
      <c r="A933" s="1">
        <v>2</v>
      </c>
      <c r="B933" s="1" t="str">
        <f>"قطعات و لوازم يدكي"</f>
        <v>قطعات و لوازم يدكي</v>
      </c>
      <c r="C933" s="1">
        <v>101</v>
      </c>
      <c r="D933" s="1" t="str">
        <f>"انبار قطعات و لوازم يدكي اصفهان"</f>
        <v>انبار قطعات و لوازم يدكي اصفهان</v>
      </c>
      <c r="E933" s="1" t="str">
        <f>"8541341002"</f>
        <v>8541341002</v>
      </c>
      <c r="F933" s="1" t="str">
        <f>"GASKET D.M.J  Shape HE1"</f>
        <v>GASKET D.M.J  Shape HE1</v>
      </c>
      <c r="G933" s="1" t="str">
        <f>"عدد"</f>
        <v>عدد</v>
      </c>
      <c r="H933" s="1">
        <v>0</v>
      </c>
      <c r="I933" s="1">
        <v>0</v>
      </c>
      <c r="J933" s="1">
        <v>20</v>
      </c>
      <c r="K933" s="1">
        <v>28000000</v>
      </c>
      <c r="L933" s="1">
        <v>8</v>
      </c>
      <c r="M933" s="1">
        <v>11200000</v>
      </c>
      <c r="O933" s="1">
        <v>97</v>
      </c>
      <c r="P933" s="4">
        <f t="shared" si="42"/>
        <v>16800000</v>
      </c>
      <c r="Q933" s="4">
        <f t="shared" si="43"/>
        <v>12</v>
      </c>
      <c r="R933" s="4">
        <f t="shared" si="44"/>
        <v>1400000</v>
      </c>
    </row>
    <row r="934" spans="1:18" hidden="1">
      <c r="A934" s="1">
        <v>2</v>
      </c>
      <c r="B934" s="1" t="str">
        <f>"قطعات و لوازم يدكي"</f>
        <v>قطعات و لوازم يدكي</v>
      </c>
      <c r="C934" s="1">
        <v>101</v>
      </c>
      <c r="D934" s="1" t="str">
        <f>"انبار قطعات و لوازم يدكي اصفهان"</f>
        <v>انبار قطعات و لوازم يدكي اصفهان</v>
      </c>
      <c r="E934" s="1" t="str">
        <f>"8564011422"</f>
        <v>8564011422</v>
      </c>
      <c r="F934" s="1" t="str">
        <f>"كلسيم سيليكات  3 اينچ(ايزوپايپ)"</f>
        <v>كلسيم سيليكات  3 اينچ(ايزوپايپ)</v>
      </c>
      <c r="G934" s="1" t="str">
        <f>"متر"</f>
        <v>متر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O934" s="1">
        <v>97</v>
      </c>
      <c r="P934" s="1">
        <f t="shared" si="42"/>
        <v>0</v>
      </c>
      <c r="Q934" s="1">
        <f t="shared" si="43"/>
        <v>0</v>
      </c>
      <c r="R934" s="1" t="e">
        <f t="shared" si="44"/>
        <v>#DIV/0!</v>
      </c>
    </row>
    <row r="935" spans="1:18" hidden="1">
      <c r="A935" s="1">
        <v>2</v>
      </c>
      <c r="B935" s="1" t="str">
        <f>"قطعات و لوازم يدكي"</f>
        <v>قطعات و لوازم يدكي</v>
      </c>
      <c r="C935" s="1">
        <v>101</v>
      </c>
      <c r="D935" s="1" t="str">
        <f>"انبار قطعات و لوازم يدكي اصفهان"</f>
        <v>انبار قطعات و لوازم يدكي اصفهان</v>
      </c>
      <c r="E935" s="1" t="str">
        <f>"8574402042"</f>
        <v>8574402042</v>
      </c>
      <c r="F935" s="1" t="str">
        <f>"بست استنلس استيل 16mm*./5"</f>
        <v>بست استنلس استيل 16mm*./5</v>
      </c>
      <c r="G935" s="1" t="str">
        <f>"عدد"</f>
        <v>عدد</v>
      </c>
      <c r="H935" s="1">
        <v>0</v>
      </c>
      <c r="I935" s="1">
        <v>0</v>
      </c>
      <c r="J935" s="1">
        <v>2000</v>
      </c>
      <c r="K935" s="1">
        <v>8320000</v>
      </c>
      <c r="L935" s="1">
        <v>2000</v>
      </c>
      <c r="M935" s="1">
        <v>8320000</v>
      </c>
      <c r="O935" s="1">
        <v>97</v>
      </c>
      <c r="P935" s="1">
        <f t="shared" si="42"/>
        <v>0</v>
      </c>
      <c r="Q935" s="1">
        <f t="shared" si="43"/>
        <v>0</v>
      </c>
      <c r="R935" s="1" t="e">
        <f t="shared" si="44"/>
        <v>#DIV/0!</v>
      </c>
    </row>
    <row r="936" spans="1:18" hidden="1">
      <c r="A936" s="1">
        <v>2</v>
      </c>
      <c r="B936" s="1" t="str">
        <f>"قطعات و لوازم يدكي"</f>
        <v>قطعات و لوازم يدكي</v>
      </c>
      <c r="C936" s="1">
        <v>101</v>
      </c>
      <c r="D936" s="1" t="str">
        <f>"انبار قطعات و لوازم يدكي اصفهان"</f>
        <v>انبار قطعات و لوازم يدكي اصفهان</v>
      </c>
      <c r="E936" s="1" t="str">
        <f>"8574402142"</f>
        <v>8574402142</v>
      </c>
      <c r="F936" s="1" t="str">
        <f>"ورق ساده 7/ . ميلي متر 2*1"</f>
        <v>ورق ساده 7/ . ميلي متر 2*1</v>
      </c>
      <c r="G936" s="1" t="str">
        <f>"عدد"</f>
        <v>عدد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O936" s="1">
        <v>97</v>
      </c>
      <c r="P936" s="1">
        <f t="shared" si="42"/>
        <v>0</v>
      </c>
      <c r="Q936" s="1">
        <f t="shared" si="43"/>
        <v>0</v>
      </c>
      <c r="R936" s="1" t="e">
        <f t="shared" si="44"/>
        <v>#DIV/0!</v>
      </c>
    </row>
    <row r="937" spans="1:18" hidden="1">
      <c r="A937" s="1">
        <v>2</v>
      </c>
      <c r="B937" s="1" t="str">
        <f>"قطعات و لوازم يدكي"</f>
        <v>قطعات و لوازم يدكي</v>
      </c>
      <c r="C937" s="1">
        <v>101</v>
      </c>
      <c r="D937" s="1" t="str">
        <f>"انبار قطعات و لوازم يدكي اصفهان"</f>
        <v>انبار قطعات و لوازم يدكي اصفهان</v>
      </c>
      <c r="E937" s="1" t="str">
        <f>"8574402152"</f>
        <v>8574402152</v>
      </c>
      <c r="F937" s="1" t="str">
        <f>"کليپس"</f>
        <v>کليپس</v>
      </c>
      <c r="G937" s="1" t="str">
        <f>"عدد"</f>
        <v>عدد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O937" s="1">
        <v>97</v>
      </c>
      <c r="P937" s="1">
        <f t="shared" si="42"/>
        <v>0</v>
      </c>
      <c r="Q937" s="1">
        <f t="shared" si="43"/>
        <v>0</v>
      </c>
      <c r="R937" s="1" t="e">
        <f t="shared" si="44"/>
        <v>#DIV/0!</v>
      </c>
    </row>
    <row r="938" spans="1:18" hidden="1">
      <c r="A938" s="1">
        <v>2</v>
      </c>
      <c r="B938" s="1" t="str">
        <f>"قطعات و لوازم يدكي"</f>
        <v>قطعات و لوازم يدكي</v>
      </c>
      <c r="C938" s="1">
        <v>101</v>
      </c>
      <c r="D938" s="1" t="str">
        <f>"انبار قطعات و لوازم يدكي اصفهان"</f>
        <v>انبار قطعات و لوازم يدكي اصفهان</v>
      </c>
      <c r="E938" s="1" t="str">
        <f>"8574402302"</f>
        <v>8574402302</v>
      </c>
      <c r="F938" s="1" t="str">
        <f>"تسمه الومينيوم 5/ 0 13x"</f>
        <v>تسمه الومينيوم 5/ 0 13x</v>
      </c>
      <c r="G938" s="1" t="str">
        <f>"متر"</f>
        <v>متر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O938" s="1">
        <v>97</v>
      </c>
      <c r="P938" s="1">
        <f t="shared" si="42"/>
        <v>0</v>
      </c>
      <c r="Q938" s="1">
        <f t="shared" si="43"/>
        <v>0</v>
      </c>
      <c r="R938" s="1" t="e">
        <f t="shared" si="44"/>
        <v>#DIV/0!</v>
      </c>
    </row>
    <row r="939" spans="1:18">
      <c r="A939" s="1">
        <v>2</v>
      </c>
      <c r="B939" s="1" t="str">
        <f>"قطعات و لوازم يدكي"</f>
        <v>قطعات و لوازم يدكي</v>
      </c>
      <c r="C939" s="1">
        <v>101</v>
      </c>
      <c r="D939" s="1" t="str">
        <f>"انبار قطعات و لوازم يدكي اصفهان"</f>
        <v>انبار قطعات و لوازم يدكي اصفهان</v>
      </c>
      <c r="E939" s="1" t="str">
        <f>"8701021001"</f>
        <v>8701021001</v>
      </c>
      <c r="F939" s="1" t="str">
        <f>"اسپري WD4."</f>
        <v>اسپري WD4.</v>
      </c>
      <c r="G939" s="1" t="str">
        <f>"عدد"</f>
        <v>عدد</v>
      </c>
      <c r="H939" s="1">
        <v>19</v>
      </c>
      <c r="I939" s="1">
        <v>2660000</v>
      </c>
      <c r="J939" s="1">
        <v>30</v>
      </c>
      <c r="K939" s="1">
        <v>3960000</v>
      </c>
      <c r="L939" s="1">
        <v>27</v>
      </c>
      <c r="M939" s="1">
        <v>3686668</v>
      </c>
      <c r="O939" s="1">
        <v>97</v>
      </c>
      <c r="P939" s="4">
        <f t="shared" si="42"/>
        <v>2933332</v>
      </c>
      <c r="Q939" s="4">
        <f t="shared" si="43"/>
        <v>22</v>
      </c>
      <c r="R939" s="4">
        <f t="shared" si="44"/>
        <v>133333.27272727274</v>
      </c>
    </row>
    <row r="940" spans="1:18">
      <c r="A940" s="1">
        <v>2</v>
      </c>
      <c r="B940" s="1" t="str">
        <f>"قطعات و لوازم يدكي"</f>
        <v>قطعات و لوازم يدكي</v>
      </c>
      <c r="C940" s="1">
        <v>101</v>
      </c>
      <c r="D940" s="1" t="str">
        <f>"انبار قطعات و لوازم يدكي اصفهان"</f>
        <v>انبار قطعات و لوازم يدكي اصفهان</v>
      </c>
      <c r="E940" s="1" t="str">
        <f>"8701021052"</f>
        <v>8701021052</v>
      </c>
      <c r="F940" s="1" t="str">
        <f>"LOCETITE  243"</f>
        <v>LOCETITE  243</v>
      </c>
      <c r="G940" s="1" t="str">
        <f>"عدد"</f>
        <v>عدد</v>
      </c>
      <c r="H940" s="1">
        <v>3</v>
      </c>
      <c r="I940" s="1">
        <v>3150000</v>
      </c>
      <c r="J940" s="1">
        <v>0</v>
      </c>
      <c r="K940" s="1">
        <v>0</v>
      </c>
      <c r="L940" s="1">
        <v>0</v>
      </c>
      <c r="M940" s="1">
        <v>0</v>
      </c>
      <c r="O940" s="1">
        <v>97</v>
      </c>
      <c r="P940" s="4">
        <f t="shared" si="42"/>
        <v>3150000</v>
      </c>
      <c r="Q940" s="4">
        <f t="shared" si="43"/>
        <v>3</v>
      </c>
      <c r="R940" s="4">
        <f t="shared" si="44"/>
        <v>1050000</v>
      </c>
    </row>
    <row r="941" spans="1:18" hidden="1">
      <c r="A941" s="1">
        <v>2</v>
      </c>
      <c r="B941" s="1" t="str">
        <f>"قطعات و لوازم يدكي"</f>
        <v>قطعات و لوازم يدكي</v>
      </c>
      <c r="C941" s="1">
        <v>101</v>
      </c>
      <c r="D941" s="1" t="str">
        <f>"انبار قطعات و لوازم يدكي اصفهان"</f>
        <v>انبار قطعات و لوازم يدكي اصفهان</v>
      </c>
      <c r="E941" s="1" t="str">
        <f>"8726220922"</f>
        <v>8726220922</v>
      </c>
      <c r="F941" s="1" t="str">
        <f>"روغن موتور اسپيدي 20w-50"</f>
        <v>روغن موتور اسپيدي 20w-50</v>
      </c>
      <c r="G941" s="1" t="str">
        <f>"ليتر"</f>
        <v>ليتر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O941" s="1">
        <v>97</v>
      </c>
      <c r="P941" s="1">
        <f t="shared" si="42"/>
        <v>0</v>
      </c>
      <c r="Q941" s="1">
        <f t="shared" si="43"/>
        <v>0</v>
      </c>
      <c r="R941" s="1" t="e">
        <f t="shared" si="44"/>
        <v>#DIV/0!</v>
      </c>
    </row>
    <row r="942" spans="1:18" hidden="1">
      <c r="A942" s="1">
        <v>2</v>
      </c>
      <c r="B942" s="1" t="str">
        <f>"قطعات و لوازم يدكي"</f>
        <v>قطعات و لوازم يدكي</v>
      </c>
      <c r="C942" s="1">
        <v>101</v>
      </c>
      <c r="D942" s="1" t="str">
        <f>"انبار قطعات و لوازم يدكي اصفهان"</f>
        <v>انبار قطعات و لوازم يدكي اصفهان</v>
      </c>
      <c r="E942" s="1" t="str">
        <f>"8900000032"</f>
        <v>8900000032</v>
      </c>
      <c r="F942" s="1" t="str">
        <f>"دراتيل اتر محرك اصل 923"</f>
        <v>دراتيل اتر محرك اصل 923</v>
      </c>
      <c r="G942" s="1" t="str">
        <f>"ليتر"</f>
        <v>ليتر</v>
      </c>
      <c r="H942" s="1">
        <v>0</v>
      </c>
      <c r="I942" s="1">
        <v>0</v>
      </c>
      <c r="J942" s="1">
        <v>2</v>
      </c>
      <c r="K942" s="1">
        <v>5000000</v>
      </c>
      <c r="L942" s="1">
        <v>2</v>
      </c>
      <c r="M942" s="1">
        <v>5000000</v>
      </c>
      <c r="O942" s="1">
        <v>97</v>
      </c>
      <c r="P942" s="1">
        <f t="shared" si="42"/>
        <v>0</v>
      </c>
      <c r="Q942" s="1">
        <f t="shared" si="43"/>
        <v>0</v>
      </c>
      <c r="R942" s="1" t="e">
        <f t="shared" si="44"/>
        <v>#DIV/0!</v>
      </c>
    </row>
    <row r="943" spans="1:18" hidden="1">
      <c r="A943" s="1">
        <v>2</v>
      </c>
      <c r="B943" s="1" t="str">
        <f>"قطعات و لوازم يدكي"</f>
        <v>قطعات و لوازم يدكي</v>
      </c>
      <c r="C943" s="1">
        <v>101</v>
      </c>
      <c r="D943" s="1" t="str">
        <f>"انبار قطعات و لوازم يدكي اصفهان"</f>
        <v>انبار قطعات و لوازم يدكي اصفهان</v>
      </c>
      <c r="E943" s="1" t="str">
        <f>"8900000572"</f>
        <v>8900000572</v>
      </c>
      <c r="F943" s="1" t="str">
        <f>"اکسيد آلومينيوم"</f>
        <v>اکسيد آلومينيوم</v>
      </c>
      <c r="G943" s="1" t="str">
        <f>"كيلوگرم"</f>
        <v>كيلوگرم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O943" s="1">
        <v>97</v>
      </c>
      <c r="P943" s="1">
        <f t="shared" si="42"/>
        <v>0</v>
      </c>
      <c r="Q943" s="1">
        <f t="shared" si="43"/>
        <v>0</v>
      </c>
      <c r="R943" s="1" t="e">
        <f t="shared" si="44"/>
        <v>#DIV/0!</v>
      </c>
    </row>
    <row r="944" spans="1:18" hidden="1">
      <c r="A944" s="1">
        <v>2</v>
      </c>
      <c r="B944" s="1" t="str">
        <f>"قطعات و لوازم يدكي"</f>
        <v>قطعات و لوازم يدكي</v>
      </c>
      <c r="C944" s="1">
        <v>101</v>
      </c>
      <c r="D944" s="1" t="str">
        <f>"انبار قطعات و لوازم يدكي اصفهان"</f>
        <v>انبار قطعات و لوازم يدكي اصفهان</v>
      </c>
      <c r="E944" s="1" t="str">
        <f>"8901020012"</f>
        <v>8901020012</v>
      </c>
      <c r="F944" s="1" t="str">
        <f>"محلول کالبيراسيون کانداکتيويتي"</f>
        <v>محلول کالبيراسيون کانداکتيويتي</v>
      </c>
      <c r="G944" s="1" t="str">
        <f>"عدد"</f>
        <v>عدد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O944" s="1">
        <v>97</v>
      </c>
      <c r="P944" s="1">
        <f t="shared" si="42"/>
        <v>0</v>
      </c>
      <c r="Q944" s="1">
        <f t="shared" si="43"/>
        <v>0</v>
      </c>
      <c r="R944" s="1" t="e">
        <f t="shared" si="44"/>
        <v>#DIV/0!</v>
      </c>
    </row>
    <row r="945" spans="1:18" hidden="1">
      <c r="A945" s="1">
        <v>2</v>
      </c>
      <c r="B945" s="1" t="str">
        <f>"قطعات و لوازم يدكي"</f>
        <v>قطعات و لوازم يدكي</v>
      </c>
      <c r="C945" s="1">
        <v>101</v>
      </c>
      <c r="D945" s="1" t="str">
        <f>"انبار قطعات و لوازم يدكي اصفهان"</f>
        <v>انبار قطعات و لوازم يدكي اصفهان</v>
      </c>
      <c r="E945" s="1" t="str">
        <f>"9000000092"</f>
        <v>9000000092</v>
      </c>
      <c r="F945" s="1" t="str">
        <f>"لوازم جانبي برابر کننده فشار"</f>
        <v>لوازم جانبي برابر کننده فشار</v>
      </c>
      <c r="G945" s="1" t="str">
        <f>"عدد"</f>
        <v>عدد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O945" s="1">
        <v>97</v>
      </c>
      <c r="P945" s="1">
        <f t="shared" si="42"/>
        <v>0</v>
      </c>
      <c r="Q945" s="1">
        <f t="shared" si="43"/>
        <v>0</v>
      </c>
      <c r="R945" s="1" t="e">
        <f t="shared" si="44"/>
        <v>#DIV/0!</v>
      </c>
    </row>
    <row r="946" spans="1:18" hidden="1">
      <c r="A946" s="1">
        <v>2</v>
      </c>
      <c r="B946" s="1" t="str">
        <f>"قطعات و لوازم يدكي"</f>
        <v>قطعات و لوازم يدكي</v>
      </c>
      <c r="C946" s="1">
        <v>101</v>
      </c>
      <c r="D946" s="1" t="str">
        <f>"انبار قطعات و لوازم يدكي اصفهان"</f>
        <v>انبار قطعات و لوازم يدكي اصفهان</v>
      </c>
      <c r="E946" s="1" t="str">
        <f>"9001020012"</f>
        <v>9001020012</v>
      </c>
      <c r="F946" s="1" t="str">
        <f>"بافر 4 محرک"</f>
        <v>بافر 4 محرک</v>
      </c>
      <c r="G946" s="1" t="str">
        <f>"عدد"</f>
        <v>عدد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O946" s="1">
        <v>97</v>
      </c>
      <c r="P946" s="1">
        <f t="shared" si="42"/>
        <v>0</v>
      </c>
      <c r="Q946" s="1">
        <f t="shared" si="43"/>
        <v>0</v>
      </c>
      <c r="R946" s="1" t="e">
        <f t="shared" si="44"/>
        <v>#DIV/0!</v>
      </c>
    </row>
    <row r="947" spans="1:18" hidden="1">
      <c r="A947" s="1">
        <v>2</v>
      </c>
      <c r="B947" s="1" t="str">
        <f>"قطعات و لوازم يدكي"</f>
        <v>قطعات و لوازم يدكي</v>
      </c>
      <c r="C947" s="1">
        <v>101</v>
      </c>
      <c r="D947" s="1" t="str">
        <f>"انبار قطعات و لوازم يدكي اصفهان"</f>
        <v>انبار قطعات و لوازم يدكي اصفهان</v>
      </c>
      <c r="E947" s="1" t="str">
        <f>"9500000222"</f>
        <v>9500000222</v>
      </c>
      <c r="F947" s="1" t="str">
        <f>"سه راه جوشي 8 رده 40"</f>
        <v>سه راه جوشي 8 رده 40</v>
      </c>
      <c r="G947" s="1" t="str">
        <f>"عدد"</f>
        <v>عدد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O947" s="1">
        <v>97</v>
      </c>
      <c r="P947" s="1">
        <f t="shared" si="42"/>
        <v>0</v>
      </c>
      <c r="Q947" s="1">
        <f t="shared" si="43"/>
        <v>0</v>
      </c>
      <c r="R947" s="1" t="e">
        <f t="shared" si="44"/>
        <v>#DIV/0!</v>
      </c>
    </row>
    <row r="948" spans="1:18">
      <c r="A948" s="1">
        <v>2</v>
      </c>
      <c r="B948" s="1" t="str">
        <f>"قطعات و لوازم يدكي"</f>
        <v>قطعات و لوازم يدكي</v>
      </c>
      <c r="C948" s="1">
        <v>120</v>
      </c>
      <c r="D948" s="1" t="str">
        <f>"انبار قطعات و لوازم يدكي بشکه سازي اصفهان"</f>
        <v>انبار قطعات و لوازم يدكي بشکه سازي اصفهان</v>
      </c>
      <c r="E948" s="1" t="str">
        <f>"4111700004"</f>
        <v>4111700004</v>
      </c>
      <c r="F948" s="1" t="str">
        <f>"کليد دو پل"</f>
        <v>کليد دو پل</v>
      </c>
      <c r="G948" s="1" t="str">
        <f>"عدد"</f>
        <v>عدد</v>
      </c>
      <c r="H948" s="1">
        <v>0</v>
      </c>
      <c r="I948" s="1">
        <v>0</v>
      </c>
      <c r="J948" s="1">
        <v>2</v>
      </c>
      <c r="K948" s="1">
        <v>48000</v>
      </c>
      <c r="L948" s="1">
        <v>0</v>
      </c>
      <c r="M948" s="1">
        <v>0</v>
      </c>
      <c r="O948" s="1">
        <v>97</v>
      </c>
      <c r="P948" s="4">
        <f t="shared" si="42"/>
        <v>48000</v>
      </c>
      <c r="Q948" s="4">
        <f t="shared" si="43"/>
        <v>2</v>
      </c>
      <c r="R948" s="4">
        <f t="shared" si="44"/>
        <v>24000</v>
      </c>
    </row>
    <row r="949" spans="1:18">
      <c r="A949" s="1">
        <v>2</v>
      </c>
      <c r="B949" s="1" t="str">
        <f>"قطعات و لوازم يدكي"</f>
        <v>قطعات و لوازم يدكي</v>
      </c>
      <c r="C949" s="1">
        <v>120</v>
      </c>
      <c r="D949" s="1" t="str">
        <f>"انبار قطعات و لوازم يدكي بشکه سازي اصفهان"</f>
        <v>انبار قطعات و لوازم يدكي بشکه سازي اصفهان</v>
      </c>
      <c r="E949" s="1" t="str">
        <f>"4111700032"</f>
        <v>4111700032</v>
      </c>
      <c r="F949" s="1" t="str">
        <f>"جعبه تقسيم تو کار"</f>
        <v>جعبه تقسيم تو کار</v>
      </c>
      <c r="G949" s="1" t="str">
        <f>"عدد"</f>
        <v>عدد</v>
      </c>
      <c r="H949" s="1">
        <v>0</v>
      </c>
      <c r="I949" s="1">
        <v>0</v>
      </c>
      <c r="J949" s="1">
        <v>21</v>
      </c>
      <c r="K949" s="1">
        <v>105000</v>
      </c>
      <c r="L949" s="1">
        <v>0</v>
      </c>
      <c r="M949" s="1">
        <v>0</v>
      </c>
      <c r="O949" s="1">
        <v>97</v>
      </c>
      <c r="P949" s="4">
        <f t="shared" si="42"/>
        <v>105000</v>
      </c>
      <c r="Q949" s="4">
        <f t="shared" si="43"/>
        <v>21</v>
      </c>
      <c r="R949" s="4">
        <f t="shared" si="44"/>
        <v>5000</v>
      </c>
    </row>
    <row r="950" spans="1:18">
      <c r="A950" s="1">
        <v>2</v>
      </c>
      <c r="B950" s="1" t="str">
        <f>"قطعات و لوازم يدكي"</f>
        <v>قطعات و لوازم يدكي</v>
      </c>
      <c r="C950" s="1">
        <v>120</v>
      </c>
      <c r="D950" s="1" t="str">
        <f>"انبار قطعات و لوازم يدكي بشکه سازي اصفهان"</f>
        <v>انبار قطعات و لوازم يدكي بشکه سازي اصفهان</v>
      </c>
      <c r="E950" s="1" t="str">
        <f>"4111700037"</f>
        <v>4111700037</v>
      </c>
      <c r="F950" s="1" t="str">
        <f>"کنترل بار تابلو برق دستگاه"</f>
        <v>کنترل بار تابلو برق دستگاه</v>
      </c>
      <c r="G950" s="1" t="str">
        <f>"عدد"</f>
        <v>عدد</v>
      </c>
      <c r="H950" s="1">
        <v>0</v>
      </c>
      <c r="I950" s="1">
        <v>0</v>
      </c>
      <c r="J950" s="1">
        <v>2</v>
      </c>
      <c r="K950" s="1">
        <v>1200000</v>
      </c>
      <c r="L950" s="1">
        <v>0</v>
      </c>
      <c r="M950" s="1">
        <v>0</v>
      </c>
      <c r="O950" s="1">
        <v>97</v>
      </c>
      <c r="P950" s="4">
        <f t="shared" si="42"/>
        <v>1200000</v>
      </c>
      <c r="Q950" s="4">
        <f t="shared" si="43"/>
        <v>2</v>
      </c>
      <c r="R950" s="4">
        <f t="shared" si="44"/>
        <v>600000</v>
      </c>
    </row>
    <row r="951" spans="1:18">
      <c r="A951" s="1">
        <v>2</v>
      </c>
      <c r="B951" s="1" t="str">
        <f>"قطعات و لوازم يدكي"</f>
        <v>قطعات و لوازم يدكي</v>
      </c>
      <c r="C951" s="1">
        <v>120</v>
      </c>
      <c r="D951" s="1" t="str">
        <f>"انبار قطعات و لوازم يدكي بشکه سازي اصفهان"</f>
        <v>انبار قطعات و لوازم يدكي بشکه سازي اصفهان</v>
      </c>
      <c r="E951" s="1" t="str">
        <f>"4111700067"</f>
        <v>4111700067</v>
      </c>
      <c r="F951" s="1" t="str">
        <f>"شير بادي 5 به 1/2"</f>
        <v>شير بادي 5 به 1/2</v>
      </c>
      <c r="G951" s="1" t="str">
        <f>"عدد"</f>
        <v>عدد</v>
      </c>
      <c r="H951" s="1">
        <v>0</v>
      </c>
      <c r="I951" s="1">
        <v>0</v>
      </c>
      <c r="J951" s="1">
        <v>3</v>
      </c>
      <c r="K951" s="1">
        <v>4500000</v>
      </c>
      <c r="L951" s="1">
        <v>0</v>
      </c>
      <c r="M951" s="1">
        <v>0</v>
      </c>
      <c r="O951" s="1">
        <v>97</v>
      </c>
      <c r="P951" s="4">
        <f t="shared" si="42"/>
        <v>4500000</v>
      </c>
      <c r="Q951" s="4">
        <f t="shared" si="43"/>
        <v>3</v>
      </c>
      <c r="R951" s="4">
        <f t="shared" si="44"/>
        <v>1500000</v>
      </c>
    </row>
    <row r="952" spans="1:18">
      <c r="A952" s="1">
        <v>2</v>
      </c>
      <c r="B952" s="1" t="str">
        <f>"قطعات و لوازم يدكي"</f>
        <v>قطعات و لوازم يدكي</v>
      </c>
      <c r="C952" s="1">
        <v>120</v>
      </c>
      <c r="D952" s="1" t="str">
        <f>"انبار قطعات و لوازم يدكي بشکه سازي اصفهان"</f>
        <v>انبار قطعات و لوازم يدكي بشکه سازي اصفهان</v>
      </c>
      <c r="E952" s="1" t="str">
        <f>"4111700070"</f>
        <v>4111700070</v>
      </c>
      <c r="F952" s="1" t="str">
        <f>"کليد مينياتوري تک فاز 32 آمپر"</f>
        <v>کليد مينياتوري تک فاز 32 آمپر</v>
      </c>
      <c r="G952" s="1" t="str">
        <f>"عدد"</f>
        <v>عدد</v>
      </c>
      <c r="H952" s="1">
        <v>0</v>
      </c>
      <c r="I952" s="1">
        <v>0</v>
      </c>
      <c r="J952" s="1">
        <v>5</v>
      </c>
      <c r="K952" s="1">
        <v>1400000</v>
      </c>
      <c r="L952" s="1">
        <v>2</v>
      </c>
      <c r="M952" s="1">
        <v>560000</v>
      </c>
      <c r="O952" s="1">
        <v>97</v>
      </c>
      <c r="P952" s="4">
        <f t="shared" si="42"/>
        <v>840000</v>
      </c>
      <c r="Q952" s="4">
        <f t="shared" si="43"/>
        <v>3</v>
      </c>
      <c r="R952" s="4">
        <f t="shared" si="44"/>
        <v>280000</v>
      </c>
    </row>
    <row r="953" spans="1:18">
      <c r="A953" s="1">
        <v>2</v>
      </c>
      <c r="B953" s="1" t="str">
        <f>"قطعات و لوازم يدكي"</f>
        <v>قطعات و لوازم يدكي</v>
      </c>
      <c r="C953" s="1">
        <v>101</v>
      </c>
      <c r="D953" s="1" t="str">
        <f>"انبار قطعات و لوازم يدكي اصفهان"</f>
        <v>انبار قطعات و لوازم يدكي اصفهان</v>
      </c>
      <c r="E953" s="1" t="str">
        <f>"7556451042"</f>
        <v>7556451042</v>
      </c>
      <c r="F953" s="1" t="str">
        <f>"گلوب ولوجوشي2/ 1 اينچ 800  (globe valve)"</f>
        <v>گلوب ولوجوشي2/ 1 اينچ 800  (globe valve)</v>
      </c>
      <c r="G953" s="1" t="str">
        <f>"عدد"</f>
        <v>عدد</v>
      </c>
      <c r="H953" s="1">
        <v>8</v>
      </c>
      <c r="I953" s="1">
        <v>1901598</v>
      </c>
      <c r="J953" s="1">
        <v>0</v>
      </c>
      <c r="K953" s="1">
        <v>0</v>
      </c>
      <c r="L953" s="1">
        <v>0</v>
      </c>
      <c r="M953" s="1">
        <v>0</v>
      </c>
      <c r="O953" s="1">
        <v>97</v>
      </c>
      <c r="P953" s="4">
        <f t="shared" si="42"/>
        <v>1901598</v>
      </c>
      <c r="Q953" s="4">
        <f t="shared" si="43"/>
        <v>8</v>
      </c>
      <c r="R953" s="4">
        <f t="shared" si="44"/>
        <v>237699.75</v>
      </c>
    </row>
    <row r="954" spans="1:18">
      <c r="A954" s="1">
        <v>2</v>
      </c>
      <c r="B954" s="1" t="str">
        <f>"قطعات و لوازم يدكي"</f>
        <v>قطعات و لوازم يدكي</v>
      </c>
      <c r="C954" s="1">
        <v>101</v>
      </c>
      <c r="D954" s="1" t="str">
        <f>"انبار قطعات و لوازم يدكي اصفهان"</f>
        <v>انبار قطعات و لوازم يدكي اصفهان</v>
      </c>
      <c r="E954" s="1" t="str">
        <f>"7605140342"</f>
        <v>7605140342</v>
      </c>
      <c r="F954" s="1" t="str">
        <f>"Bushing 3/4*3/8 scr A-105"</f>
        <v>Bushing 3/4*3/8 scr A-105</v>
      </c>
      <c r="G954" s="1" t="str">
        <f>"عدد"</f>
        <v>عدد</v>
      </c>
      <c r="H954" s="1">
        <v>9</v>
      </c>
      <c r="I954" s="1">
        <v>324000</v>
      </c>
      <c r="J954" s="1">
        <v>0</v>
      </c>
      <c r="K954" s="1">
        <v>0</v>
      </c>
      <c r="L954" s="1">
        <v>1</v>
      </c>
      <c r="M954" s="1">
        <v>36000</v>
      </c>
      <c r="O954" s="1">
        <v>97</v>
      </c>
      <c r="P954" s="4">
        <f t="shared" si="42"/>
        <v>288000</v>
      </c>
      <c r="Q954" s="4">
        <f t="shared" si="43"/>
        <v>8</v>
      </c>
      <c r="R954" s="4">
        <f t="shared" si="44"/>
        <v>36000</v>
      </c>
    </row>
    <row r="955" spans="1:18">
      <c r="A955" s="1">
        <v>2</v>
      </c>
      <c r="B955" s="1" t="str">
        <f>"قطعات و لوازم يدكي"</f>
        <v>قطعات و لوازم يدكي</v>
      </c>
      <c r="C955" s="1">
        <v>101</v>
      </c>
      <c r="D955" s="1" t="str">
        <f>"انبار قطعات و لوازم يدكي اصفهان"</f>
        <v>انبار قطعات و لوازم يدكي اصفهان</v>
      </c>
      <c r="E955" s="1" t="str">
        <f>"7605140482"</f>
        <v>7605140482</v>
      </c>
      <c r="F955" s="1" t="str">
        <f>"بوشينگ 3/4 * 1 A-105"</f>
        <v>بوشينگ 3/4 * 1 A-105</v>
      </c>
      <c r="G955" s="1" t="str">
        <f>"عدد"</f>
        <v>عدد</v>
      </c>
      <c r="H955" s="1">
        <v>23</v>
      </c>
      <c r="I955" s="1">
        <v>1791280</v>
      </c>
      <c r="J955" s="1">
        <v>0</v>
      </c>
      <c r="K955" s="1">
        <v>0</v>
      </c>
      <c r="L955" s="1">
        <v>1</v>
      </c>
      <c r="M955" s="1">
        <v>77882</v>
      </c>
      <c r="O955" s="1">
        <v>97</v>
      </c>
      <c r="P955" s="4">
        <f t="shared" si="42"/>
        <v>1713398</v>
      </c>
      <c r="Q955" s="4">
        <f t="shared" si="43"/>
        <v>22</v>
      </c>
      <c r="R955" s="4">
        <f t="shared" si="44"/>
        <v>77881.727272727279</v>
      </c>
    </row>
    <row r="956" spans="1:18">
      <c r="A956" s="1">
        <v>2</v>
      </c>
      <c r="B956" s="1" t="str">
        <f>"قطعات و لوازم يدكي"</f>
        <v>قطعات و لوازم يدكي</v>
      </c>
      <c r="C956" s="1">
        <v>101</v>
      </c>
      <c r="D956" s="1" t="str">
        <f>"انبار قطعات و لوازم يدكي اصفهان"</f>
        <v>انبار قطعات و لوازم يدكي اصفهان</v>
      </c>
      <c r="E956" s="1" t="str">
        <f>"7605181202"</f>
        <v>7605181202</v>
      </c>
      <c r="F956" s="1" t="str">
        <f>"كپ دنده اي 2اينچ 3000"</f>
        <v>كپ دنده اي 2اينچ 3000</v>
      </c>
      <c r="G956" s="1" t="str">
        <f>"عدد"</f>
        <v>عدد</v>
      </c>
      <c r="H956" s="1">
        <v>4</v>
      </c>
      <c r="I956" s="1">
        <v>276000</v>
      </c>
      <c r="J956" s="1">
        <v>0</v>
      </c>
      <c r="K956" s="1">
        <v>0</v>
      </c>
      <c r="L956" s="1">
        <v>0</v>
      </c>
      <c r="M956" s="1">
        <v>0</v>
      </c>
      <c r="O956" s="1">
        <v>97</v>
      </c>
      <c r="P956" s="4">
        <f t="shared" si="42"/>
        <v>276000</v>
      </c>
      <c r="Q956" s="4">
        <f t="shared" si="43"/>
        <v>4</v>
      </c>
      <c r="R956" s="4">
        <f t="shared" si="44"/>
        <v>69000</v>
      </c>
    </row>
    <row r="957" spans="1:18">
      <c r="A957" s="1">
        <v>2</v>
      </c>
      <c r="B957" s="1" t="str">
        <f>"قطعات و لوازم يدكي"</f>
        <v>قطعات و لوازم يدكي</v>
      </c>
      <c r="C957" s="1">
        <v>101</v>
      </c>
      <c r="D957" s="1" t="str">
        <f>"انبار قطعات و لوازم يدكي اصفهان"</f>
        <v>انبار قطعات و لوازم يدكي اصفهان</v>
      </c>
      <c r="E957" s="1" t="str">
        <f>"7605564302"</f>
        <v>7605564302</v>
      </c>
      <c r="F957" s="1" t="str">
        <f>"نيپل بارل دنده اي 100* 3/4 رده80"</f>
        <v>نيپل بارل دنده اي 100* 3/4 رده80</v>
      </c>
      <c r="G957" s="1" t="str">
        <f>"عدد"</f>
        <v>عدد</v>
      </c>
      <c r="H957" s="1">
        <v>122</v>
      </c>
      <c r="I957" s="1">
        <v>6429919</v>
      </c>
      <c r="J957" s="1">
        <v>60</v>
      </c>
      <c r="K957" s="1">
        <v>11100000</v>
      </c>
      <c r="L957" s="1">
        <v>99</v>
      </c>
      <c r="M957" s="1">
        <v>8904933</v>
      </c>
      <c r="O957" s="1">
        <v>97</v>
      </c>
      <c r="P957" s="4">
        <f t="shared" si="42"/>
        <v>8624986</v>
      </c>
      <c r="Q957" s="4">
        <f t="shared" si="43"/>
        <v>83</v>
      </c>
      <c r="R957" s="4">
        <f t="shared" si="44"/>
        <v>103915.49397590362</v>
      </c>
    </row>
    <row r="958" spans="1:18">
      <c r="A958" s="1">
        <v>2</v>
      </c>
      <c r="B958" s="1" t="str">
        <f>"قطعات و لوازم يدكي"</f>
        <v>قطعات و لوازم يدكي</v>
      </c>
      <c r="C958" s="1">
        <v>101</v>
      </c>
      <c r="D958" s="1" t="str">
        <f>"انبار قطعات و لوازم يدكي اصفهان"</f>
        <v>انبار قطعات و لوازم يدكي اصفهان</v>
      </c>
      <c r="E958" s="1" t="str">
        <f>"7605581302"</f>
        <v>7605581302</v>
      </c>
      <c r="F958" s="1" t="str">
        <f>"رديوس نيپل 1/2* 1"</f>
        <v>رديوس نيپل 1/2* 1</v>
      </c>
      <c r="G958" s="1" t="str">
        <f>"عدد"</f>
        <v>عدد</v>
      </c>
      <c r="H958" s="1">
        <v>20</v>
      </c>
      <c r="I958" s="1">
        <v>1600642</v>
      </c>
      <c r="J958" s="1">
        <v>0</v>
      </c>
      <c r="K958" s="1">
        <v>0</v>
      </c>
      <c r="L958" s="1">
        <v>5</v>
      </c>
      <c r="M958" s="1">
        <v>400160</v>
      </c>
      <c r="O958" s="1">
        <v>97</v>
      </c>
      <c r="P958" s="4">
        <f t="shared" si="42"/>
        <v>1200482</v>
      </c>
      <c r="Q958" s="4">
        <f t="shared" si="43"/>
        <v>15</v>
      </c>
      <c r="R958" s="4">
        <f t="shared" si="44"/>
        <v>80032.133333333331</v>
      </c>
    </row>
    <row r="959" spans="1:18">
      <c r="A959" s="1">
        <v>2</v>
      </c>
      <c r="B959" s="1" t="str">
        <f>"قطعات و لوازم يدكي"</f>
        <v>قطعات و لوازم يدكي</v>
      </c>
      <c r="C959" s="1">
        <v>101</v>
      </c>
      <c r="D959" s="1" t="str">
        <f>"انبار قطعات و لوازم يدكي اصفهان"</f>
        <v>انبار قطعات و لوازم يدكي اصفهان</v>
      </c>
      <c r="E959" s="1" t="str">
        <f>"7605582802"</f>
        <v>7605582802</v>
      </c>
      <c r="F959" s="1" t="s">
        <v>78</v>
      </c>
      <c r="G959" s="1" t="str">
        <f>"عدد"</f>
        <v>عدد</v>
      </c>
      <c r="H959" s="1">
        <v>10</v>
      </c>
      <c r="I959" s="1">
        <v>2450000</v>
      </c>
      <c r="J959" s="1">
        <v>0</v>
      </c>
      <c r="K959" s="1">
        <v>0</v>
      </c>
      <c r="L959" s="1">
        <v>1</v>
      </c>
      <c r="M959" s="1">
        <v>245000</v>
      </c>
      <c r="O959" s="1">
        <v>97</v>
      </c>
      <c r="P959" s="4">
        <f t="shared" si="42"/>
        <v>2205000</v>
      </c>
      <c r="Q959" s="4">
        <f t="shared" si="43"/>
        <v>9</v>
      </c>
      <c r="R959" s="4">
        <f t="shared" si="44"/>
        <v>245000</v>
      </c>
    </row>
    <row r="960" spans="1:18">
      <c r="A960" s="1">
        <v>2</v>
      </c>
      <c r="B960" s="1" t="str">
        <f>"قطعات و لوازم يدكي"</f>
        <v>قطعات و لوازم يدكي</v>
      </c>
      <c r="C960" s="1">
        <v>101</v>
      </c>
      <c r="D960" s="1" t="str">
        <f>"انبار قطعات و لوازم يدكي اصفهان"</f>
        <v>انبار قطعات و لوازم يدكي اصفهان</v>
      </c>
      <c r="E960" s="1" t="str">
        <f>"7605582822"</f>
        <v>7605582822</v>
      </c>
      <c r="F960" s="1" t="s">
        <v>79</v>
      </c>
      <c r="G960" s="1" t="str">
        <f>"عدد"</f>
        <v>عدد</v>
      </c>
      <c r="H960" s="1">
        <v>19</v>
      </c>
      <c r="I960" s="1">
        <v>3515000</v>
      </c>
      <c r="J960" s="1">
        <v>0</v>
      </c>
      <c r="K960" s="1">
        <v>0</v>
      </c>
      <c r="L960" s="1">
        <v>0</v>
      </c>
      <c r="M960" s="1">
        <v>0</v>
      </c>
      <c r="O960" s="1">
        <v>97</v>
      </c>
      <c r="P960" s="4">
        <f t="shared" si="42"/>
        <v>3515000</v>
      </c>
      <c r="Q960" s="4">
        <f t="shared" si="43"/>
        <v>19</v>
      </c>
      <c r="R960" s="4">
        <f t="shared" si="44"/>
        <v>185000</v>
      </c>
    </row>
    <row r="961" spans="1:18">
      <c r="A961" s="1">
        <v>2</v>
      </c>
      <c r="B961" s="1" t="str">
        <f>"قطعات و لوازم يدكي"</f>
        <v>قطعات و لوازم يدكي</v>
      </c>
      <c r="C961" s="1">
        <v>101</v>
      </c>
      <c r="D961" s="1" t="str">
        <f>"انبار قطعات و لوازم يدكي اصفهان"</f>
        <v>انبار قطعات و لوازم يدكي اصفهان</v>
      </c>
      <c r="E961" s="1" t="str">
        <f>"7605661062"</f>
        <v>7605661062</v>
      </c>
      <c r="F961" s="1" t="s">
        <v>80</v>
      </c>
      <c r="G961" s="1" t="str">
        <f>"عدد"</f>
        <v>عدد</v>
      </c>
      <c r="H961" s="1">
        <v>21</v>
      </c>
      <c r="I961" s="1">
        <v>324500</v>
      </c>
      <c r="J961" s="1">
        <v>17</v>
      </c>
      <c r="K961" s="1">
        <v>1680905</v>
      </c>
      <c r="L961" s="1">
        <v>20</v>
      </c>
      <c r="M961" s="1">
        <v>309048</v>
      </c>
      <c r="O961" s="1">
        <v>97</v>
      </c>
      <c r="P961" s="4">
        <f t="shared" si="42"/>
        <v>1696357</v>
      </c>
      <c r="Q961" s="4">
        <f t="shared" si="43"/>
        <v>18</v>
      </c>
      <c r="R961" s="4">
        <f t="shared" si="44"/>
        <v>94242.055555555562</v>
      </c>
    </row>
    <row r="962" spans="1:18">
      <c r="A962" s="1">
        <v>2</v>
      </c>
      <c r="B962" s="1" t="str">
        <f>"قطعات و لوازم يدكي"</f>
        <v>قطعات و لوازم يدكي</v>
      </c>
      <c r="C962" s="1">
        <v>101</v>
      </c>
      <c r="D962" s="1" t="str">
        <f>"انبار قطعات و لوازم يدكي اصفهان"</f>
        <v>انبار قطعات و لوازم يدكي اصفهان</v>
      </c>
      <c r="E962" s="1" t="str">
        <f>"7605661172"</f>
        <v>7605661172</v>
      </c>
      <c r="F962" s="1" t="str">
        <f>"پلاگ كربن استيل 1/4-1"</f>
        <v>پلاگ كربن استيل 1/4-1</v>
      </c>
      <c r="G962" s="1" t="str">
        <f>"عدد"</f>
        <v>عدد</v>
      </c>
      <c r="H962" s="1">
        <v>7</v>
      </c>
      <c r="I962" s="1">
        <v>364000</v>
      </c>
      <c r="J962" s="1">
        <v>0</v>
      </c>
      <c r="K962" s="1">
        <v>0</v>
      </c>
      <c r="L962" s="1">
        <v>0</v>
      </c>
      <c r="M962" s="1">
        <v>0</v>
      </c>
      <c r="O962" s="1">
        <v>97</v>
      </c>
      <c r="P962" s="4">
        <f t="shared" si="42"/>
        <v>364000</v>
      </c>
      <c r="Q962" s="4">
        <f t="shared" si="43"/>
        <v>7</v>
      </c>
      <c r="R962" s="4">
        <f t="shared" si="44"/>
        <v>52000</v>
      </c>
    </row>
    <row r="963" spans="1:18">
      <c r="A963" s="1">
        <v>2</v>
      </c>
      <c r="B963" s="1" t="str">
        <f>"قطعات و لوازم يدكي"</f>
        <v>قطعات و لوازم يدكي</v>
      </c>
      <c r="C963" s="1">
        <v>101</v>
      </c>
      <c r="D963" s="1" t="str">
        <f>"انبار قطعات و لوازم يدكي اصفهان"</f>
        <v>انبار قطعات و لوازم يدكي اصفهان</v>
      </c>
      <c r="E963" s="1" t="str">
        <f>"7605901162"</f>
        <v>7605901162</v>
      </c>
      <c r="F963" s="1" t="str">
        <f>"يونيون دنده اي 1اينچ 3000"</f>
        <v>يونيون دنده اي 1اينچ 3000</v>
      </c>
      <c r="G963" s="1" t="str">
        <f>"عدد"</f>
        <v>عدد</v>
      </c>
      <c r="H963" s="1">
        <v>17</v>
      </c>
      <c r="I963" s="1">
        <v>2083287</v>
      </c>
      <c r="J963" s="1">
        <v>0</v>
      </c>
      <c r="K963" s="1">
        <v>0</v>
      </c>
      <c r="L963" s="1">
        <v>1</v>
      </c>
      <c r="M963" s="1">
        <v>122546</v>
      </c>
      <c r="O963" s="1">
        <v>97</v>
      </c>
      <c r="P963" s="4">
        <f t="shared" ref="P963:P1026" si="45">I963+K963-M963</f>
        <v>1960741</v>
      </c>
      <c r="Q963" s="4">
        <f t="shared" ref="Q963:Q1026" si="46">H963+J963-L963</f>
        <v>16</v>
      </c>
      <c r="R963" s="4">
        <f t="shared" ref="R963:R1026" si="47">P963/Q963</f>
        <v>122546.3125</v>
      </c>
    </row>
    <row r="964" spans="1:18">
      <c r="A964" s="1">
        <v>2</v>
      </c>
      <c r="B964" s="1" t="str">
        <f>"قطعات و لوازم يدكي"</f>
        <v>قطعات و لوازم يدكي</v>
      </c>
      <c r="C964" s="1">
        <v>101</v>
      </c>
      <c r="D964" s="1" t="str">
        <f>"انبار قطعات و لوازم يدكي اصفهان"</f>
        <v>انبار قطعات و لوازم يدكي اصفهان</v>
      </c>
      <c r="E964" s="1" t="str">
        <f>"7605901202"</f>
        <v>7605901202</v>
      </c>
      <c r="F964" s="1" t="str">
        <f>"يونيون دنده اي 2اينچ 3000"</f>
        <v>يونيون دنده اي 2اينچ 3000</v>
      </c>
      <c r="G964" s="1" t="str">
        <f>"عدد"</f>
        <v>عدد</v>
      </c>
      <c r="H964" s="1">
        <v>2</v>
      </c>
      <c r="I964" s="1">
        <v>364000</v>
      </c>
      <c r="J964" s="1">
        <v>0</v>
      </c>
      <c r="K964" s="1">
        <v>0</v>
      </c>
      <c r="L964" s="1">
        <v>0</v>
      </c>
      <c r="M964" s="1">
        <v>0</v>
      </c>
      <c r="O964" s="1">
        <v>97</v>
      </c>
      <c r="P964" s="4">
        <f t="shared" si="45"/>
        <v>364000</v>
      </c>
      <c r="Q964" s="4">
        <f t="shared" si="46"/>
        <v>2</v>
      </c>
      <c r="R964" s="4">
        <f t="shared" si="47"/>
        <v>182000</v>
      </c>
    </row>
    <row r="965" spans="1:18">
      <c r="A965" s="1">
        <v>2</v>
      </c>
      <c r="B965" s="1" t="str">
        <f>"قطعات و لوازم يدكي"</f>
        <v>قطعات و لوازم يدكي</v>
      </c>
      <c r="C965" s="1">
        <v>101</v>
      </c>
      <c r="D965" s="1" t="str">
        <f>"انبار قطعات و لوازم يدكي اصفهان"</f>
        <v>انبار قطعات و لوازم يدكي اصفهان</v>
      </c>
      <c r="E965" s="1" t="str">
        <f>"7606390082"</f>
        <v>7606390082</v>
      </c>
      <c r="F965" s="1" t="str">
        <f>"زانو 90 دنده اي 1/2 گالوانيزه"</f>
        <v>زانو 90 دنده اي 1/2 گالوانيزه</v>
      </c>
      <c r="G965" s="1" t="str">
        <f>"عدد"</f>
        <v>عدد</v>
      </c>
      <c r="H965" s="1">
        <v>15</v>
      </c>
      <c r="I965" s="1">
        <v>300000</v>
      </c>
      <c r="J965" s="1">
        <v>0</v>
      </c>
      <c r="K965" s="1">
        <v>0</v>
      </c>
      <c r="L965" s="1">
        <v>0</v>
      </c>
      <c r="M965" s="1">
        <v>0</v>
      </c>
      <c r="O965" s="1">
        <v>97</v>
      </c>
      <c r="P965" s="4">
        <f t="shared" si="45"/>
        <v>300000</v>
      </c>
      <c r="Q965" s="4">
        <f t="shared" si="46"/>
        <v>15</v>
      </c>
      <c r="R965" s="4">
        <f t="shared" si="47"/>
        <v>20000</v>
      </c>
    </row>
    <row r="966" spans="1:18">
      <c r="A966" s="1">
        <v>2</v>
      </c>
      <c r="B966" s="1" t="str">
        <f>"قطعات و لوازم يدكي"</f>
        <v>قطعات و لوازم يدكي</v>
      </c>
      <c r="C966" s="1">
        <v>101</v>
      </c>
      <c r="D966" s="1" t="str">
        <f>"انبار قطعات و لوازم يدكي اصفهان"</f>
        <v>انبار قطعات و لوازم يدكي اصفهان</v>
      </c>
      <c r="E966" s="1" t="str">
        <f>"7606390162"</f>
        <v>7606390162</v>
      </c>
      <c r="F966" s="1" t="str">
        <f>"زانو 90 دنده اي 1 اينچ گالوانيزه"</f>
        <v>زانو 90 دنده اي 1 اينچ گالوانيزه</v>
      </c>
      <c r="G966" s="1" t="str">
        <f>"عدد"</f>
        <v>عدد</v>
      </c>
      <c r="H966" s="1">
        <v>1</v>
      </c>
      <c r="I966" s="1">
        <v>5830</v>
      </c>
      <c r="J966" s="1">
        <v>15</v>
      </c>
      <c r="K966" s="1">
        <v>900000</v>
      </c>
      <c r="L966" s="1">
        <v>1</v>
      </c>
      <c r="M966" s="1">
        <v>56614</v>
      </c>
      <c r="O966" s="1">
        <v>97</v>
      </c>
      <c r="P966" s="4">
        <f t="shared" si="45"/>
        <v>849216</v>
      </c>
      <c r="Q966" s="4">
        <f t="shared" si="46"/>
        <v>15</v>
      </c>
      <c r="R966" s="4">
        <f t="shared" si="47"/>
        <v>56614.400000000001</v>
      </c>
    </row>
    <row r="967" spans="1:18">
      <c r="A967" s="1">
        <v>2</v>
      </c>
      <c r="B967" s="1" t="str">
        <f>"قطعات و لوازم يدكي"</f>
        <v>قطعات و لوازم يدكي</v>
      </c>
      <c r="C967" s="1">
        <v>101</v>
      </c>
      <c r="D967" s="1" t="str">
        <f>"انبار قطعات و لوازم يدكي اصفهان"</f>
        <v>انبار قطعات و لوازم يدكي اصفهان</v>
      </c>
      <c r="E967" s="1" t="str">
        <f>"7606661122"</f>
        <v>7606661122</v>
      </c>
      <c r="F967" s="1" t="str">
        <f>"پلاگ آب 4/3"</f>
        <v>پلاگ آب 4/3</v>
      </c>
      <c r="G967" s="1" t="str">
        <f>"عدد"</f>
        <v>عدد</v>
      </c>
      <c r="H967" s="1">
        <v>6</v>
      </c>
      <c r="I967" s="1">
        <v>21000</v>
      </c>
      <c r="J967" s="1">
        <v>20</v>
      </c>
      <c r="K967" s="1">
        <v>300000</v>
      </c>
      <c r="L967" s="1">
        <v>1</v>
      </c>
      <c r="M967" s="1">
        <v>12346</v>
      </c>
      <c r="O967" s="1">
        <v>97</v>
      </c>
      <c r="P967" s="4">
        <f t="shared" si="45"/>
        <v>308654</v>
      </c>
      <c r="Q967" s="4">
        <f t="shared" si="46"/>
        <v>25</v>
      </c>
      <c r="R967" s="4">
        <f t="shared" si="47"/>
        <v>12346.16</v>
      </c>
    </row>
    <row r="968" spans="1:18">
      <c r="A968" s="1">
        <v>2</v>
      </c>
      <c r="B968" s="1" t="str">
        <f>"قطعات و لوازم يدكي"</f>
        <v>قطعات و لوازم يدكي</v>
      </c>
      <c r="C968" s="1">
        <v>101</v>
      </c>
      <c r="D968" s="1" t="str">
        <f>"انبار قطعات و لوازم يدكي اصفهان"</f>
        <v>انبار قطعات و لوازم يدكي اصفهان</v>
      </c>
      <c r="E968" s="1" t="str">
        <f>"7606840122"</f>
        <v>7606840122</v>
      </c>
      <c r="F968" s="1" t="str">
        <f>"سه راهي 3/4 دنده اي گالوانيزه"</f>
        <v>سه راهي 3/4 دنده اي گالوانيزه</v>
      </c>
      <c r="G968" s="1" t="str">
        <f>"عدد"</f>
        <v>عدد</v>
      </c>
      <c r="H968" s="1">
        <v>26</v>
      </c>
      <c r="I968" s="1">
        <v>147680</v>
      </c>
      <c r="J968" s="1">
        <v>3</v>
      </c>
      <c r="K968" s="1">
        <v>17040</v>
      </c>
      <c r="L968" s="1">
        <v>8</v>
      </c>
      <c r="M968" s="1">
        <v>45440</v>
      </c>
      <c r="O968" s="1">
        <v>97</v>
      </c>
      <c r="P968" s="4">
        <f t="shared" si="45"/>
        <v>119280</v>
      </c>
      <c r="Q968" s="4">
        <f t="shared" si="46"/>
        <v>21</v>
      </c>
      <c r="R968" s="4">
        <f t="shared" si="47"/>
        <v>5680</v>
      </c>
    </row>
    <row r="969" spans="1:18">
      <c r="A969" s="1">
        <v>2</v>
      </c>
      <c r="B969" s="1" t="str">
        <f>"قطعات و لوازم يدكي"</f>
        <v>قطعات و لوازم يدكي</v>
      </c>
      <c r="C969" s="1">
        <v>101</v>
      </c>
      <c r="D969" s="1" t="str">
        <f>"انبار قطعات و لوازم يدكي اصفهان"</f>
        <v>انبار قطعات و لوازم يدكي اصفهان</v>
      </c>
      <c r="E969" s="1" t="str">
        <f>"7606840162"</f>
        <v>7606840162</v>
      </c>
      <c r="F969" s="1" t="str">
        <f>"سه راهي  1 اينچ دنده اي گالوانيزه"</f>
        <v>سه راهي  1 اينچ دنده اي گالوانيزه</v>
      </c>
      <c r="G969" s="1" t="str">
        <f>"عدد"</f>
        <v>عدد</v>
      </c>
      <c r="H969" s="1">
        <v>10</v>
      </c>
      <c r="I969" s="1">
        <v>78200</v>
      </c>
      <c r="J969" s="1">
        <v>0</v>
      </c>
      <c r="K969" s="1">
        <v>0</v>
      </c>
      <c r="L969" s="1">
        <v>0</v>
      </c>
      <c r="M969" s="1">
        <v>0</v>
      </c>
      <c r="O969" s="1">
        <v>97</v>
      </c>
      <c r="P969" s="4">
        <f t="shared" si="45"/>
        <v>78200</v>
      </c>
      <c r="Q969" s="4">
        <f t="shared" si="46"/>
        <v>10</v>
      </c>
      <c r="R969" s="4">
        <f t="shared" si="47"/>
        <v>7820</v>
      </c>
    </row>
    <row r="970" spans="1:18">
      <c r="A970" s="1">
        <v>2</v>
      </c>
      <c r="B970" s="1" t="str">
        <f>"قطعات و لوازم يدكي"</f>
        <v>قطعات و لوازم يدكي</v>
      </c>
      <c r="C970" s="1">
        <v>101</v>
      </c>
      <c r="D970" s="1" t="str">
        <f>"انبار قطعات و لوازم يدكي اصفهان"</f>
        <v>انبار قطعات و لوازم يدكي اصفهان</v>
      </c>
      <c r="E970" s="1" t="str">
        <f>"7606900122"</f>
        <v>7606900122</v>
      </c>
      <c r="F970" s="1" t="str">
        <f>"يونيون 3/4 گالوانيزه"</f>
        <v>يونيون 3/4 گالوانيزه</v>
      </c>
      <c r="G970" s="1" t="str">
        <f>"عدد"</f>
        <v>عدد</v>
      </c>
      <c r="H970" s="1">
        <v>12</v>
      </c>
      <c r="I970" s="1">
        <v>1500000</v>
      </c>
      <c r="J970" s="1">
        <v>0</v>
      </c>
      <c r="K970" s="1">
        <v>0</v>
      </c>
      <c r="L970" s="1">
        <v>3</v>
      </c>
      <c r="M970" s="1">
        <v>375000</v>
      </c>
      <c r="O970" s="1">
        <v>97</v>
      </c>
      <c r="P970" s="4">
        <f t="shared" si="45"/>
        <v>1125000</v>
      </c>
      <c r="Q970" s="4">
        <f t="shared" si="46"/>
        <v>9</v>
      </c>
      <c r="R970" s="4">
        <f t="shared" si="47"/>
        <v>125000</v>
      </c>
    </row>
    <row r="971" spans="1:18">
      <c r="A971" s="1">
        <v>2</v>
      </c>
      <c r="B971" s="1" t="str">
        <f>"قطعات و لوازم يدكي"</f>
        <v>قطعات و لوازم يدكي</v>
      </c>
      <c r="C971" s="1">
        <v>101</v>
      </c>
      <c r="D971" s="1" t="str">
        <f>"انبار قطعات و لوازم يدكي اصفهان"</f>
        <v>انبار قطعات و لوازم يدكي اصفهان</v>
      </c>
      <c r="E971" s="1" t="str">
        <f>"7606900162"</f>
        <v>7606900162</v>
      </c>
      <c r="F971" s="1" t="str">
        <f>"يونيون 1 اينچ گالوانيزه"</f>
        <v>يونيون 1 اينچ گالوانيزه</v>
      </c>
      <c r="G971" s="1" t="str">
        <f>"عدد"</f>
        <v>عدد</v>
      </c>
      <c r="H971" s="1">
        <v>6</v>
      </c>
      <c r="I971" s="1">
        <v>888000</v>
      </c>
      <c r="J971" s="1">
        <v>0</v>
      </c>
      <c r="K971" s="1">
        <v>0</v>
      </c>
      <c r="L971" s="1">
        <v>0</v>
      </c>
      <c r="M971" s="1">
        <v>0</v>
      </c>
      <c r="O971" s="1">
        <v>97</v>
      </c>
      <c r="P971" s="4">
        <f t="shared" si="45"/>
        <v>888000</v>
      </c>
      <c r="Q971" s="4">
        <f t="shared" si="46"/>
        <v>6</v>
      </c>
      <c r="R971" s="4">
        <f t="shared" si="47"/>
        <v>148000</v>
      </c>
    </row>
    <row r="972" spans="1:18">
      <c r="A972" s="1">
        <v>2</v>
      </c>
      <c r="B972" s="1" t="str">
        <f>"قطعات و لوازم يدكي"</f>
        <v>قطعات و لوازم يدكي</v>
      </c>
      <c r="C972" s="1">
        <v>101</v>
      </c>
      <c r="D972" s="1" t="str">
        <f>"انبار قطعات و لوازم يدكي اصفهان"</f>
        <v>انبار قطعات و لوازم يدكي اصفهان</v>
      </c>
      <c r="E972" s="1" t="str">
        <f>"7630407852"</f>
        <v>7630407852</v>
      </c>
      <c r="F972" s="1" t="str">
        <f>"زانو 90 درجه جوشي 8 اينچ اس 40"</f>
        <v>زانو 90 درجه جوشي 8 اينچ اس 40</v>
      </c>
      <c r="G972" s="1" t="str">
        <f>"عدد"</f>
        <v>عدد</v>
      </c>
      <c r="H972" s="1">
        <v>8</v>
      </c>
      <c r="I972" s="1">
        <v>10496000</v>
      </c>
      <c r="J972" s="1">
        <v>0</v>
      </c>
      <c r="K972" s="1">
        <v>0</v>
      </c>
      <c r="L972" s="1">
        <v>0</v>
      </c>
      <c r="M972" s="1">
        <v>0</v>
      </c>
      <c r="O972" s="1">
        <v>97</v>
      </c>
      <c r="P972" s="4">
        <f t="shared" si="45"/>
        <v>10496000</v>
      </c>
      <c r="Q972" s="4">
        <f t="shared" si="46"/>
        <v>8</v>
      </c>
      <c r="R972" s="4">
        <f t="shared" si="47"/>
        <v>1312000</v>
      </c>
    </row>
    <row r="973" spans="1:18">
      <c r="A973" s="1">
        <v>2</v>
      </c>
      <c r="B973" s="1" t="str">
        <f>"قطعات و لوازم يدكي"</f>
        <v>قطعات و لوازم يدكي</v>
      </c>
      <c r="C973" s="1">
        <v>101</v>
      </c>
      <c r="D973" s="1" t="str">
        <f>"انبار قطعات و لوازم يدكي اصفهان"</f>
        <v>انبار قطعات و لوازم يدكي اصفهان</v>
      </c>
      <c r="E973" s="1" t="str">
        <f>"7630407872"</f>
        <v>7630407872</v>
      </c>
      <c r="F973" s="1" t="str">
        <f>"زانو 90 درجه جوشي 8 اينچ اس 80"</f>
        <v>زانو 90 درجه جوشي 8 اينچ اس 80</v>
      </c>
      <c r="G973" s="1" t="str">
        <f>"عدد"</f>
        <v>عدد</v>
      </c>
      <c r="H973" s="1">
        <v>2</v>
      </c>
      <c r="I973" s="1">
        <v>1100000</v>
      </c>
      <c r="J973" s="1">
        <v>0</v>
      </c>
      <c r="K973" s="1">
        <v>0</v>
      </c>
      <c r="L973" s="1">
        <v>0</v>
      </c>
      <c r="M973" s="1">
        <v>0</v>
      </c>
      <c r="O973" s="1">
        <v>97</v>
      </c>
      <c r="P973" s="4">
        <f t="shared" si="45"/>
        <v>1100000</v>
      </c>
      <c r="Q973" s="4">
        <f t="shared" si="46"/>
        <v>2</v>
      </c>
      <c r="R973" s="4">
        <f t="shared" si="47"/>
        <v>550000</v>
      </c>
    </row>
    <row r="974" spans="1:18" hidden="1">
      <c r="A974" s="1">
        <v>2</v>
      </c>
      <c r="B974" s="1" t="str">
        <f>"قطعات و لوازم يدكي"</f>
        <v>قطعات و لوازم يدكي</v>
      </c>
      <c r="C974" s="1">
        <v>101</v>
      </c>
      <c r="D974" s="1" t="str">
        <f>"انبار قطعات و لوازم يدكي اصفهان"</f>
        <v>انبار قطعات و لوازم يدكي اصفهان</v>
      </c>
      <c r="E974" s="1" t="str">
        <f>"7630408252"</f>
        <v>7630408252</v>
      </c>
      <c r="F974" s="1" t="str">
        <f>"زانو 90 درجه 12 اينچ  رده40"</f>
        <v>زانو 90 درجه 12 اينچ  رده40</v>
      </c>
      <c r="G974" s="1" t="str">
        <f>"عدد"</f>
        <v>عدد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O974" s="1">
        <v>97</v>
      </c>
      <c r="P974" s="1">
        <f t="shared" si="45"/>
        <v>0</v>
      </c>
      <c r="Q974" s="1">
        <f t="shared" si="46"/>
        <v>0</v>
      </c>
      <c r="R974" s="1" t="e">
        <f t="shared" si="47"/>
        <v>#DIV/0!</v>
      </c>
    </row>
    <row r="975" spans="1:18" hidden="1">
      <c r="A975" s="1">
        <v>2</v>
      </c>
      <c r="B975" s="1" t="str">
        <f>"قطعات و لوازم يدكي"</f>
        <v>قطعات و لوازم يدكي</v>
      </c>
      <c r="C975" s="1">
        <v>101</v>
      </c>
      <c r="D975" s="1" t="str">
        <f>"انبار قطعات و لوازم يدكي اصفهان"</f>
        <v>انبار قطعات و لوازم يدكي اصفهان</v>
      </c>
      <c r="E975" s="1" t="str">
        <f>"7630723072"</f>
        <v>7630723072</v>
      </c>
      <c r="F975" s="1" t="str">
        <f>"تبديل هم محور 6*5"</f>
        <v>تبديل هم محور 6*5</v>
      </c>
      <c r="G975" s="1" t="str">
        <f>"عدد"</f>
        <v>عدد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O975" s="1">
        <v>97</v>
      </c>
      <c r="P975" s="1">
        <f t="shared" si="45"/>
        <v>0</v>
      </c>
      <c r="Q975" s="1">
        <f t="shared" si="46"/>
        <v>0</v>
      </c>
      <c r="R975" s="1" t="e">
        <f t="shared" si="47"/>
        <v>#DIV/0!</v>
      </c>
    </row>
    <row r="976" spans="1:18">
      <c r="A976" s="1">
        <v>2</v>
      </c>
      <c r="B976" s="1" t="str">
        <f>"قطعات و لوازم يدكي"</f>
        <v>قطعات و لوازم يدكي</v>
      </c>
      <c r="C976" s="1">
        <v>101</v>
      </c>
      <c r="D976" s="1" t="str">
        <f>"انبار قطعات و لوازم يدكي اصفهان"</f>
        <v>انبار قطعات و لوازم يدكي اصفهان</v>
      </c>
      <c r="E976" s="1" t="str">
        <f>"7630723552"</f>
        <v>7630723552</v>
      </c>
      <c r="F976" s="1" t="s">
        <v>81</v>
      </c>
      <c r="G976" s="1" t="str">
        <f>"عدد"</f>
        <v>عدد</v>
      </c>
      <c r="H976" s="1">
        <v>2</v>
      </c>
      <c r="I976" s="1">
        <v>610000</v>
      </c>
      <c r="J976" s="1">
        <v>0</v>
      </c>
      <c r="K976" s="1">
        <v>0</v>
      </c>
      <c r="L976" s="1">
        <v>0</v>
      </c>
      <c r="M976" s="1">
        <v>0</v>
      </c>
      <c r="O976" s="1">
        <v>97</v>
      </c>
      <c r="P976" s="4">
        <f t="shared" si="45"/>
        <v>610000</v>
      </c>
      <c r="Q976" s="4">
        <f t="shared" si="46"/>
        <v>2</v>
      </c>
      <c r="R976" s="4">
        <f t="shared" si="47"/>
        <v>305000</v>
      </c>
    </row>
    <row r="977" spans="1:18">
      <c r="A977" s="1">
        <v>2</v>
      </c>
      <c r="B977" s="1" t="str">
        <f>"قطعات و لوازم يدكي"</f>
        <v>قطعات و لوازم يدكي</v>
      </c>
      <c r="C977" s="1">
        <v>101</v>
      </c>
      <c r="D977" s="1" t="str">
        <f>"انبار قطعات و لوازم يدكي اصفهان"</f>
        <v>انبار قطعات و لوازم يدكي اصفهان</v>
      </c>
      <c r="E977" s="1" t="str">
        <f>"7630723652"</f>
        <v>7630723652</v>
      </c>
      <c r="F977" s="1" t="str">
        <f>"تبديل اهني 10X8"</f>
        <v>تبديل اهني 10X8</v>
      </c>
      <c r="G977" s="1" t="str">
        <f>"عدد"</f>
        <v>عدد</v>
      </c>
      <c r="H977" s="1">
        <v>4</v>
      </c>
      <c r="I977" s="1">
        <v>2460000</v>
      </c>
      <c r="J977" s="1">
        <v>0</v>
      </c>
      <c r="K977" s="1">
        <v>0</v>
      </c>
      <c r="L977" s="1">
        <v>0</v>
      </c>
      <c r="M977" s="1">
        <v>0</v>
      </c>
      <c r="O977" s="1">
        <v>97</v>
      </c>
      <c r="P977" s="4">
        <f t="shared" si="45"/>
        <v>2460000</v>
      </c>
      <c r="Q977" s="4">
        <f t="shared" si="46"/>
        <v>4</v>
      </c>
      <c r="R977" s="4">
        <f t="shared" si="47"/>
        <v>615000</v>
      </c>
    </row>
    <row r="978" spans="1:18">
      <c r="A978" s="1">
        <v>2</v>
      </c>
      <c r="B978" s="1" t="str">
        <f>"قطعات و لوازم يدكي"</f>
        <v>قطعات و لوازم يدكي</v>
      </c>
      <c r="C978" s="1">
        <v>101</v>
      </c>
      <c r="D978" s="1" t="str">
        <f>"انبار قطعات و لوازم يدكي اصفهان"</f>
        <v>انبار قطعات و لوازم يدكي اصفهان</v>
      </c>
      <c r="E978" s="1" t="str">
        <f>"7630732652"</f>
        <v>7630732652</v>
      </c>
      <c r="F978" s="1" t="str">
        <f>"رديوسر غير هم مركز 2*4رده40"</f>
        <v>رديوسر غير هم مركز 2*4رده40</v>
      </c>
      <c r="G978" s="1" t="str">
        <f>"عدد"</f>
        <v>عدد</v>
      </c>
      <c r="H978" s="1">
        <v>1</v>
      </c>
      <c r="I978" s="1">
        <v>120000</v>
      </c>
      <c r="J978" s="1">
        <v>5</v>
      </c>
      <c r="K978" s="1">
        <v>3125000</v>
      </c>
      <c r="L978" s="1">
        <v>1</v>
      </c>
      <c r="M978" s="1">
        <v>120000</v>
      </c>
      <c r="O978" s="1">
        <v>97</v>
      </c>
      <c r="P978" s="4">
        <f t="shared" si="45"/>
        <v>3125000</v>
      </c>
      <c r="Q978" s="4">
        <f t="shared" si="46"/>
        <v>5</v>
      </c>
      <c r="R978" s="4">
        <f t="shared" si="47"/>
        <v>625000</v>
      </c>
    </row>
    <row r="979" spans="1:18">
      <c r="A979" s="1">
        <v>2</v>
      </c>
      <c r="B979" s="1" t="str">
        <f>"قطعات و لوازم يدكي"</f>
        <v>قطعات و لوازم يدكي</v>
      </c>
      <c r="C979" s="1">
        <v>101</v>
      </c>
      <c r="D979" s="1" t="str">
        <f>"انبار قطعات و لوازم يدكي اصفهان"</f>
        <v>انبار قطعات و لوازم يدكي اصفهان</v>
      </c>
      <c r="E979" s="1" t="str">
        <f>"7630732972"</f>
        <v>7630732972</v>
      </c>
      <c r="F979" s="1" t="str">
        <f>"تبديل 6*3 اينچ 80"</f>
        <v>تبديل 6*3 اينچ 80</v>
      </c>
      <c r="G979" s="1" t="str">
        <f>"عدد"</f>
        <v>عدد</v>
      </c>
      <c r="H979" s="1">
        <v>2</v>
      </c>
      <c r="I979" s="1">
        <v>116120</v>
      </c>
      <c r="J979" s="1">
        <v>0</v>
      </c>
      <c r="K979" s="1">
        <v>0</v>
      </c>
      <c r="L979" s="1">
        <v>0</v>
      </c>
      <c r="M979" s="1">
        <v>0</v>
      </c>
      <c r="O979" s="1">
        <v>97</v>
      </c>
      <c r="P979" s="4">
        <f t="shared" si="45"/>
        <v>116120</v>
      </c>
      <c r="Q979" s="4">
        <f t="shared" si="46"/>
        <v>2</v>
      </c>
      <c r="R979" s="4">
        <f t="shared" si="47"/>
        <v>58060</v>
      </c>
    </row>
    <row r="980" spans="1:18">
      <c r="A980" s="1">
        <v>2</v>
      </c>
      <c r="B980" s="1" t="str">
        <f>"قطعات و لوازم يدكي"</f>
        <v>قطعات و لوازم يدكي</v>
      </c>
      <c r="C980" s="1">
        <v>101</v>
      </c>
      <c r="D980" s="1" t="str">
        <f>"انبار قطعات و لوازم يدكي اصفهان"</f>
        <v>انبار قطعات و لوازم يدكي اصفهان</v>
      </c>
      <c r="E980" s="1" t="str">
        <f>"7634282082"</f>
        <v>7634282082</v>
      </c>
      <c r="F980" s="1" t="str">
        <f>"فول كوپلينگ ساكت ولد 1/2 اينچ 3000"</f>
        <v>فول كوپلينگ ساكت ولد 1/2 اينچ 3000</v>
      </c>
      <c r="G980" s="1" t="str">
        <f>"عدد"</f>
        <v>عدد</v>
      </c>
      <c r="H980" s="1">
        <v>79</v>
      </c>
      <c r="I980" s="1">
        <v>2754276</v>
      </c>
      <c r="J980" s="1">
        <v>52</v>
      </c>
      <c r="K980" s="1">
        <v>5124464</v>
      </c>
      <c r="L980" s="1">
        <v>15</v>
      </c>
      <c r="M980" s="1">
        <v>659804</v>
      </c>
      <c r="O980" s="1">
        <v>97</v>
      </c>
      <c r="P980" s="4">
        <f t="shared" si="45"/>
        <v>7218936</v>
      </c>
      <c r="Q980" s="4">
        <f t="shared" si="46"/>
        <v>116</v>
      </c>
      <c r="R980" s="4">
        <f t="shared" si="47"/>
        <v>62232.206896551725</v>
      </c>
    </row>
    <row r="981" spans="1:18">
      <c r="A981" s="1">
        <v>2</v>
      </c>
      <c r="B981" s="1" t="str">
        <f>"قطعات و لوازم يدكي"</f>
        <v>قطعات و لوازم يدكي</v>
      </c>
      <c r="C981" s="1">
        <v>101</v>
      </c>
      <c r="D981" s="1" t="str">
        <f>"انبار قطعات و لوازم يدكي اصفهان"</f>
        <v>انبار قطعات و لوازم يدكي اصفهان</v>
      </c>
      <c r="E981" s="1" t="str">
        <f>"7634282202"</f>
        <v>7634282202</v>
      </c>
      <c r="F981" s="1" t="str">
        <f>"كاپلينگ 2 اينچ جوشي 3000 A-105"</f>
        <v>كاپلينگ 2 اينچ جوشي 3000 A-105</v>
      </c>
      <c r="G981" s="1" t="str">
        <f>"عدد"</f>
        <v>عدد</v>
      </c>
      <c r="H981" s="1">
        <v>3</v>
      </c>
      <c r="I981" s="1">
        <v>255000</v>
      </c>
      <c r="J981" s="1">
        <v>0</v>
      </c>
      <c r="K981" s="1">
        <v>0</v>
      </c>
      <c r="L981" s="1">
        <v>0</v>
      </c>
      <c r="M981" s="1">
        <v>0</v>
      </c>
      <c r="O981" s="1">
        <v>97</v>
      </c>
      <c r="P981" s="4">
        <f t="shared" si="45"/>
        <v>255000</v>
      </c>
      <c r="Q981" s="4">
        <f t="shared" si="46"/>
        <v>3</v>
      </c>
      <c r="R981" s="4">
        <f t="shared" si="47"/>
        <v>85000</v>
      </c>
    </row>
    <row r="982" spans="1:18">
      <c r="A982" s="1">
        <v>2</v>
      </c>
      <c r="B982" s="1" t="str">
        <f>"قطعات و لوازم يدكي"</f>
        <v>قطعات و لوازم يدكي</v>
      </c>
      <c r="C982" s="1">
        <v>101</v>
      </c>
      <c r="D982" s="1" t="str">
        <f>"انبار قطعات و لوازم يدكي اصفهان"</f>
        <v>انبار قطعات و لوازم يدكي اصفهان</v>
      </c>
      <c r="E982" s="1" t="str">
        <f>"7634285082"</f>
        <v>7634285082</v>
      </c>
      <c r="F982" s="1" t="str">
        <f>"هالف كاپلينگ جوشي 1/2 اينچ 3000"</f>
        <v>هالف كاپلينگ جوشي 1/2 اينچ 3000</v>
      </c>
      <c r="G982" s="1" t="str">
        <f>"عدد"</f>
        <v>عدد</v>
      </c>
      <c r="H982" s="1">
        <v>28</v>
      </c>
      <c r="I982" s="1">
        <v>1081938</v>
      </c>
      <c r="J982" s="1">
        <v>0</v>
      </c>
      <c r="K982" s="1">
        <v>0</v>
      </c>
      <c r="L982" s="1">
        <v>0</v>
      </c>
      <c r="M982" s="1">
        <v>0</v>
      </c>
      <c r="O982" s="1">
        <v>97</v>
      </c>
      <c r="P982" s="4">
        <f t="shared" si="45"/>
        <v>1081938</v>
      </c>
      <c r="Q982" s="4">
        <f t="shared" si="46"/>
        <v>28</v>
      </c>
      <c r="R982" s="4">
        <f t="shared" si="47"/>
        <v>38640.642857142855</v>
      </c>
    </row>
    <row r="983" spans="1:18">
      <c r="A983" s="1">
        <v>2</v>
      </c>
      <c r="B983" s="1" t="str">
        <f>"قطعات و لوازم يدكي"</f>
        <v>قطعات و لوازم يدكي</v>
      </c>
      <c r="C983" s="1">
        <v>101</v>
      </c>
      <c r="D983" s="1" t="str">
        <f>"انبار قطعات و لوازم يدكي اصفهان"</f>
        <v>انبار قطعات و لوازم يدكي اصفهان</v>
      </c>
      <c r="E983" s="1" t="str">
        <f>"7634392182"</f>
        <v>7634392182</v>
      </c>
      <c r="F983" s="1" t="str">
        <f>"زانو 90 درجه ساكت ولد 1/2-1 اينچ 3000"</f>
        <v>زانو 90 درجه ساكت ولد 1/2-1 اينچ 3000</v>
      </c>
      <c r="G983" s="1" t="str">
        <f>"عدد"</f>
        <v>عدد</v>
      </c>
      <c r="H983" s="1">
        <v>14</v>
      </c>
      <c r="I983" s="1">
        <v>2021266</v>
      </c>
      <c r="J983" s="1">
        <v>10</v>
      </c>
      <c r="K983" s="1">
        <v>14950000</v>
      </c>
      <c r="L983" s="1">
        <v>10</v>
      </c>
      <c r="M983" s="1">
        <v>1443761</v>
      </c>
      <c r="O983" s="1">
        <v>97</v>
      </c>
      <c r="P983" s="4">
        <f t="shared" si="45"/>
        <v>15527505</v>
      </c>
      <c r="Q983" s="4">
        <f t="shared" si="46"/>
        <v>14</v>
      </c>
      <c r="R983" s="4">
        <f t="shared" si="47"/>
        <v>1109107.5</v>
      </c>
    </row>
    <row r="984" spans="1:18">
      <c r="A984" s="1">
        <v>2</v>
      </c>
      <c r="B984" s="1" t="str">
        <f>"قطعات و لوازم يدكي"</f>
        <v>قطعات و لوازم يدكي</v>
      </c>
      <c r="C984" s="1">
        <v>101</v>
      </c>
      <c r="D984" s="1" t="str">
        <f>"انبار قطعات و لوازم يدكي اصفهان"</f>
        <v>انبار قطعات و لوازم يدكي اصفهان</v>
      </c>
      <c r="E984" s="1" t="str">
        <f>"7634842122"</f>
        <v>7634842122</v>
      </c>
      <c r="F984" s="1" t="s">
        <v>82</v>
      </c>
      <c r="G984" s="1" t="str">
        <f>"عدد"</f>
        <v>عدد</v>
      </c>
      <c r="H984" s="1">
        <v>18</v>
      </c>
      <c r="I984" s="1">
        <v>2023969</v>
      </c>
      <c r="J984" s="1">
        <v>60</v>
      </c>
      <c r="K984" s="1">
        <v>12845000</v>
      </c>
      <c r="L984" s="1">
        <v>13</v>
      </c>
      <c r="M984" s="1">
        <v>2325248</v>
      </c>
      <c r="O984" s="1">
        <v>97</v>
      </c>
      <c r="P984" s="4">
        <f t="shared" si="45"/>
        <v>12543721</v>
      </c>
      <c r="Q984" s="4">
        <f t="shared" si="46"/>
        <v>65</v>
      </c>
      <c r="R984" s="4">
        <f t="shared" si="47"/>
        <v>192980.32307692309</v>
      </c>
    </row>
    <row r="985" spans="1:18">
      <c r="A985" s="1">
        <v>2</v>
      </c>
      <c r="B985" s="1" t="str">
        <f>"قطعات و لوازم يدكي"</f>
        <v>قطعات و لوازم يدكي</v>
      </c>
      <c r="C985" s="1">
        <v>101</v>
      </c>
      <c r="D985" s="1" t="str">
        <f>"انبار قطعات و لوازم يدكي اصفهان"</f>
        <v>انبار قطعات و لوازم يدكي اصفهان</v>
      </c>
      <c r="E985" s="1" t="str">
        <f>"7640260022"</f>
        <v>7640260022</v>
      </c>
      <c r="F985" s="1" t="str">
        <f>"STUD CONNECTOR 1/2*1/4 FM"</f>
        <v>STUD CONNECTOR 1/2*1/4 FM</v>
      </c>
      <c r="G985" s="1" t="str">
        <f>"عدد"</f>
        <v>عدد</v>
      </c>
      <c r="H985" s="1">
        <v>9</v>
      </c>
      <c r="I985" s="1">
        <v>1170000</v>
      </c>
      <c r="J985" s="1">
        <v>0</v>
      </c>
      <c r="K985" s="1">
        <v>0</v>
      </c>
      <c r="L985" s="1">
        <v>0</v>
      </c>
      <c r="M985" s="1">
        <v>0</v>
      </c>
      <c r="O985" s="1">
        <v>97</v>
      </c>
      <c r="P985" s="4">
        <f t="shared" si="45"/>
        <v>1170000</v>
      </c>
      <c r="Q985" s="4">
        <f t="shared" si="46"/>
        <v>9</v>
      </c>
      <c r="R985" s="4">
        <f t="shared" si="47"/>
        <v>130000</v>
      </c>
    </row>
    <row r="986" spans="1:18">
      <c r="A986" s="1">
        <v>2</v>
      </c>
      <c r="B986" s="1" t="str">
        <f>"قطعات و لوازم يدكي"</f>
        <v>قطعات و لوازم يدكي</v>
      </c>
      <c r="C986" s="1">
        <v>101</v>
      </c>
      <c r="D986" s="1" t="str">
        <f>"انبار قطعات و لوازم يدكي اصفهان"</f>
        <v>انبار قطعات و لوازم يدكي اصفهان</v>
      </c>
      <c r="E986" s="1" t="str">
        <f>"7640260122"</f>
        <v>7640260122</v>
      </c>
      <c r="F986" s="1" t="str">
        <f>"STUD CONNECTOR 1/4*3/8 M"</f>
        <v>STUD CONNECTOR 1/4*3/8 M</v>
      </c>
      <c r="G986" s="1" t="str">
        <f>"عدد"</f>
        <v>عدد</v>
      </c>
      <c r="H986" s="1">
        <v>18</v>
      </c>
      <c r="I986" s="1">
        <v>3780000</v>
      </c>
      <c r="J986" s="1">
        <v>0</v>
      </c>
      <c r="K986" s="1">
        <v>0</v>
      </c>
      <c r="L986" s="1">
        <v>1</v>
      </c>
      <c r="M986" s="1">
        <v>210000</v>
      </c>
      <c r="O986" s="1">
        <v>97</v>
      </c>
      <c r="P986" s="4">
        <f t="shared" si="45"/>
        <v>3570000</v>
      </c>
      <c r="Q986" s="4">
        <f t="shared" si="46"/>
        <v>17</v>
      </c>
      <c r="R986" s="4">
        <f t="shared" si="47"/>
        <v>210000</v>
      </c>
    </row>
    <row r="987" spans="1:18">
      <c r="A987" s="1">
        <v>2</v>
      </c>
      <c r="B987" s="1" t="str">
        <f>"قطعات و لوازم يدكي"</f>
        <v>قطعات و لوازم يدكي</v>
      </c>
      <c r="C987" s="1">
        <v>101</v>
      </c>
      <c r="D987" s="1" t="str">
        <f>"انبار قطعات و لوازم يدكي اصفهان"</f>
        <v>انبار قطعات و لوازم يدكي اصفهان</v>
      </c>
      <c r="E987" s="1" t="str">
        <f>"7640260242"</f>
        <v>7640260242</v>
      </c>
      <c r="F987" s="1" t="str">
        <f>"STUD CONNECTOR 3/8*3/8 M"</f>
        <v>STUD CONNECTOR 3/8*3/8 M</v>
      </c>
      <c r="G987" s="1" t="str">
        <f>"عدد"</f>
        <v>عدد</v>
      </c>
      <c r="H987" s="1">
        <v>33</v>
      </c>
      <c r="I987" s="1">
        <v>2615854</v>
      </c>
      <c r="J987" s="1">
        <v>0</v>
      </c>
      <c r="K987" s="1">
        <v>0</v>
      </c>
      <c r="L987" s="1">
        <v>9</v>
      </c>
      <c r="M987" s="1">
        <v>713415</v>
      </c>
      <c r="O987" s="1">
        <v>97</v>
      </c>
      <c r="P987" s="4">
        <f t="shared" si="45"/>
        <v>1902439</v>
      </c>
      <c r="Q987" s="4">
        <f t="shared" si="46"/>
        <v>24</v>
      </c>
      <c r="R987" s="4">
        <f t="shared" si="47"/>
        <v>79268.291666666672</v>
      </c>
    </row>
    <row r="988" spans="1:18">
      <c r="A988" s="1">
        <v>2</v>
      </c>
      <c r="B988" s="1" t="str">
        <f>"قطعات و لوازم يدكي"</f>
        <v>قطعات و لوازم يدكي</v>
      </c>
      <c r="C988" s="1">
        <v>101</v>
      </c>
      <c r="D988" s="1" t="str">
        <f>"انبار قطعات و لوازم يدكي اصفهان"</f>
        <v>انبار قطعات و لوازم يدكي اصفهان</v>
      </c>
      <c r="E988" s="1" t="str">
        <f>"7640260262"</f>
        <v>7640260262</v>
      </c>
      <c r="F988" s="1" t="str">
        <f>"STUD CONNECTOR 3/8*1/2 M"</f>
        <v>STUD CONNECTOR 3/8*1/2 M</v>
      </c>
      <c r="G988" s="1" t="str">
        <f>"عدد"</f>
        <v>عدد</v>
      </c>
      <c r="H988" s="1">
        <v>13</v>
      </c>
      <c r="I988" s="1">
        <v>1659343</v>
      </c>
      <c r="J988" s="1">
        <v>14</v>
      </c>
      <c r="K988" s="1">
        <v>8175284</v>
      </c>
      <c r="L988" s="1">
        <v>11</v>
      </c>
      <c r="M988" s="1">
        <v>1404060</v>
      </c>
      <c r="O988" s="1">
        <v>97</v>
      </c>
      <c r="P988" s="4">
        <f t="shared" si="45"/>
        <v>8430567</v>
      </c>
      <c r="Q988" s="4">
        <f t="shared" si="46"/>
        <v>16</v>
      </c>
      <c r="R988" s="4">
        <f t="shared" si="47"/>
        <v>526910.4375</v>
      </c>
    </row>
    <row r="989" spans="1:18" hidden="1">
      <c r="A989" s="1">
        <v>2</v>
      </c>
      <c r="B989" s="1" t="str">
        <f>"قطعات و لوازم يدكي"</f>
        <v>قطعات و لوازم يدكي</v>
      </c>
      <c r="C989" s="1">
        <v>101</v>
      </c>
      <c r="D989" s="1" t="str">
        <f>"انبار قطعات و لوازم يدكي اصفهان"</f>
        <v>انبار قطعات و لوازم يدكي اصفهان</v>
      </c>
      <c r="E989" s="1" t="str">
        <f>"8574402132"</f>
        <v>8574402132</v>
      </c>
      <c r="F989" s="1" t="str">
        <f>"تسمه 16 استيل"</f>
        <v>تسمه 16 استيل</v>
      </c>
      <c r="G989" s="1" t="str">
        <f>"كيلوگرم"</f>
        <v>كيلوگرم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O989" s="1">
        <v>97</v>
      </c>
      <c r="P989" s="1">
        <f t="shared" si="45"/>
        <v>0</v>
      </c>
      <c r="Q989" s="1">
        <f t="shared" si="46"/>
        <v>0</v>
      </c>
      <c r="R989" s="1" t="e">
        <f t="shared" si="47"/>
        <v>#DIV/0!</v>
      </c>
    </row>
    <row r="990" spans="1:18">
      <c r="A990" s="1">
        <v>2</v>
      </c>
      <c r="B990" s="1" t="str">
        <f>"قطعات و لوازم يدكي"</f>
        <v>قطعات و لوازم يدكي</v>
      </c>
      <c r="C990" s="1">
        <v>101</v>
      </c>
      <c r="D990" s="1" t="str">
        <f>"انبار قطعات و لوازم يدكي اصفهان"</f>
        <v>انبار قطعات و لوازم يدكي اصفهان</v>
      </c>
      <c r="E990" s="1" t="str">
        <f>"8701021011"</f>
        <v>8701021011</v>
      </c>
      <c r="F990" s="1" t="str">
        <f>"چسب پرماتکس."</f>
        <v>چسب پرماتکس.</v>
      </c>
      <c r="G990" s="1" t="str">
        <f>"عدد"</f>
        <v>عدد</v>
      </c>
      <c r="H990" s="1">
        <v>89</v>
      </c>
      <c r="I990" s="1">
        <v>3111113</v>
      </c>
      <c r="J990" s="1">
        <v>8</v>
      </c>
      <c r="K990" s="1">
        <v>279651</v>
      </c>
      <c r="L990" s="1">
        <v>80</v>
      </c>
      <c r="M990" s="1">
        <v>2796506</v>
      </c>
      <c r="O990" s="1">
        <v>97</v>
      </c>
      <c r="P990" s="4">
        <f t="shared" si="45"/>
        <v>594258</v>
      </c>
      <c r="Q990" s="4">
        <f t="shared" si="46"/>
        <v>17</v>
      </c>
      <c r="R990" s="4">
        <f t="shared" si="47"/>
        <v>34956.352941176468</v>
      </c>
    </row>
    <row r="991" spans="1:18" hidden="1">
      <c r="A991" s="1">
        <v>2</v>
      </c>
      <c r="B991" s="1" t="str">
        <f>"قطعات و لوازم يدكي"</f>
        <v>قطعات و لوازم يدكي</v>
      </c>
      <c r="C991" s="1">
        <v>101</v>
      </c>
      <c r="D991" s="1" t="str">
        <f>"انبار قطعات و لوازم يدكي اصفهان"</f>
        <v>انبار قطعات و لوازم يدكي اصفهان</v>
      </c>
      <c r="E991" s="1" t="str">
        <f>"8701021042"</f>
        <v>8701021042</v>
      </c>
      <c r="F991" s="1" t="str">
        <f>"DEVCON"</f>
        <v>DEVCON</v>
      </c>
      <c r="G991" s="1" t="str">
        <f>"عدد"</f>
        <v>عدد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O991" s="1">
        <v>97</v>
      </c>
      <c r="P991" s="1">
        <f t="shared" si="45"/>
        <v>0</v>
      </c>
      <c r="Q991" s="1">
        <f t="shared" si="46"/>
        <v>0</v>
      </c>
      <c r="R991" s="1" t="e">
        <f t="shared" si="47"/>
        <v>#DIV/0!</v>
      </c>
    </row>
    <row r="992" spans="1:18">
      <c r="A992" s="1">
        <v>2</v>
      </c>
      <c r="B992" s="1" t="str">
        <f>"قطعات و لوازم يدكي"</f>
        <v>قطعات و لوازم يدكي</v>
      </c>
      <c r="C992" s="1">
        <v>101</v>
      </c>
      <c r="D992" s="1" t="str">
        <f>"انبار قطعات و لوازم يدكي اصفهان"</f>
        <v>انبار قطعات و لوازم يدكي اصفهان</v>
      </c>
      <c r="E992" s="1" t="str">
        <f>"8722011022"</f>
        <v>8722011022</v>
      </c>
      <c r="F992" s="1" t="str">
        <f>"روغن بهران ويژه 1294"</f>
        <v>روغن بهران ويژه 1294</v>
      </c>
      <c r="G992" s="1" t="str">
        <f>"ليتر"</f>
        <v>ليتر</v>
      </c>
      <c r="H992" s="1">
        <v>20</v>
      </c>
      <c r="I992" s="1">
        <v>2600000</v>
      </c>
      <c r="J992" s="1">
        <v>0</v>
      </c>
      <c r="K992" s="1">
        <v>0</v>
      </c>
      <c r="L992" s="1">
        <v>0</v>
      </c>
      <c r="M992" s="1">
        <v>0</v>
      </c>
      <c r="O992" s="1">
        <v>97</v>
      </c>
      <c r="P992" s="4">
        <f t="shared" si="45"/>
        <v>2600000</v>
      </c>
      <c r="Q992" s="4">
        <f t="shared" si="46"/>
        <v>20</v>
      </c>
      <c r="R992" s="4">
        <f t="shared" si="47"/>
        <v>130000</v>
      </c>
    </row>
    <row r="993" spans="1:18">
      <c r="A993" s="1">
        <v>2</v>
      </c>
      <c r="B993" s="1" t="str">
        <f>"قطعات و لوازم يدكي"</f>
        <v>قطعات و لوازم يدكي</v>
      </c>
      <c r="C993" s="1">
        <v>101</v>
      </c>
      <c r="D993" s="1" t="str">
        <f>"انبار قطعات و لوازم يدكي اصفهان"</f>
        <v>انبار قطعات و لوازم يدكي اصفهان</v>
      </c>
      <c r="E993" s="1" t="str">
        <f>"8765524312"</f>
        <v>8765524312</v>
      </c>
      <c r="F993" s="1" t="str">
        <f>"گريس R2 مخصوص آسياب امولسيون"</f>
        <v>گريس R2 مخصوص آسياب امولسيون</v>
      </c>
      <c r="G993" s="1" t="str">
        <f>"كيلوگرم"</f>
        <v>كيلوگرم</v>
      </c>
      <c r="H993" s="1">
        <v>15</v>
      </c>
      <c r="I993" s="1">
        <v>3300000</v>
      </c>
      <c r="J993" s="1">
        <v>0</v>
      </c>
      <c r="K993" s="1">
        <v>0</v>
      </c>
      <c r="L993" s="1">
        <v>0</v>
      </c>
      <c r="M993" s="1">
        <v>0</v>
      </c>
      <c r="O993" s="1">
        <v>97</v>
      </c>
      <c r="P993" s="4">
        <f t="shared" si="45"/>
        <v>3300000</v>
      </c>
      <c r="Q993" s="4">
        <f t="shared" si="46"/>
        <v>15</v>
      </c>
      <c r="R993" s="4">
        <f t="shared" si="47"/>
        <v>220000</v>
      </c>
    </row>
    <row r="994" spans="1:18" hidden="1">
      <c r="A994" s="1">
        <v>2</v>
      </c>
      <c r="B994" s="1" t="str">
        <f>"قطعات و لوازم يدكي"</f>
        <v>قطعات و لوازم يدكي</v>
      </c>
      <c r="C994" s="1">
        <v>101</v>
      </c>
      <c r="D994" s="1" t="str">
        <f>"انبار قطعات و لوازم يدكي اصفهان"</f>
        <v>انبار قطعات و لوازم يدكي اصفهان</v>
      </c>
      <c r="E994" s="1" t="str">
        <f>"8900000542"</f>
        <v>8900000542</v>
      </c>
      <c r="F994" s="1" t="str">
        <f>"کينولين 250CC"</f>
        <v>کينولين 250CC</v>
      </c>
      <c r="G994" s="1" t="str">
        <f>"عدد"</f>
        <v>عدد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O994" s="1">
        <v>97</v>
      </c>
      <c r="P994" s="1">
        <f t="shared" si="45"/>
        <v>0</v>
      </c>
      <c r="Q994" s="1">
        <f t="shared" si="46"/>
        <v>0</v>
      </c>
      <c r="R994" s="1" t="e">
        <f t="shared" si="47"/>
        <v>#DIV/0!</v>
      </c>
    </row>
    <row r="995" spans="1:18" hidden="1">
      <c r="A995" s="1">
        <v>2</v>
      </c>
      <c r="B995" s="1" t="str">
        <f>"قطعات و لوازم يدكي"</f>
        <v>قطعات و لوازم يدكي</v>
      </c>
      <c r="C995" s="1">
        <v>101</v>
      </c>
      <c r="D995" s="1" t="str">
        <f>"انبار قطعات و لوازم يدكي اصفهان"</f>
        <v>انبار قطعات و لوازم يدكي اصفهان</v>
      </c>
      <c r="E995" s="1" t="str">
        <f>"8900000562"</f>
        <v>8900000562</v>
      </c>
      <c r="F995" s="1" t="str">
        <f>"متانول"</f>
        <v>متانول</v>
      </c>
      <c r="G995" s="1" t="str">
        <f>"ليتر"</f>
        <v>ليتر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O995" s="1">
        <v>97</v>
      </c>
      <c r="P995" s="1">
        <f t="shared" si="45"/>
        <v>0</v>
      </c>
      <c r="Q995" s="1">
        <f t="shared" si="46"/>
        <v>0</v>
      </c>
      <c r="R995" s="1" t="e">
        <f t="shared" si="47"/>
        <v>#DIV/0!</v>
      </c>
    </row>
    <row r="996" spans="1:18" hidden="1">
      <c r="A996" s="1">
        <v>2</v>
      </c>
      <c r="B996" s="1" t="str">
        <f>"قطعات و لوازم يدكي"</f>
        <v>قطعات و لوازم يدكي</v>
      </c>
      <c r="C996" s="1">
        <v>101</v>
      </c>
      <c r="D996" s="1" t="str">
        <f>"انبار قطعات و لوازم يدكي اصفهان"</f>
        <v>انبار قطعات و لوازم يدكي اصفهان</v>
      </c>
      <c r="E996" s="1" t="str">
        <f>"8901020292"</f>
        <v>8901020292</v>
      </c>
      <c r="F996" s="1" t="str">
        <f>"Viscositi Standard 500ml"</f>
        <v>Viscositi Standard 500ml</v>
      </c>
      <c r="G996" s="1" t="str">
        <f>"عدد"</f>
        <v>عدد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O996" s="1">
        <v>97</v>
      </c>
      <c r="P996" s="1">
        <f t="shared" si="45"/>
        <v>0</v>
      </c>
      <c r="Q996" s="1">
        <f t="shared" si="46"/>
        <v>0</v>
      </c>
      <c r="R996" s="1" t="e">
        <f t="shared" si="47"/>
        <v>#DIV/0!</v>
      </c>
    </row>
    <row r="997" spans="1:18" hidden="1">
      <c r="A997" s="1">
        <v>2</v>
      </c>
      <c r="B997" s="1" t="str">
        <f>"قطعات و لوازم يدكي"</f>
        <v>قطعات و لوازم يدكي</v>
      </c>
      <c r="C997" s="1">
        <v>101</v>
      </c>
      <c r="D997" s="1" t="str">
        <f>"انبار قطعات و لوازم يدكي اصفهان"</f>
        <v>انبار قطعات و لوازم يدكي اصفهان</v>
      </c>
      <c r="E997" s="1" t="str">
        <f>"8901020312"</f>
        <v>8901020312</v>
      </c>
      <c r="F997" s="1" t="str">
        <f>"ترمو هيدرومتر 3039  TFA"</f>
        <v>ترمو هيدرومتر 3039  TFA</v>
      </c>
      <c r="G997" s="1" t="str">
        <f>"دستگاه"</f>
        <v>دستگاه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O997" s="1">
        <v>97</v>
      </c>
      <c r="P997" s="1">
        <f t="shared" si="45"/>
        <v>0</v>
      </c>
      <c r="Q997" s="1">
        <f t="shared" si="46"/>
        <v>0</v>
      </c>
      <c r="R997" s="1" t="e">
        <f t="shared" si="47"/>
        <v>#DIV/0!</v>
      </c>
    </row>
    <row r="998" spans="1:18" hidden="1">
      <c r="A998" s="1">
        <v>2</v>
      </c>
      <c r="B998" s="1" t="str">
        <f>"قطعات و لوازم يدكي"</f>
        <v>قطعات و لوازم يدكي</v>
      </c>
      <c r="C998" s="1">
        <v>101</v>
      </c>
      <c r="D998" s="1" t="str">
        <f>"انبار قطعات و لوازم يدكي اصفهان"</f>
        <v>انبار قطعات و لوازم يدكي اصفهان</v>
      </c>
      <c r="E998" s="1" t="str">
        <f>"9000000102"</f>
        <v>9000000102</v>
      </c>
      <c r="F998" s="1" t="str">
        <f>"نرمال هگزان 2/5 ليتري"</f>
        <v>نرمال هگزان 2/5 ليتري</v>
      </c>
      <c r="G998" s="1" t="str">
        <f>"عدد"</f>
        <v>عدد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O998" s="1">
        <v>97</v>
      </c>
      <c r="P998" s="1">
        <f t="shared" si="45"/>
        <v>0</v>
      </c>
      <c r="Q998" s="1">
        <f t="shared" si="46"/>
        <v>0</v>
      </c>
      <c r="R998" s="1" t="e">
        <f t="shared" si="47"/>
        <v>#DIV/0!</v>
      </c>
    </row>
    <row r="999" spans="1:18" hidden="1">
      <c r="A999" s="1">
        <v>2</v>
      </c>
      <c r="B999" s="1" t="str">
        <f>"قطعات و لوازم يدكي"</f>
        <v>قطعات و لوازم يدكي</v>
      </c>
      <c r="C999" s="1">
        <v>101</v>
      </c>
      <c r="D999" s="1" t="str">
        <f>"انبار قطعات و لوازم يدكي اصفهان"</f>
        <v>انبار قطعات و لوازم يدكي اصفهان</v>
      </c>
      <c r="E999" s="1" t="str">
        <f>"9000000132"</f>
        <v>9000000132</v>
      </c>
      <c r="F999" s="1" t="str">
        <f>"پشم شيشه بروسيليکات"</f>
        <v>پشم شيشه بروسيليکات</v>
      </c>
      <c r="G999" s="1" t="str">
        <f>"گرم"</f>
        <v>گرم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O999" s="1">
        <v>97</v>
      </c>
      <c r="P999" s="1">
        <f t="shared" si="45"/>
        <v>0</v>
      </c>
      <c r="Q999" s="1">
        <f t="shared" si="46"/>
        <v>0</v>
      </c>
      <c r="R999" s="1" t="e">
        <f t="shared" si="47"/>
        <v>#DIV/0!</v>
      </c>
    </row>
    <row r="1000" spans="1:18" hidden="1">
      <c r="A1000" s="1">
        <v>2</v>
      </c>
      <c r="B1000" s="1" t="str">
        <f>"قطعات و لوازم يدكي"</f>
        <v>قطعات و لوازم يدكي</v>
      </c>
      <c r="C1000" s="1">
        <v>101</v>
      </c>
      <c r="D1000" s="1" t="str">
        <f>"انبار قطعات و لوازم يدكي اصفهان"</f>
        <v>انبار قطعات و لوازم يدكي اصفهان</v>
      </c>
      <c r="E1000" s="1" t="str">
        <f>"9000000142"</f>
        <v>9000000142</v>
      </c>
      <c r="F1000" s="1" t="str">
        <f>"ستون کروماتوگرافي"</f>
        <v>ستون کروماتوگرافي</v>
      </c>
      <c r="G1000" s="1" t="str">
        <f>"عدد"</f>
        <v>عدد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O1000" s="1">
        <v>97</v>
      </c>
      <c r="P1000" s="1">
        <f t="shared" si="45"/>
        <v>0</v>
      </c>
      <c r="Q1000" s="1">
        <f t="shared" si="46"/>
        <v>0</v>
      </c>
      <c r="R1000" s="1" t="e">
        <f t="shared" si="47"/>
        <v>#DIV/0!</v>
      </c>
    </row>
    <row r="1001" spans="1:18" hidden="1">
      <c r="A1001" s="1">
        <v>2</v>
      </c>
      <c r="B1001" s="1" t="str">
        <f>"قطعات و لوازم يدكي"</f>
        <v>قطعات و لوازم يدكي</v>
      </c>
      <c r="C1001" s="1">
        <v>101</v>
      </c>
      <c r="D1001" s="1" t="str">
        <f>"انبار قطعات و لوازم يدكي اصفهان"</f>
        <v>انبار قطعات و لوازم يدكي اصفهان</v>
      </c>
      <c r="E1001" s="1" t="str">
        <f>"9500000072"</f>
        <v>9500000072</v>
      </c>
      <c r="F1001" s="1" t="str">
        <f>"استد بولت 3/4"</f>
        <v>استد بولت 3/4</v>
      </c>
      <c r="G1001" s="1" t="str">
        <f>"عدد"</f>
        <v>عدد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O1001" s="1">
        <v>97</v>
      </c>
      <c r="P1001" s="1">
        <f t="shared" si="45"/>
        <v>0</v>
      </c>
      <c r="Q1001" s="1">
        <f t="shared" si="46"/>
        <v>0</v>
      </c>
      <c r="R1001" s="1" t="e">
        <f t="shared" si="47"/>
        <v>#DIV/0!</v>
      </c>
    </row>
    <row r="1002" spans="1:18" hidden="1">
      <c r="A1002" s="1">
        <v>2</v>
      </c>
      <c r="B1002" s="1" t="str">
        <f>"قطعات و لوازم يدكي"</f>
        <v>قطعات و لوازم يدكي</v>
      </c>
      <c r="C1002" s="1">
        <v>101</v>
      </c>
      <c r="D1002" s="1" t="str">
        <f>"انبار قطعات و لوازم يدكي اصفهان"</f>
        <v>انبار قطعات و لوازم يدكي اصفهان</v>
      </c>
      <c r="E1002" s="1" t="str">
        <f>"9500000152"</f>
        <v>9500000152</v>
      </c>
      <c r="F1002" s="1" t="str">
        <f>"تراپ 3/4 داگلاس تفنگي"</f>
        <v>تراپ 3/4 داگلاس تفنگي</v>
      </c>
      <c r="G1002" s="1" t="str">
        <f>"عدد"</f>
        <v>عدد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O1002" s="1">
        <v>97</v>
      </c>
      <c r="P1002" s="1">
        <f t="shared" si="45"/>
        <v>0</v>
      </c>
      <c r="Q1002" s="1">
        <f t="shared" si="46"/>
        <v>0</v>
      </c>
      <c r="R1002" s="1" t="e">
        <f t="shared" si="47"/>
        <v>#DIV/0!</v>
      </c>
    </row>
    <row r="1003" spans="1:18">
      <c r="A1003" s="1">
        <v>2</v>
      </c>
      <c r="B1003" s="1" t="str">
        <f>"قطعات و لوازم يدكي"</f>
        <v>قطعات و لوازم يدكي</v>
      </c>
      <c r="C1003" s="1">
        <v>120</v>
      </c>
      <c r="D1003" s="1" t="str">
        <f>"انبار قطعات و لوازم يدكي بشکه سازي اصفهان"</f>
        <v>انبار قطعات و لوازم يدكي بشکه سازي اصفهان</v>
      </c>
      <c r="E1003" s="1" t="str">
        <f>"4111700003"</f>
        <v>4111700003</v>
      </c>
      <c r="F1003" s="1" t="str">
        <f>"پريز تلفن و شبکه"</f>
        <v>پريز تلفن و شبکه</v>
      </c>
      <c r="G1003" s="1" t="str">
        <f>"عدد"</f>
        <v>عدد</v>
      </c>
      <c r="H1003" s="1">
        <v>0</v>
      </c>
      <c r="I1003" s="1">
        <v>0</v>
      </c>
      <c r="J1003" s="1">
        <v>15</v>
      </c>
      <c r="K1003" s="1">
        <v>525000</v>
      </c>
      <c r="L1003" s="1">
        <v>0</v>
      </c>
      <c r="M1003" s="1">
        <v>0</v>
      </c>
      <c r="O1003" s="1">
        <v>97</v>
      </c>
      <c r="P1003" s="4">
        <f t="shared" si="45"/>
        <v>525000</v>
      </c>
      <c r="Q1003" s="4">
        <f t="shared" si="46"/>
        <v>15</v>
      </c>
      <c r="R1003" s="4">
        <f t="shared" si="47"/>
        <v>35000</v>
      </c>
    </row>
    <row r="1004" spans="1:18">
      <c r="A1004" s="1">
        <v>2</v>
      </c>
      <c r="B1004" s="1" t="str">
        <f>"قطعات و لوازم يدكي"</f>
        <v>قطعات و لوازم يدكي</v>
      </c>
      <c r="C1004" s="1">
        <v>120</v>
      </c>
      <c r="D1004" s="1" t="str">
        <f>"انبار قطعات و لوازم يدكي بشکه سازي اصفهان"</f>
        <v>انبار قطعات و لوازم يدكي بشکه سازي اصفهان</v>
      </c>
      <c r="E1004" s="1" t="str">
        <f>"4111700005"</f>
        <v>4111700005</v>
      </c>
      <c r="F1004" s="1" t="str">
        <f>"کليد تک پل"</f>
        <v>کليد تک پل</v>
      </c>
      <c r="G1004" s="1" t="str">
        <f>"عدد"</f>
        <v>عدد</v>
      </c>
      <c r="H1004" s="1">
        <v>0</v>
      </c>
      <c r="I1004" s="1">
        <v>0</v>
      </c>
      <c r="J1004" s="1">
        <v>1</v>
      </c>
      <c r="K1004" s="1">
        <v>23000</v>
      </c>
      <c r="L1004" s="1">
        <v>0</v>
      </c>
      <c r="M1004" s="1">
        <v>0</v>
      </c>
      <c r="O1004" s="1">
        <v>97</v>
      </c>
      <c r="P1004" s="4">
        <f t="shared" si="45"/>
        <v>23000</v>
      </c>
      <c r="Q1004" s="4">
        <f t="shared" si="46"/>
        <v>1</v>
      </c>
      <c r="R1004" s="4">
        <f t="shared" si="47"/>
        <v>23000</v>
      </c>
    </row>
    <row r="1005" spans="1:18">
      <c r="A1005" s="1">
        <v>2</v>
      </c>
      <c r="B1005" s="1" t="str">
        <f>"قطعات و لوازم يدكي"</f>
        <v>قطعات و لوازم يدكي</v>
      </c>
      <c r="C1005" s="1">
        <v>120</v>
      </c>
      <c r="D1005" s="1" t="str">
        <f>"انبار قطعات و لوازم يدكي بشکه سازي اصفهان"</f>
        <v>انبار قطعات و لوازم يدكي بشکه سازي اصفهان</v>
      </c>
      <c r="E1005" s="1" t="str">
        <f>"4111700026"</f>
        <v>4111700026</v>
      </c>
      <c r="F1005" s="1" t="str">
        <f>"لامپ کوچک چراغ ليفتراک"</f>
        <v>لامپ کوچک چراغ ليفتراک</v>
      </c>
      <c r="G1005" s="1" t="str">
        <f>"عدد"</f>
        <v>عدد</v>
      </c>
      <c r="H1005" s="1">
        <v>0</v>
      </c>
      <c r="I1005" s="1">
        <v>0</v>
      </c>
      <c r="J1005" s="1">
        <v>63</v>
      </c>
      <c r="K1005" s="1">
        <v>2835000</v>
      </c>
      <c r="L1005" s="1">
        <v>0</v>
      </c>
      <c r="M1005" s="1">
        <v>0</v>
      </c>
      <c r="O1005" s="1">
        <v>97</v>
      </c>
      <c r="P1005" s="4">
        <f t="shared" si="45"/>
        <v>2835000</v>
      </c>
      <c r="Q1005" s="4">
        <f t="shared" si="46"/>
        <v>63</v>
      </c>
      <c r="R1005" s="4">
        <f t="shared" si="47"/>
        <v>45000</v>
      </c>
    </row>
    <row r="1006" spans="1:18">
      <c r="A1006" s="1">
        <v>2</v>
      </c>
      <c r="B1006" s="1" t="str">
        <f>"قطعات و لوازم يدكي"</f>
        <v>قطعات و لوازم يدكي</v>
      </c>
      <c r="C1006" s="1">
        <v>120</v>
      </c>
      <c r="D1006" s="1" t="str">
        <f>"انبار قطعات و لوازم يدكي بشکه سازي اصفهان"</f>
        <v>انبار قطعات و لوازم يدكي بشکه سازي اصفهان</v>
      </c>
      <c r="E1006" s="1" t="str">
        <f>"4111700030"</f>
        <v>4111700030</v>
      </c>
      <c r="F1006" s="1" t="str">
        <f>"فيوز ليفتراک"</f>
        <v>فيوز ليفتراک</v>
      </c>
      <c r="G1006" s="1" t="str">
        <f>"عدد"</f>
        <v>عدد</v>
      </c>
      <c r="H1006" s="1">
        <v>0</v>
      </c>
      <c r="I1006" s="1">
        <v>0</v>
      </c>
      <c r="J1006" s="1">
        <v>53</v>
      </c>
      <c r="K1006" s="1">
        <v>530000</v>
      </c>
      <c r="L1006" s="1">
        <v>0</v>
      </c>
      <c r="M1006" s="1">
        <v>0</v>
      </c>
      <c r="O1006" s="1">
        <v>97</v>
      </c>
      <c r="P1006" s="4">
        <f t="shared" si="45"/>
        <v>530000</v>
      </c>
      <c r="Q1006" s="4">
        <f t="shared" si="46"/>
        <v>53</v>
      </c>
      <c r="R1006" s="4">
        <f t="shared" si="47"/>
        <v>10000</v>
      </c>
    </row>
    <row r="1007" spans="1:18">
      <c r="A1007" s="1">
        <v>2</v>
      </c>
      <c r="B1007" s="1" t="str">
        <f>"قطعات و لوازم يدكي"</f>
        <v>قطعات و لوازم يدكي</v>
      </c>
      <c r="C1007" s="1">
        <v>120</v>
      </c>
      <c r="D1007" s="1" t="str">
        <f>"انبار قطعات و لوازم يدكي بشکه سازي اصفهان"</f>
        <v>انبار قطعات و لوازم يدكي بشکه سازي اصفهان</v>
      </c>
      <c r="E1007" s="1" t="str">
        <f>"4111700033"</f>
        <v>4111700033</v>
      </c>
      <c r="F1007" s="1" t="str">
        <f>"جعبه تقسيم صنعتي"</f>
        <v>جعبه تقسيم صنعتي</v>
      </c>
      <c r="G1007" s="1" t="str">
        <f>"عدد"</f>
        <v>عدد</v>
      </c>
      <c r="H1007" s="1">
        <v>0</v>
      </c>
      <c r="I1007" s="1">
        <v>0</v>
      </c>
      <c r="J1007" s="1">
        <v>4</v>
      </c>
      <c r="K1007" s="1">
        <v>60000</v>
      </c>
      <c r="L1007" s="1">
        <v>0</v>
      </c>
      <c r="M1007" s="1">
        <v>0</v>
      </c>
      <c r="O1007" s="1">
        <v>97</v>
      </c>
      <c r="P1007" s="4">
        <f t="shared" si="45"/>
        <v>60000</v>
      </c>
      <c r="Q1007" s="4">
        <f t="shared" si="46"/>
        <v>4</v>
      </c>
      <c r="R1007" s="4">
        <f t="shared" si="47"/>
        <v>15000</v>
      </c>
    </row>
    <row r="1008" spans="1:18">
      <c r="A1008" s="1">
        <v>2</v>
      </c>
      <c r="B1008" s="1" t="str">
        <f>"قطعات و لوازم يدكي"</f>
        <v>قطعات و لوازم يدكي</v>
      </c>
      <c r="C1008" s="1">
        <v>120</v>
      </c>
      <c r="D1008" s="1" t="str">
        <f>"انبار قطعات و لوازم يدكي بشکه سازي اصفهان"</f>
        <v>انبار قطعات و لوازم يدكي بشکه سازي اصفهان</v>
      </c>
      <c r="E1008" s="1" t="str">
        <f>"4111700038"</f>
        <v>4111700038</v>
      </c>
      <c r="F1008" s="1" t="str">
        <f>"کنترل فاز سوپر"</f>
        <v>کنترل فاز سوپر</v>
      </c>
      <c r="G1008" s="1" t="str">
        <f>"عدد"</f>
        <v>عدد</v>
      </c>
      <c r="H1008" s="1">
        <v>0</v>
      </c>
      <c r="I1008" s="1">
        <v>0</v>
      </c>
      <c r="J1008" s="1">
        <v>8</v>
      </c>
      <c r="K1008" s="1">
        <v>19680000</v>
      </c>
      <c r="L1008" s="1">
        <v>0</v>
      </c>
      <c r="M1008" s="1">
        <v>0</v>
      </c>
      <c r="O1008" s="1">
        <v>97</v>
      </c>
      <c r="P1008" s="4">
        <f t="shared" si="45"/>
        <v>19680000</v>
      </c>
      <c r="Q1008" s="4">
        <f t="shared" si="46"/>
        <v>8</v>
      </c>
      <c r="R1008" s="4">
        <f t="shared" si="47"/>
        <v>2460000</v>
      </c>
    </row>
    <row r="1009" spans="1:18">
      <c r="A1009" s="1">
        <v>2</v>
      </c>
      <c r="B1009" s="1" t="str">
        <f>"قطعات و لوازم يدكي"</f>
        <v>قطعات و لوازم يدكي</v>
      </c>
      <c r="C1009" s="1">
        <v>120</v>
      </c>
      <c r="D1009" s="1" t="str">
        <f>"انبار قطعات و لوازم يدكي بشکه سازي اصفهان"</f>
        <v>انبار قطعات و لوازم يدكي بشکه سازي اصفهان</v>
      </c>
      <c r="E1009" s="1" t="str">
        <f>"4111700039"</f>
        <v>4111700039</v>
      </c>
      <c r="F1009" s="1" t="str">
        <f>"کنترل فاز معمولي"</f>
        <v>کنترل فاز معمولي</v>
      </c>
      <c r="G1009" s="1" t="str">
        <f>"عدد"</f>
        <v>عدد</v>
      </c>
      <c r="H1009" s="1">
        <v>0</v>
      </c>
      <c r="I1009" s="1">
        <v>0</v>
      </c>
      <c r="J1009" s="1">
        <v>3</v>
      </c>
      <c r="K1009" s="1">
        <v>3150000</v>
      </c>
      <c r="L1009" s="1">
        <v>0</v>
      </c>
      <c r="M1009" s="1">
        <v>0</v>
      </c>
      <c r="O1009" s="1">
        <v>97</v>
      </c>
      <c r="P1009" s="4">
        <f t="shared" si="45"/>
        <v>3150000</v>
      </c>
      <c r="Q1009" s="4">
        <f t="shared" si="46"/>
        <v>3</v>
      </c>
      <c r="R1009" s="4">
        <f t="shared" si="47"/>
        <v>1050000</v>
      </c>
    </row>
    <row r="1010" spans="1:18">
      <c r="A1010" s="1">
        <v>2</v>
      </c>
      <c r="B1010" s="1" t="str">
        <f>"قطعات و لوازم يدكي"</f>
        <v>قطعات و لوازم يدكي</v>
      </c>
      <c r="C1010" s="1">
        <v>120</v>
      </c>
      <c r="D1010" s="1" t="str">
        <f>"انبار قطعات و لوازم يدكي بشکه سازي اصفهان"</f>
        <v>انبار قطعات و لوازم يدكي بشکه سازي اصفهان</v>
      </c>
      <c r="E1010" s="1" t="str">
        <f>"4111700048"</f>
        <v>4111700048</v>
      </c>
      <c r="F1010" s="1" t="str">
        <f>"کمک کنتاکتور 2 تيغه"</f>
        <v>کمک کنتاکتور 2 تيغه</v>
      </c>
      <c r="G1010" s="1" t="str">
        <f>"عدد"</f>
        <v>عدد</v>
      </c>
      <c r="H1010" s="1">
        <v>0</v>
      </c>
      <c r="I1010" s="1">
        <v>0</v>
      </c>
      <c r="J1010" s="1">
        <v>13</v>
      </c>
      <c r="K1010" s="1">
        <v>14300000</v>
      </c>
      <c r="L1010" s="1">
        <v>0</v>
      </c>
      <c r="M1010" s="1">
        <v>0</v>
      </c>
      <c r="O1010" s="1">
        <v>97</v>
      </c>
      <c r="P1010" s="4">
        <f t="shared" si="45"/>
        <v>14300000</v>
      </c>
      <c r="Q1010" s="4">
        <f t="shared" si="46"/>
        <v>13</v>
      </c>
      <c r="R1010" s="4">
        <f t="shared" si="47"/>
        <v>1100000</v>
      </c>
    </row>
    <row r="1011" spans="1:18">
      <c r="A1011" s="1">
        <v>2</v>
      </c>
      <c r="B1011" s="1" t="str">
        <f>"قطعات و لوازم يدكي"</f>
        <v>قطعات و لوازم يدكي</v>
      </c>
      <c r="C1011" s="1">
        <v>120</v>
      </c>
      <c r="D1011" s="1" t="str">
        <f>"انبار قطعات و لوازم يدكي بشکه سازي اصفهان"</f>
        <v>انبار قطعات و لوازم يدكي بشکه سازي اصفهان</v>
      </c>
      <c r="E1011" s="1" t="str">
        <f>"4111700050"</f>
        <v>4111700050</v>
      </c>
      <c r="F1011" s="1" t="str">
        <f>"شصتي امر جنسي قفل شو"</f>
        <v>شصتي امر جنسي قفل شو</v>
      </c>
      <c r="G1011" s="1" t="str">
        <f>"عدد"</f>
        <v>عدد</v>
      </c>
      <c r="H1011" s="1">
        <v>0</v>
      </c>
      <c r="I1011" s="1">
        <v>0</v>
      </c>
      <c r="J1011" s="1">
        <v>7</v>
      </c>
      <c r="K1011" s="1">
        <v>350000</v>
      </c>
      <c r="L1011" s="1">
        <v>0</v>
      </c>
      <c r="M1011" s="1">
        <v>0</v>
      </c>
      <c r="O1011" s="1">
        <v>97</v>
      </c>
      <c r="P1011" s="4">
        <f t="shared" si="45"/>
        <v>350000</v>
      </c>
      <c r="Q1011" s="4">
        <f t="shared" si="46"/>
        <v>7</v>
      </c>
      <c r="R1011" s="4">
        <f t="shared" si="47"/>
        <v>50000</v>
      </c>
    </row>
    <row r="1012" spans="1:18">
      <c r="A1012" s="1">
        <v>2</v>
      </c>
      <c r="B1012" s="1" t="str">
        <f>"قطعات و لوازم يدكي"</f>
        <v>قطعات و لوازم يدكي</v>
      </c>
      <c r="C1012" s="1">
        <v>120</v>
      </c>
      <c r="D1012" s="1" t="str">
        <f>"انبار قطعات و لوازم يدكي بشکه سازي اصفهان"</f>
        <v>انبار قطعات و لوازم يدكي بشکه سازي اصفهان</v>
      </c>
      <c r="E1012" s="1" t="str">
        <f>"4111700059"</f>
        <v>4111700059</v>
      </c>
      <c r="F1012" s="1" t="str">
        <f>"کليد استارت"</f>
        <v>کليد استارت</v>
      </c>
      <c r="G1012" s="1" t="str">
        <f>"عدد"</f>
        <v>عدد</v>
      </c>
      <c r="H1012" s="1">
        <v>0</v>
      </c>
      <c r="I1012" s="1">
        <v>0</v>
      </c>
      <c r="J1012" s="1">
        <v>4</v>
      </c>
      <c r="K1012" s="1">
        <v>200000</v>
      </c>
      <c r="L1012" s="1">
        <v>0</v>
      </c>
      <c r="M1012" s="1">
        <v>0</v>
      </c>
      <c r="O1012" s="1">
        <v>97</v>
      </c>
      <c r="P1012" s="4">
        <f t="shared" si="45"/>
        <v>200000</v>
      </c>
      <c r="Q1012" s="4">
        <f t="shared" si="46"/>
        <v>4</v>
      </c>
      <c r="R1012" s="4">
        <f t="shared" si="47"/>
        <v>50000</v>
      </c>
    </row>
    <row r="1013" spans="1:18">
      <c r="A1013" s="1">
        <v>2</v>
      </c>
      <c r="B1013" s="1" t="str">
        <f>"قطعات و لوازم يدكي"</f>
        <v>قطعات و لوازم يدكي</v>
      </c>
      <c r="C1013" s="1">
        <v>120</v>
      </c>
      <c r="D1013" s="1" t="str">
        <f>"انبار قطعات و لوازم يدكي بشکه سازي اصفهان"</f>
        <v>انبار قطعات و لوازم يدكي بشکه سازي اصفهان</v>
      </c>
      <c r="E1013" s="1" t="str">
        <f>"4111700062"</f>
        <v>4111700062</v>
      </c>
      <c r="F1013" s="1" t="str">
        <f>"پدال برقي پرس هاي 40 تن"</f>
        <v>پدال برقي پرس هاي 40 تن</v>
      </c>
      <c r="G1013" s="1" t="str">
        <f>"عدد"</f>
        <v>عدد</v>
      </c>
      <c r="H1013" s="1">
        <v>0</v>
      </c>
      <c r="I1013" s="1">
        <v>0</v>
      </c>
      <c r="J1013" s="1">
        <v>6</v>
      </c>
      <c r="K1013" s="1">
        <v>1380000</v>
      </c>
      <c r="L1013" s="1">
        <v>0</v>
      </c>
      <c r="M1013" s="1">
        <v>0</v>
      </c>
      <c r="O1013" s="1">
        <v>97</v>
      </c>
      <c r="P1013" s="4">
        <f t="shared" si="45"/>
        <v>1380000</v>
      </c>
      <c r="Q1013" s="4">
        <f t="shared" si="46"/>
        <v>6</v>
      </c>
      <c r="R1013" s="4">
        <f t="shared" si="47"/>
        <v>230000</v>
      </c>
    </row>
    <row r="1014" spans="1:18">
      <c r="A1014" s="1">
        <v>2</v>
      </c>
      <c r="B1014" s="1" t="str">
        <f>"قطعات و لوازم يدكي"</f>
        <v>قطعات و لوازم يدكي</v>
      </c>
      <c r="C1014" s="1">
        <v>120</v>
      </c>
      <c r="D1014" s="1" t="str">
        <f>"انبار قطعات و لوازم يدكي بشکه سازي اصفهان"</f>
        <v>انبار قطعات و لوازم يدكي بشکه سازي اصفهان</v>
      </c>
      <c r="E1014" s="1" t="str">
        <f>"4111700065"</f>
        <v>4111700065</v>
      </c>
      <c r="F1014" s="1" t="str">
        <f>"کنتاکتور mc32"</f>
        <v>کنتاکتور mc32</v>
      </c>
      <c r="G1014" s="1" t="str">
        <f>"عدد"</f>
        <v>عدد</v>
      </c>
      <c r="H1014" s="1">
        <v>0</v>
      </c>
      <c r="I1014" s="1">
        <v>0</v>
      </c>
      <c r="J1014" s="1">
        <v>2</v>
      </c>
      <c r="K1014" s="1">
        <v>900000</v>
      </c>
      <c r="L1014" s="1">
        <v>0</v>
      </c>
      <c r="M1014" s="1">
        <v>0</v>
      </c>
      <c r="O1014" s="1">
        <v>97</v>
      </c>
      <c r="P1014" s="4">
        <f t="shared" si="45"/>
        <v>900000</v>
      </c>
      <c r="Q1014" s="4">
        <f t="shared" si="46"/>
        <v>2</v>
      </c>
      <c r="R1014" s="4">
        <f t="shared" si="47"/>
        <v>450000</v>
      </c>
    </row>
    <row r="1015" spans="1:18">
      <c r="A1015" s="1">
        <v>2</v>
      </c>
      <c r="B1015" s="1" t="str">
        <f>"قطعات و لوازم يدكي"</f>
        <v>قطعات و لوازم يدكي</v>
      </c>
      <c r="C1015" s="1">
        <v>120</v>
      </c>
      <c r="D1015" s="1" t="str">
        <f>"انبار قطعات و لوازم يدكي بشکه سازي اصفهان"</f>
        <v>انبار قطعات و لوازم يدكي بشکه سازي اصفهان</v>
      </c>
      <c r="E1015" s="1" t="str">
        <f>"4111700106"</f>
        <v>4111700106</v>
      </c>
      <c r="F1015" s="1" t="str">
        <f>"کنتاکتور UTH32 K"</f>
        <v>کنتاکتور UTH32 K</v>
      </c>
      <c r="G1015" s="1" t="str">
        <f>"عدد"</f>
        <v>عدد</v>
      </c>
      <c r="H1015" s="1">
        <v>0</v>
      </c>
      <c r="I1015" s="1">
        <v>0</v>
      </c>
      <c r="J1015" s="1">
        <v>3</v>
      </c>
      <c r="K1015" s="1">
        <v>1200000</v>
      </c>
      <c r="L1015" s="1">
        <v>0</v>
      </c>
      <c r="M1015" s="1">
        <v>0</v>
      </c>
      <c r="O1015" s="1">
        <v>97</v>
      </c>
      <c r="P1015" s="4">
        <f t="shared" si="45"/>
        <v>1200000</v>
      </c>
      <c r="Q1015" s="4">
        <f t="shared" si="46"/>
        <v>3</v>
      </c>
      <c r="R1015" s="4">
        <f t="shared" si="47"/>
        <v>400000</v>
      </c>
    </row>
    <row r="1016" spans="1:18">
      <c r="A1016" s="1">
        <v>2</v>
      </c>
      <c r="B1016" s="1" t="str">
        <f>"قطعات و لوازم يدكي"</f>
        <v>قطعات و لوازم يدكي</v>
      </c>
      <c r="C1016" s="1">
        <v>120</v>
      </c>
      <c r="D1016" s="1" t="str">
        <f>"انبار قطعات و لوازم يدكي بشکه سازي اصفهان"</f>
        <v>انبار قطعات و لوازم يدكي بشکه سازي اصفهان</v>
      </c>
      <c r="E1016" s="1" t="str">
        <f>"4111700122"</f>
        <v>4111700122</v>
      </c>
      <c r="F1016" s="1" t="str">
        <f>"ترمينال RTP 35"</f>
        <v>ترمينال RTP 35</v>
      </c>
      <c r="G1016" s="1" t="str">
        <f>"عدد"</f>
        <v>عدد</v>
      </c>
      <c r="H1016" s="1">
        <v>0</v>
      </c>
      <c r="I1016" s="1">
        <v>0</v>
      </c>
      <c r="J1016" s="1">
        <v>3</v>
      </c>
      <c r="K1016" s="1">
        <v>240000</v>
      </c>
      <c r="L1016" s="1">
        <v>0</v>
      </c>
      <c r="M1016" s="1">
        <v>0</v>
      </c>
      <c r="O1016" s="1">
        <v>97</v>
      </c>
      <c r="P1016" s="4">
        <f t="shared" si="45"/>
        <v>240000</v>
      </c>
      <c r="Q1016" s="4">
        <f t="shared" si="46"/>
        <v>3</v>
      </c>
      <c r="R1016" s="4">
        <f t="shared" si="47"/>
        <v>80000</v>
      </c>
    </row>
    <row r="1017" spans="1:18">
      <c r="A1017" s="1">
        <v>2</v>
      </c>
      <c r="B1017" s="1" t="str">
        <f>"قطعات و لوازم يدكي"</f>
        <v>قطعات و لوازم يدكي</v>
      </c>
      <c r="C1017" s="1">
        <v>120</v>
      </c>
      <c r="D1017" s="1" t="str">
        <f>"انبار قطعات و لوازم يدكي بشکه سازي اصفهان"</f>
        <v>انبار قطعات و لوازم يدكي بشکه سازي اصفهان</v>
      </c>
      <c r="E1017" s="1" t="str">
        <f>"4111700124"</f>
        <v>4111700124</v>
      </c>
      <c r="F1017" s="1" t="str">
        <f>"تيغ کمکي 1+1"</f>
        <v>تيغ کمکي 1+1</v>
      </c>
      <c r="G1017" s="1" t="str">
        <f>"عدد"</f>
        <v>عدد</v>
      </c>
      <c r="H1017" s="1">
        <v>0</v>
      </c>
      <c r="I1017" s="1">
        <v>0</v>
      </c>
      <c r="J1017" s="1">
        <v>5</v>
      </c>
      <c r="K1017" s="1">
        <v>100000</v>
      </c>
      <c r="L1017" s="1">
        <v>0</v>
      </c>
      <c r="M1017" s="1">
        <v>0</v>
      </c>
      <c r="O1017" s="1">
        <v>97</v>
      </c>
      <c r="P1017" s="4">
        <f t="shared" si="45"/>
        <v>100000</v>
      </c>
      <c r="Q1017" s="4">
        <f t="shared" si="46"/>
        <v>5</v>
      </c>
      <c r="R1017" s="4">
        <f t="shared" si="47"/>
        <v>20000</v>
      </c>
    </row>
    <row r="1018" spans="1:18">
      <c r="A1018" s="1">
        <v>2</v>
      </c>
      <c r="B1018" s="1" t="str">
        <f>"قطعات و لوازم يدكي"</f>
        <v>قطعات و لوازم يدكي</v>
      </c>
      <c r="C1018" s="1">
        <v>120</v>
      </c>
      <c r="D1018" s="1" t="str">
        <f>"انبار قطعات و لوازم يدكي بشکه سازي اصفهان"</f>
        <v>انبار قطعات و لوازم يدكي بشکه سازي اصفهان</v>
      </c>
      <c r="E1018" s="1" t="str">
        <f>"4211700008"</f>
        <v>4211700008</v>
      </c>
      <c r="F1018" s="1" t="str">
        <f>"استکان روغن پمپ گازوئيل"</f>
        <v>استکان روغن پمپ گازوئيل</v>
      </c>
      <c r="G1018" s="1" t="str">
        <f>"عدد"</f>
        <v>عدد</v>
      </c>
      <c r="H1018" s="1">
        <v>0</v>
      </c>
      <c r="I1018" s="1">
        <v>0</v>
      </c>
      <c r="J1018" s="1">
        <v>3</v>
      </c>
      <c r="K1018" s="1">
        <v>1050000</v>
      </c>
      <c r="L1018" s="1">
        <v>0</v>
      </c>
      <c r="M1018" s="1">
        <v>0</v>
      </c>
      <c r="O1018" s="1">
        <v>97</v>
      </c>
      <c r="P1018" s="4">
        <f t="shared" si="45"/>
        <v>1050000</v>
      </c>
      <c r="Q1018" s="4">
        <f t="shared" si="46"/>
        <v>3</v>
      </c>
      <c r="R1018" s="4">
        <f t="shared" si="47"/>
        <v>350000</v>
      </c>
    </row>
    <row r="1019" spans="1:18">
      <c r="A1019" s="1">
        <v>2</v>
      </c>
      <c r="B1019" s="1" t="str">
        <f>"قطعات و لوازم يدكي"</f>
        <v>قطعات و لوازم يدكي</v>
      </c>
      <c r="C1019" s="1">
        <v>120</v>
      </c>
      <c r="D1019" s="1" t="str">
        <f>"انبار قطعات و لوازم يدكي بشکه سازي اصفهان"</f>
        <v>انبار قطعات و لوازم يدكي بشکه سازي اصفهان</v>
      </c>
      <c r="E1019" s="1" t="str">
        <f>"4211700017"</f>
        <v>4211700017</v>
      </c>
      <c r="F1019" s="1" t="str">
        <f>"تيوپ 10-9000-00-20"</f>
        <v>تيوپ 10-9000-00-20</v>
      </c>
      <c r="G1019" s="1" t="str">
        <f>"عدد"</f>
        <v>عدد</v>
      </c>
      <c r="H1019" s="1">
        <v>0</v>
      </c>
      <c r="I1019" s="1">
        <v>0</v>
      </c>
      <c r="J1019" s="1">
        <v>2</v>
      </c>
      <c r="K1019" s="1">
        <v>1050000</v>
      </c>
      <c r="L1019" s="1">
        <v>0</v>
      </c>
      <c r="M1019" s="1">
        <v>0</v>
      </c>
      <c r="O1019" s="1">
        <v>97</v>
      </c>
      <c r="P1019" s="4">
        <f t="shared" si="45"/>
        <v>1050000</v>
      </c>
      <c r="Q1019" s="4">
        <f t="shared" si="46"/>
        <v>2</v>
      </c>
      <c r="R1019" s="4">
        <f t="shared" si="47"/>
        <v>525000</v>
      </c>
    </row>
    <row r="1020" spans="1:18">
      <c r="A1020" s="1">
        <v>2</v>
      </c>
      <c r="B1020" s="1" t="str">
        <f>"قطعات و لوازم يدكي"</f>
        <v>قطعات و لوازم يدكي</v>
      </c>
      <c r="C1020" s="1">
        <v>120</v>
      </c>
      <c r="D1020" s="1" t="str">
        <f>"انبار قطعات و لوازم يدكي بشکه سازي اصفهان"</f>
        <v>انبار قطعات و لوازم يدكي بشکه سازي اصفهان</v>
      </c>
      <c r="E1020" s="1" t="str">
        <f>"4211700043"</f>
        <v>4211700043</v>
      </c>
      <c r="F1020" s="1" t="str">
        <f>"گرد کن سيمر"</f>
        <v>گرد کن سيمر</v>
      </c>
      <c r="G1020" s="1" t="str">
        <f>"عدد"</f>
        <v>عدد</v>
      </c>
      <c r="H1020" s="1">
        <v>0</v>
      </c>
      <c r="I1020" s="1">
        <v>0</v>
      </c>
      <c r="J1020" s="1">
        <v>1</v>
      </c>
      <c r="K1020" s="1">
        <v>990000</v>
      </c>
      <c r="L1020" s="1">
        <v>0</v>
      </c>
      <c r="M1020" s="1">
        <v>0</v>
      </c>
      <c r="O1020" s="1">
        <v>97</v>
      </c>
      <c r="P1020" s="4">
        <f t="shared" si="45"/>
        <v>990000</v>
      </c>
      <c r="Q1020" s="4">
        <f t="shared" si="46"/>
        <v>1</v>
      </c>
      <c r="R1020" s="4">
        <f t="shared" si="47"/>
        <v>990000</v>
      </c>
    </row>
    <row r="1021" spans="1:18">
      <c r="A1021" s="1">
        <v>2</v>
      </c>
      <c r="B1021" s="1" t="str">
        <f>"قطعات و لوازم يدكي"</f>
        <v>قطعات و لوازم يدكي</v>
      </c>
      <c r="C1021" s="1">
        <v>120</v>
      </c>
      <c r="D1021" s="1" t="str">
        <f>"انبار قطعات و لوازم يدكي بشکه سازي اصفهان"</f>
        <v>انبار قطعات و لوازم يدكي بشکه سازي اصفهان</v>
      </c>
      <c r="E1021" s="1" t="str">
        <f>"4211700049"</f>
        <v>4211700049</v>
      </c>
      <c r="F1021" s="1" t="str">
        <f>"بلبيرينگ 30205"</f>
        <v>بلبيرينگ 30205</v>
      </c>
      <c r="G1021" s="1" t="str">
        <f>"عدد"</f>
        <v>عدد</v>
      </c>
      <c r="H1021" s="1">
        <v>0</v>
      </c>
      <c r="I1021" s="1">
        <v>0</v>
      </c>
      <c r="J1021" s="1">
        <v>12</v>
      </c>
      <c r="K1021" s="1">
        <v>2580000</v>
      </c>
      <c r="L1021" s="1">
        <v>0</v>
      </c>
      <c r="M1021" s="1">
        <v>0</v>
      </c>
      <c r="O1021" s="1">
        <v>97</v>
      </c>
      <c r="P1021" s="4">
        <f t="shared" si="45"/>
        <v>2580000</v>
      </c>
      <c r="Q1021" s="4">
        <f t="shared" si="46"/>
        <v>12</v>
      </c>
      <c r="R1021" s="4">
        <f t="shared" si="47"/>
        <v>215000</v>
      </c>
    </row>
    <row r="1022" spans="1:18">
      <c r="A1022" s="1">
        <v>2</v>
      </c>
      <c r="B1022" s="1" t="str">
        <f>"قطعات و لوازم يدكي"</f>
        <v>قطعات و لوازم يدكي</v>
      </c>
      <c r="C1022" s="1">
        <v>120</v>
      </c>
      <c r="D1022" s="1" t="str">
        <f>"انبار قطعات و لوازم يدكي بشکه سازي اصفهان"</f>
        <v>انبار قطعات و لوازم يدكي بشکه سازي اصفهان</v>
      </c>
      <c r="E1022" s="1" t="str">
        <f>"4211700064"</f>
        <v>4211700064</v>
      </c>
      <c r="F1022" s="1" t="str">
        <f>"بلبيرينگ 6305 Z"</f>
        <v>بلبيرينگ 6305 Z</v>
      </c>
      <c r="G1022" s="1" t="str">
        <f>"عدد"</f>
        <v>عدد</v>
      </c>
      <c r="H1022" s="1">
        <v>0</v>
      </c>
      <c r="I1022" s="1">
        <v>0</v>
      </c>
      <c r="J1022" s="1">
        <v>2</v>
      </c>
      <c r="K1022" s="1">
        <v>400000</v>
      </c>
      <c r="L1022" s="1">
        <v>0</v>
      </c>
      <c r="M1022" s="1">
        <v>0</v>
      </c>
      <c r="O1022" s="1">
        <v>97</v>
      </c>
      <c r="P1022" s="4">
        <f t="shared" si="45"/>
        <v>400000</v>
      </c>
      <c r="Q1022" s="4">
        <f t="shared" si="46"/>
        <v>2</v>
      </c>
      <c r="R1022" s="4">
        <f t="shared" si="47"/>
        <v>200000</v>
      </c>
    </row>
    <row r="1023" spans="1:18">
      <c r="A1023" s="1">
        <v>2</v>
      </c>
      <c r="B1023" s="1" t="str">
        <f>"قطعات و لوازم يدكي"</f>
        <v>قطعات و لوازم يدكي</v>
      </c>
      <c r="C1023" s="1">
        <v>120</v>
      </c>
      <c r="D1023" s="1" t="str">
        <f>"انبار قطعات و لوازم يدكي بشکه سازي اصفهان"</f>
        <v>انبار قطعات و لوازم يدكي بشکه سازي اصفهان</v>
      </c>
      <c r="E1023" s="1" t="str">
        <f>"4211700095"</f>
        <v>4211700095</v>
      </c>
      <c r="F1023" s="1" t="str">
        <f>"لوله روغن تراکتور"</f>
        <v>لوله روغن تراکتور</v>
      </c>
      <c r="G1023" s="1" t="str">
        <f>"عدد"</f>
        <v>عدد</v>
      </c>
      <c r="H1023" s="1">
        <v>0</v>
      </c>
      <c r="I1023" s="1">
        <v>0</v>
      </c>
      <c r="J1023" s="1">
        <v>1</v>
      </c>
      <c r="K1023" s="1">
        <v>70000</v>
      </c>
      <c r="L1023" s="1">
        <v>0</v>
      </c>
      <c r="M1023" s="1">
        <v>0</v>
      </c>
      <c r="O1023" s="1">
        <v>97</v>
      </c>
      <c r="P1023" s="4">
        <f t="shared" si="45"/>
        <v>70000</v>
      </c>
      <c r="Q1023" s="4">
        <f t="shared" si="46"/>
        <v>1</v>
      </c>
      <c r="R1023" s="4">
        <f t="shared" si="47"/>
        <v>70000</v>
      </c>
    </row>
    <row r="1024" spans="1:18">
      <c r="A1024" s="1">
        <v>2</v>
      </c>
      <c r="B1024" s="1" t="str">
        <f>"قطعات و لوازم يدكي"</f>
        <v>قطعات و لوازم يدكي</v>
      </c>
      <c r="C1024" s="1">
        <v>120</v>
      </c>
      <c r="D1024" s="1" t="str">
        <f>"انبار قطعات و لوازم يدكي بشکه سازي اصفهان"</f>
        <v>انبار قطعات و لوازم يدكي بشکه سازي اصفهان</v>
      </c>
      <c r="E1024" s="1" t="str">
        <f>"4211700118"</f>
        <v>4211700118</v>
      </c>
      <c r="F1024" s="1" t="str">
        <f>"تيغه قيچي اتومات 2/80*50*20"</f>
        <v>تيغه قيچي اتومات 2/80*50*20</v>
      </c>
      <c r="G1024" s="1" t="str">
        <f>"جفت"</f>
        <v>جفت</v>
      </c>
      <c r="H1024" s="1">
        <v>0</v>
      </c>
      <c r="I1024" s="1">
        <v>0</v>
      </c>
      <c r="J1024" s="1">
        <v>1</v>
      </c>
      <c r="K1024" s="1">
        <v>28500000</v>
      </c>
      <c r="L1024" s="1">
        <v>0</v>
      </c>
      <c r="M1024" s="1">
        <v>0</v>
      </c>
      <c r="O1024" s="1">
        <v>97</v>
      </c>
      <c r="P1024" s="4">
        <f t="shared" si="45"/>
        <v>28500000</v>
      </c>
      <c r="Q1024" s="4">
        <f t="shared" si="46"/>
        <v>1</v>
      </c>
      <c r="R1024" s="4">
        <f t="shared" si="47"/>
        <v>28500000</v>
      </c>
    </row>
    <row r="1025" spans="1:18">
      <c r="A1025" s="1">
        <v>2</v>
      </c>
      <c r="B1025" s="1" t="str">
        <f>"قطعات و لوازم يدكي"</f>
        <v>قطعات و لوازم يدكي</v>
      </c>
      <c r="C1025" s="1">
        <v>120</v>
      </c>
      <c r="D1025" s="1" t="str">
        <f>"انبار قطعات و لوازم يدكي بشکه سازي اصفهان"</f>
        <v>انبار قطعات و لوازم يدكي بشکه سازي اصفهان</v>
      </c>
      <c r="E1025" s="1" t="str">
        <f>"4111700071"</f>
        <v>4111700071</v>
      </c>
      <c r="F1025" s="1" t="str">
        <f>"کليد مينياتوري تک فاز 16 آمپر"</f>
        <v>کليد مينياتوري تک فاز 16 آمپر</v>
      </c>
      <c r="G1025" s="1" t="str">
        <f>"عدد"</f>
        <v>عدد</v>
      </c>
      <c r="H1025" s="1">
        <v>0</v>
      </c>
      <c r="I1025" s="1">
        <v>0</v>
      </c>
      <c r="J1025" s="1">
        <v>3</v>
      </c>
      <c r="K1025" s="1">
        <v>840000</v>
      </c>
      <c r="L1025" s="1">
        <v>0</v>
      </c>
      <c r="M1025" s="1">
        <v>0</v>
      </c>
      <c r="O1025" s="1">
        <v>97</v>
      </c>
      <c r="P1025" s="4">
        <f t="shared" si="45"/>
        <v>840000</v>
      </c>
      <c r="Q1025" s="4">
        <f t="shared" si="46"/>
        <v>3</v>
      </c>
      <c r="R1025" s="4">
        <f t="shared" si="47"/>
        <v>280000</v>
      </c>
    </row>
    <row r="1026" spans="1:18">
      <c r="A1026" s="1">
        <v>2</v>
      </c>
      <c r="B1026" s="1" t="str">
        <f>"قطعات و لوازم يدكي"</f>
        <v>قطعات و لوازم يدكي</v>
      </c>
      <c r="C1026" s="1">
        <v>120</v>
      </c>
      <c r="D1026" s="1" t="str">
        <f>"انبار قطعات و لوازم يدكي بشکه سازي اصفهان"</f>
        <v>انبار قطعات و لوازم يدكي بشکه سازي اصفهان</v>
      </c>
      <c r="E1026" s="1" t="str">
        <f>"4111700087"</f>
        <v>4111700087</v>
      </c>
      <c r="F1026" s="1" t="str">
        <f>"دو راهي کاندوويک 1/2 1"</f>
        <v>دو راهي کاندوويک 1/2 1</v>
      </c>
      <c r="G1026" s="1" t="str">
        <f>"عدد"</f>
        <v>عدد</v>
      </c>
      <c r="H1026" s="1">
        <v>0</v>
      </c>
      <c r="I1026" s="1">
        <v>0</v>
      </c>
      <c r="J1026" s="1">
        <v>7</v>
      </c>
      <c r="K1026" s="1">
        <v>1050000</v>
      </c>
      <c r="L1026" s="1">
        <v>0</v>
      </c>
      <c r="M1026" s="1">
        <v>0</v>
      </c>
      <c r="O1026" s="1">
        <v>97</v>
      </c>
      <c r="P1026" s="4">
        <f t="shared" si="45"/>
        <v>1050000</v>
      </c>
      <c r="Q1026" s="4">
        <f t="shared" si="46"/>
        <v>7</v>
      </c>
      <c r="R1026" s="4">
        <f t="shared" si="47"/>
        <v>150000</v>
      </c>
    </row>
    <row r="1027" spans="1:18">
      <c r="A1027" s="1">
        <v>2</v>
      </c>
      <c r="B1027" s="1" t="str">
        <f>"قطعات و لوازم يدكي"</f>
        <v>قطعات و لوازم يدكي</v>
      </c>
      <c r="C1027" s="1">
        <v>120</v>
      </c>
      <c r="D1027" s="1" t="str">
        <f>"انبار قطعات و لوازم يدكي بشکه سازي اصفهان"</f>
        <v>انبار قطعات و لوازم يدكي بشکه سازي اصفهان</v>
      </c>
      <c r="E1027" s="1" t="str">
        <f>"4111700101"</f>
        <v>4111700101</v>
      </c>
      <c r="F1027" s="1" t="str">
        <f>"کنترل باد"</f>
        <v>کنترل باد</v>
      </c>
      <c r="G1027" s="1" t="str">
        <f>"عدد"</f>
        <v>عدد</v>
      </c>
      <c r="H1027" s="1">
        <v>0</v>
      </c>
      <c r="I1027" s="1">
        <v>0</v>
      </c>
      <c r="J1027" s="1">
        <v>3</v>
      </c>
      <c r="K1027" s="1">
        <v>750000</v>
      </c>
      <c r="L1027" s="1">
        <v>0</v>
      </c>
      <c r="M1027" s="1">
        <v>0</v>
      </c>
      <c r="O1027" s="1">
        <v>97</v>
      </c>
      <c r="P1027" s="4">
        <f t="shared" ref="P1027:P1090" si="48">I1027+K1027-M1027</f>
        <v>750000</v>
      </c>
      <c r="Q1027" s="4">
        <f t="shared" ref="Q1027:Q1090" si="49">H1027+J1027-L1027</f>
        <v>3</v>
      </c>
      <c r="R1027" s="4">
        <f t="shared" ref="R1027:R1090" si="50">P1027/Q1027</f>
        <v>250000</v>
      </c>
    </row>
    <row r="1028" spans="1:18">
      <c r="A1028" s="1">
        <v>2</v>
      </c>
      <c r="B1028" s="1" t="str">
        <f>"قطعات و لوازم يدكي"</f>
        <v>قطعات و لوازم يدكي</v>
      </c>
      <c r="C1028" s="1">
        <v>120</v>
      </c>
      <c r="D1028" s="1" t="str">
        <f>"انبار قطعات و لوازم يدكي بشکه سازي اصفهان"</f>
        <v>انبار قطعات و لوازم يدكي بشکه سازي اصفهان</v>
      </c>
      <c r="E1028" s="1" t="str">
        <f>"4111700109"</f>
        <v>4111700109</v>
      </c>
      <c r="F1028" s="1" t="str">
        <f>"کنتاکتور  nc1-4011"</f>
        <v>کنتاکتور  nc1-4011</v>
      </c>
      <c r="G1028" s="1" t="str">
        <f>"عدد"</f>
        <v>عدد</v>
      </c>
      <c r="H1028" s="1">
        <v>0</v>
      </c>
      <c r="I1028" s="1">
        <v>0</v>
      </c>
      <c r="J1028" s="1">
        <v>3</v>
      </c>
      <c r="K1028" s="1">
        <v>9900000</v>
      </c>
      <c r="L1028" s="1">
        <v>0</v>
      </c>
      <c r="M1028" s="1">
        <v>0</v>
      </c>
      <c r="O1028" s="1">
        <v>97</v>
      </c>
      <c r="P1028" s="4">
        <f t="shared" si="48"/>
        <v>9900000</v>
      </c>
      <c r="Q1028" s="4">
        <f t="shared" si="49"/>
        <v>3</v>
      </c>
      <c r="R1028" s="4">
        <f t="shared" si="50"/>
        <v>3300000</v>
      </c>
    </row>
    <row r="1029" spans="1:18">
      <c r="A1029" s="1">
        <v>2</v>
      </c>
      <c r="B1029" s="1" t="str">
        <f>"قطعات و لوازم يدكي"</f>
        <v>قطعات و لوازم يدكي</v>
      </c>
      <c r="C1029" s="1">
        <v>120</v>
      </c>
      <c r="D1029" s="1" t="str">
        <f>"انبار قطعات و لوازم يدكي بشکه سازي اصفهان"</f>
        <v>انبار قطعات و لوازم يدكي بشکه سازي اصفهان</v>
      </c>
      <c r="E1029" s="1" t="str">
        <f>"4111700114"</f>
        <v>4111700114</v>
      </c>
      <c r="F1029" s="1" t="str">
        <f>"کابل افشان 100  1*16"</f>
        <v>کابل افشان 100  1*16</v>
      </c>
      <c r="G1029" s="1" t="str">
        <f>"متر"</f>
        <v>متر</v>
      </c>
      <c r="H1029" s="1">
        <v>0</v>
      </c>
      <c r="I1029" s="1">
        <v>0</v>
      </c>
      <c r="J1029" s="1">
        <v>14</v>
      </c>
      <c r="K1029" s="1">
        <v>784000</v>
      </c>
      <c r="L1029" s="1">
        <v>0</v>
      </c>
      <c r="M1029" s="1">
        <v>0</v>
      </c>
      <c r="O1029" s="1">
        <v>97</v>
      </c>
      <c r="P1029" s="4">
        <f t="shared" si="48"/>
        <v>784000</v>
      </c>
      <c r="Q1029" s="4">
        <f t="shared" si="49"/>
        <v>14</v>
      </c>
      <c r="R1029" s="4">
        <f t="shared" si="50"/>
        <v>56000</v>
      </c>
    </row>
    <row r="1030" spans="1:18">
      <c r="A1030" s="1">
        <v>2</v>
      </c>
      <c r="B1030" s="1" t="str">
        <f>"قطعات و لوازم يدكي"</f>
        <v>قطعات و لوازم يدكي</v>
      </c>
      <c r="C1030" s="1">
        <v>120</v>
      </c>
      <c r="D1030" s="1" t="str">
        <f>"انبار قطعات و لوازم يدكي بشکه سازي اصفهان"</f>
        <v>انبار قطعات و لوازم يدكي بشکه سازي اصفهان</v>
      </c>
      <c r="E1030" s="1" t="str">
        <f>"4111700120"</f>
        <v>4111700120</v>
      </c>
      <c r="F1030" s="1" t="str">
        <f>"سوکت 8 پايه"</f>
        <v>سوکت 8 پايه</v>
      </c>
      <c r="G1030" s="1" t="str">
        <f>"عدد"</f>
        <v>عدد</v>
      </c>
      <c r="H1030" s="1">
        <v>0</v>
      </c>
      <c r="I1030" s="1">
        <v>0</v>
      </c>
      <c r="J1030" s="1">
        <v>14</v>
      </c>
      <c r="K1030" s="1">
        <v>462000</v>
      </c>
      <c r="L1030" s="1">
        <v>2</v>
      </c>
      <c r="M1030" s="1">
        <v>66000</v>
      </c>
      <c r="O1030" s="1">
        <v>97</v>
      </c>
      <c r="P1030" s="4">
        <f t="shared" si="48"/>
        <v>396000</v>
      </c>
      <c r="Q1030" s="4">
        <f t="shared" si="49"/>
        <v>12</v>
      </c>
      <c r="R1030" s="4">
        <f t="shared" si="50"/>
        <v>33000</v>
      </c>
    </row>
    <row r="1031" spans="1:18">
      <c r="A1031" s="1">
        <v>2</v>
      </c>
      <c r="B1031" s="1" t="str">
        <f>"قطعات و لوازم يدكي"</f>
        <v>قطعات و لوازم يدكي</v>
      </c>
      <c r="C1031" s="1">
        <v>120</v>
      </c>
      <c r="D1031" s="1" t="str">
        <f>"انبار قطعات و لوازم يدكي بشکه سازي اصفهان"</f>
        <v>انبار قطعات و لوازم يدكي بشکه سازي اصفهان</v>
      </c>
      <c r="E1031" s="1" t="str">
        <f>"4211700013"</f>
        <v>4211700013</v>
      </c>
      <c r="F1031" s="1" t="str">
        <f>"تيوپ تراکتور 825-16"</f>
        <v>تيوپ تراکتور 825-16</v>
      </c>
      <c r="G1031" s="1" t="str">
        <f>"عدد"</f>
        <v>عدد</v>
      </c>
      <c r="H1031" s="1">
        <v>0</v>
      </c>
      <c r="I1031" s="1">
        <v>0</v>
      </c>
      <c r="J1031" s="1">
        <v>2</v>
      </c>
      <c r="K1031" s="1">
        <v>900000</v>
      </c>
      <c r="L1031" s="1">
        <v>0</v>
      </c>
      <c r="M1031" s="1">
        <v>0</v>
      </c>
      <c r="O1031" s="1">
        <v>97</v>
      </c>
      <c r="P1031" s="4">
        <f t="shared" si="48"/>
        <v>900000</v>
      </c>
      <c r="Q1031" s="4">
        <f t="shared" si="49"/>
        <v>2</v>
      </c>
      <c r="R1031" s="4">
        <f t="shared" si="50"/>
        <v>450000</v>
      </c>
    </row>
    <row r="1032" spans="1:18">
      <c r="A1032" s="1">
        <v>2</v>
      </c>
      <c r="B1032" s="1" t="str">
        <f>"قطعات و لوازم يدكي"</f>
        <v>قطعات و لوازم يدكي</v>
      </c>
      <c r="C1032" s="1">
        <v>120</v>
      </c>
      <c r="D1032" s="1" t="str">
        <f>"انبار قطعات و لوازم يدكي بشکه سازي اصفهان"</f>
        <v>انبار قطعات و لوازم يدكي بشکه سازي اصفهان</v>
      </c>
      <c r="E1032" s="1" t="str">
        <f>"4211700014"</f>
        <v>4211700014</v>
      </c>
      <c r="F1032" s="1" t="str">
        <f>"تيوپ تراکتور 700-750-16"</f>
        <v>تيوپ تراکتور 700-750-16</v>
      </c>
      <c r="G1032" s="1" t="str">
        <f>"عدد"</f>
        <v>عدد</v>
      </c>
      <c r="H1032" s="1">
        <v>0</v>
      </c>
      <c r="I1032" s="1">
        <v>0</v>
      </c>
      <c r="J1032" s="1">
        <v>1</v>
      </c>
      <c r="K1032" s="1">
        <v>400000</v>
      </c>
      <c r="L1032" s="1">
        <v>0</v>
      </c>
      <c r="M1032" s="1">
        <v>0</v>
      </c>
      <c r="O1032" s="1">
        <v>97</v>
      </c>
      <c r="P1032" s="4">
        <f t="shared" si="48"/>
        <v>400000</v>
      </c>
      <c r="Q1032" s="4">
        <f t="shared" si="49"/>
        <v>1</v>
      </c>
      <c r="R1032" s="4">
        <f t="shared" si="50"/>
        <v>400000</v>
      </c>
    </row>
    <row r="1033" spans="1:18">
      <c r="A1033" s="1">
        <v>2</v>
      </c>
      <c r="B1033" s="1" t="str">
        <f>"قطعات و لوازم يدكي"</f>
        <v>قطعات و لوازم يدكي</v>
      </c>
      <c r="C1033" s="1">
        <v>120</v>
      </c>
      <c r="D1033" s="1" t="str">
        <f>"انبار قطعات و لوازم يدكي بشکه سازي اصفهان"</f>
        <v>انبار قطعات و لوازم يدكي بشکه سازي اصفهان</v>
      </c>
      <c r="E1033" s="1" t="str">
        <f>"4211700018"</f>
        <v>4211700018</v>
      </c>
      <c r="F1033" s="1" t="str">
        <f>"لاستيک و تيوپ ليفتراک 3 تن 10*50*6"</f>
        <v>لاستيک و تيوپ ليفتراک 3 تن 10*50*6</v>
      </c>
      <c r="G1033" s="1" t="str">
        <f>"حلقه"</f>
        <v>حلقه</v>
      </c>
      <c r="H1033" s="1">
        <v>0</v>
      </c>
      <c r="I1033" s="1">
        <v>0</v>
      </c>
      <c r="J1033" s="1">
        <v>12</v>
      </c>
      <c r="K1033" s="1">
        <v>70800000</v>
      </c>
      <c r="L1033" s="1">
        <v>10</v>
      </c>
      <c r="M1033" s="1">
        <v>59000000</v>
      </c>
      <c r="O1033" s="1">
        <v>97</v>
      </c>
      <c r="P1033" s="4">
        <f t="shared" si="48"/>
        <v>11800000</v>
      </c>
      <c r="Q1033" s="4">
        <f t="shared" si="49"/>
        <v>2</v>
      </c>
      <c r="R1033" s="4">
        <f t="shared" si="50"/>
        <v>5900000</v>
      </c>
    </row>
    <row r="1034" spans="1:18">
      <c r="A1034" s="1">
        <v>2</v>
      </c>
      <c r="B1034" s="1" t="str">
        <f>"قطعات و لوازم يدكي"</f>
        <v>قطعات و لوازم يدكي</v>
      </c>
      <c r="C1034" s="1">
        <v>120</v>
      </c>
      <c r="D1034" s="1" t="str">
        <f>"انبار قطعات و لوازم يدكي بشکه سازي اصفهان"</f>
        <v>انبار قطعات و لوازم يدكي بشکه سازي اصفهان</v>
      </c>
      <c r="E1034" s="1" t="str">
        <f>"4211700019"</f>
        <v>4211700019</v>
      </c>
      <c r="F1034" s="1" t="str">
        <f>"تيوپ و لاستيک فورغان 190"</f>
        <v>تيوپ و لاستيک فورغان 190</v>
      </c>
      <c r="G1034" s="1" t="str">
        <f>"عدد"</f>
        <v>عدد</v>
      </c>
      <c r="H1034" s="1">
        <v>0</v>
      </c>
      <c r="I1034" s="1">
        <v>0</v>
      </c>
      <c r="J1034" s="1">
        <v>1</v>
      </c>
      <c r="K1034" s="1">
        <v>200000</v>
      </c>
      <c r="L1034" s="1">
        <v>0</v>
      </c>
      <c r="M1034" s="1">
        <v>0</v>
      </c>
      <c r="O1034" s="1">
        <v>97</v>
      </c>
      <c r="P1034" s="4">
        <f t="shared" si="48"/>
        <v>200000</v>
      </c>
      <c r="Q1034" s="4">
        <f t="shared" si="49"/>
        <v>1</v>
      </c>
      <c r="R1034" s="4">
        <f t="shared" si="50"/>
        <v>200000</v>
      </c>
    </row>
    <row r="1035" spans="1:18">
      <c r="A1035" s="1">
        <v>2</v>
      </c>
      <c r="B1035" s="1" t="str">
        <f>"قطعات و لوازم يدكي"</f>
        <v>قطعات و لوازم يدكي</v>
      </c>
      <c r="C1035" s="1">
        <v>120</v>
      </c>
      <c r="D1035" s="1" t="str">
        <f>"انبار قطعات و لوازم يدكي بشکه سازي اصفهان"</f>
        <v>انبار قطعات و لوازم يدكي بشکه سازي اصفهان</v>
      </c>
      <c r="E1035" s="1" t="str">
        <f>"4211700024"</f>
        <v>4211700024</v>
      </c>
      <c r="F1035" s="1" t="str">
        <f>"نگهداري طبق بالاي سيمر"</f>
        <v>نگهداري طبق بالاي سيمر</v>
      </c>
      <c r="G1035" s="1" t="str">
        <f>"عدد"</f>
        <v>عدد</v>
      </c>
      <c r="H1035" s="1">
        <v>0</v>
      </c>
      <c r="I1035" s="1">
        <v>0</v>
      </c>
      <c r="J1035" s="1">
        <v>6</v>
      </c>
      <c r="K1035" s="1">
        <v>42000000</v>
      </c>
      <c r="L1035" s="1">
        <v>0</v>
      </c>
      <c r="M1035" s="1">
        <v>0</v>
      </c>
      <c r="O1035" s="1">
        <v>97</v>
      </c>
      <c r="P1035" s="4">
        <f t="shared" si="48"/>
        <v>42000000</v>
      </c>
      <c r="Q1035" s="4">
        <f t="shared" si="49"/>
        <v>6</v>
      </c>
      <c r="R1035" s="4">
        <f t="shared" si="50"/>
        <v>7000000</v>
      </c>
    </row>
    <row r="1036" spans="1:18">
      <c r="A1036" s="1">
        <v>2</v>
      </c>
      <c r="B1036" s="1" t="str">
        <f>"قطعات و لوازم يدكي"</f>
        <v>قطعات و لوازم يدكي</v>
      </c>
      <c r="C1036" s="1">
        <v>120</v>
      </c>
      <c r="D1036" s="1" t="str">
        <f>"انبار قطعات و لوازم يدكي بشکه سازي اصفهان"</f>
        <v>انبار قطعات و لوازم يدكي بشکه سازي اصفهان</v>
      </c>
      <c r="E1036" s="1" t="str">
        <f>"4211700031"</f>
        <v>4211700031</v>
      </c>
      <c r="F1036" s="1" t="str">
        <f>"فنر قرمز مربوط به قالب سر و ته 300mm *880 mm"</f>
        <v>فنر قرمز مربوط به قالب سر و ته 300mm *880 mm</v>
      </c>
      <c r="G1036" s="1" t="str">
        <f>"عدد"</f>
        <v>عدد</v>
      </c>
      <c r="H1036" s="1">
        <v>0</v>
      </c>
      <c r="I1036" s="1">
        <v>0</v>
      </c>
      <c r="J1036" s="1">
        <v>6</v>
      </c>
      <c r="K1036" s="1">
        <v>7260000</v>
      </c>
      <c r="L1036" s="1">
        <v>0</v>
      </c>
      <c r="M1036" s="1">
        <v>0</v>
      </c>
      <c r="O1036" s="1">
        <v>97</v>
      </c>
      <c r="P1036" s="4">
        <f t="shared" si="48"/>
        <v>7260000</v>
      </c>
      <c r="Q1036" s="4">
        <f t="shared" si="49"/>
        <v>6</v>
      </c>
      <c r="R1036" s="4">
        <f t="shared" si="50"/>
        <v>1210000</v>
      </c>
    </row>
    <row r="1037" spans="1:18">
      <c r="A1037" s="1">
        <v>2</v>
      </c>
      <c r="B1037" s="1" t="str">
        <f>"قطعات و لوازم يدكي"</f>
        <v>قطعات و لوازم يدكي</v>
      </c>
      <c r="C1037" s="1">
        <v>120</v>
      </c>
      <c r="D1037" s="1" t="str">
        <f>"انبار قطعات و لوازم يدكي بشکه سازي اصفهان"</f>
        <v>انبار قطعات و لوازم يدكي بشکه سازي اصفهان</v>
      </c>
      <c r="E1037" s="1" t="str">
        <f>"4211700037"</f>
        <v>4211700037</v>
      </c>
      <c r="F1037" s="1" t="str">
        <f>"پايه جک سايز 80"</f>
        <v>پايه جک سايز 80</v>
      </c>
      <c r="G1037" s="1" t="str">
        <f>"عدد"</f>
        <v>عدد</v>
      </c>
      <c r="H1037" s="1">
        <v>0</v>
      </c>
      <c r="I1037" s="1">
        <v>0</v>
      </c>
      <c r="J1037" s="1">
        <v>1</v>
      </c>
      <c r="K1037" s="1">
        <v>100000</v>
      </c>
      <c r="L1037" s="1">
        <v>0</v>
      </c>
      <c r="M1037" s="1">
        <v>0</v>
      </c>
      <c r="O1037" s="1">
        <v>97</v>
      </c>
      <c r="P1037" s="4">
        <f t="shared" si="48"/>
        <v>100000</v>
      </c>
      <c r="Q1037" s="4">
        <f t="shared" si="49"/>
        <v>1</v>
      </c>
      <c r="R1037" s="4">
        <f t="shared" si="50"/>
        <v>100000</v>
      </c>
    </row>
    <row r="1038" spans="1:18">
      <c r="A1038" s="1">
        <v>2</v>
      </c>
      <c r="B1038" s="1" t="str">
        <f>"قطعات و لوازم يدكي"</f>
        <v>قطعات و لوازم يدكي</v>
      </c>
      <c r="C1038" s="1">
        <v>120</v>
      </c>
      <c r="D1038" s="1" t="str">
        <f>"انبار قطعات و لوازم يدكي بشکه سازي اصفهان"</f>
        <v>انبار قطعات و لوازم يدكي بشکه سازي اصفهان</v>
      </c>
      <c r="E1038" s="1" t="str">
        <f>"4211700038"</f>
        <v>4211700038</v>
      </c>
      <c r="F1038" s="1" t="str">
        <f>"هوک مربوط به حمل الکترو موتور سايز 8 الي 24"</f>
        <v>هوک مربوط به حمل الکترو موتور سايز 8 الي 24</v>
      </c>
      <c r="G1038" s="1" t="str">
        <f>"عدد"</f>
        <v>عدد</v>
      </c>
      <c r="H1038" s="1">
        <v>0</v>
      </c>
      <c r="I1038" s="1">
        <v>0</v>
      </c>
      <c r="J1038" s="1">
        <v>17</v>
      </c>
      <c r="K1038" s="1">
        <v>1700000</v>
      </c>
      <c r="L1038" s="1">
        <v>0</v>
      </c>
      <c r="M1038" s="1">
        <v>0</v>
      </c>
      <c r="O1038" s="1">
        <v>97</v>
      </c>
      <c r="P1038" s="4">
        <f t="shared" si="48"/>
        <v>1700000</v>
      </c>
      <c r="Q1038" s="4">
        <f t="shared" si="49"/>
        <v>17</v>
      </c>
      <c r="R1038" s="4">
        <f t="shared" si="50"/>
        <v>100000</v>
      </c>
    </row>
    <row r="1039" spans="1:18">
      <c r="A1039" s="1">
        <v>2</v>
      </c>
      <c r="B1039" s="1" t="str">
        <f>"قطعات و لوازم يدكي"</f>
        <v>قطعات و لوازم يدكي</v>
      </c>
      <c r="C1039" s="1">
        <v>120</v>
      </c>
      <c r="D1039" s="1" t="str">
        <f>"انبار قطعات و لوازم يدكي بشکه سازي اصفهان"</f>
        <v>انبار قطعات و لوازم يدكي بشکه سازي اصفهان</v>
      </c>
      <c r="E1039" s="1" t="str">
        <f>"4211700048"</f>
        <v>4211700048</v>
      </c>
      <c r="F1039" s="1" t="str">
        <f>"بلبيرينگ 6209"</f>
        <v>بلبيرينگ 6209</v>
      </c>
      <c r="G1039" s="1" t="str">
        <f>"عدد"</f>
        <v>عدد</v>
      </c>
      <c r="H1039" s="1">
        <v>0</v>
      </c>
      <c r="I1039" s="1">
        <v>0</v>
      </c>
      <c r="J1039" s="1">
        <v>3</v>
      </c>
      <c r="K1039" s="1">
        <v>69000</v>
      </c>
      <c r="L1039" s="1">
        <v>0</v>
      </c>
      <c r="M1039" s="1">
        <v>0</v>
      </c>
      <c r="O1039" s="1">
        <v>97</v>
      </c>
      <c r="P1039" s="4">
        <f t="shared" si="48"/>
        <v>69000</v>
      </c>
      <c r="Q1039" s="4">
        <f t="shared" si="49"/>
        <v>3</v>
      </c>
      <c r="R1039" s="4">
        <f t="shared" si="50"/>
        <v>23000</v>
      </c>
    </row>
    <row r="1040" spans="1:18">
      <c r="A1040" s="1">
        <v>2</v>
      </c>
      <c r="B1040" s="1" t="str">
        <f>"قطعات و لوازم يدكي"</f>
        <v>قطعات و لوازم يدكي</v>
      </c>
      <c r="C1040" s="1">
        <v>120</v>
      </c>
      <c r="D1040" s="1" t="str">
        <f>"انبار قطعات و لوازم يدكي بشکه سازي اصفهان"</f>
        <v>انبار قطعات و لوازم يدكي بشکه سازي اصفهان</v>
      </c>
      <c r="E1040" s="1" t="str">
        <f>"4211700066"</f>
        <v>4211700066</v>
      </c>
      <c r="F1040" s="1" t="str">
        <f>"بلبيرينگ 6205"</f>
        <v>بلبيرينگ 6205</v>
      </c>
      <c r="G1040" s="1" t="str">
        <f>"عدد"</f>
        <v>عدد</v>
      </c>
      <c r="H1040" s="1">
        <v>0</v>
      </c>
      <c r="I1040" s="1">
        <v>0</v>
      </c>
      <c r="J1040" s="1">
        <v>2</v>
      </c>
      <c r="K1040" s="1">
        <v>400000</v>
      </c>
      <c r="L1040" s="1">
        <v>0</v>
      </c>
      <c r="M1040" s="1">
        <v>0</v>
      </c>
      <c r="O1040" s="1">
        <v>97</v>
      </c>
      <c r="P1040" s="4">
        <f t="shared" si="48"/>
        <v>400000</v>
      </c>
      <c r="Q1040" s="4">
        <f t="shared" si="49"/>
        <v>2</v>
      </c>
      <c r="R1040" s="4">
        <f t="shared" si="50"/>
        <v>200000</v>
      </c>
    </row>
    <row r="1041" spans="1:18">
      <c r="A1041" s="1">
        <v>2</v>
      </c>
      <c r="B1041" s="1" t="str">
        <f>"قطعات و لوازم يدكي"</f>
        <v>قطعات و لوازم يدكي</v>
      </c>
      <c r="C1041" s="1">
        <v>120</v>
      </c>
      <c r="D1041" s="1" t="str">
        <f>"انبار قطعات و لوازم يدكي بشکه سازي اصفهان"</f>
        <v>انبار قطعات و لوازم يدكي بشکه سازي اصفهان</v>
      </c>
      <c r="E1041" s="1" t="str">
        <f>"4211700067"</f>
        <v>4211700067</v>
      </c>
      <c r="F1041" s="1" t="str">
        <f>"بلبيرينگ 6813"</f>
        <v>بلبيرينگ 6813</v>
      </c>
      <c r="G1041" s="1" t="str">
        <f>"عدد"</f>
        <v>عدد</v>
      </c>
      <c r="H1041" s="1">
        <v>0</v>
      </c>
      <c r="I1041" s="1">
        <v>0</v>
      </c>
      <c r="J1041" s="1">
        <v>2</v>
      </c>
      <c r="K1041" s="1">
        <v>400000</v>
      </c>
      <c r="L1041" s="1">
        <v>0</v>
      </c>
      <c r="M1041" s="1">
        <v>0</v>
      </c>
      <c r="O1041" s="1">
        <v>97</v>
      </c>
      <c r="P1041" s="4">
        <f t="shared" si="48"/>
        <v>400000</v>
      </c>
      <c r="Q1041" s="4">
        <f t="shared" si="49"/>
        <v>2</v>
      </c>
      <c r="R1041" s="4">
        <f t="shared" si="50"/>
        <v>200000</v>
      </c>
    </row>
    <row r="1042" spans="1:18">
      <c r="A1042" s="1">
        <v>2</v>
      </c>
      <c r="B1042" s="1" t="str">
        <f>"قطعات و لوازم يدكي"</f>
        <v>قطعات و لوازم يدكي</v>
      </c>
      <c r="C1042" s="1">
        <v>120</v>
      </c>
      <c r="D1042" s="1" t="str">
        <f>"انبار قطعات و لوازم يدكي بشکه سازي اصفهان"</f>
        <v>انبار قطعات و لوازم يدكي بشکه سازي اصفهان</v>
      </c>
      <c r="E1042" s="1" t="str">
        <f>"4211700076"</f>
        <v>4211700076</v>
      </c>
      <c r="F1042" s="1" t="str">
        <f>"بلبرينگ 44649"</f>
        <v>بلبرينگ 44649</v>
      </c>
      <c r="G1042" s="1" t="str">
        <f>"عدد"</f>
        <v>عدد</v>
      </c>
      <c r="H1042" s="1">
        <v>0</v>
      </c>
      <c r="I1042" s="1">
        <v>0</v>
      </c>
      <c r="J1042" s="1">
        <v>1</v>
      </c>
      <c r="K1042" s="1">
        <v>200000</v>
      </c>
      <c r="L1042" s="1">
        <v>0</v>
      </c>
      <c r="M1042" s="1">
        <v>0</v>
      </c>
      <c r="O1042" s="1">
        <v>97</v>
      </c>
      <c r="P1042" s="4">
        <f t="shared" si="48"/>
        <v>200000</v>
      </c>
      <c r="Q1042" s="4">
        <f t="shared" si="49"/>
        <v>1</v>
      </c>
      <c r="R1042" s="4">
        <f t="shared" si="50"/>
        <v>200000</v>
      </c>
    </row>
    <row r="1043" spans="1:18">
      <c r="A1043" s="1">
        <v>2</v>
      </c>
      <c r="B1043" s="1" t="str">
        <f>"قطعات و لوازم يدكي"</f>
        <v>قطعات و لوازم يدكي</v>
      </c>
      <c r="C1043" s="1">
        <v>120</v>
      </c>
      <c r="D1043" s="1" t="str">
        <f>"انبار قطعات و لوازم يدكي بشکه سازي اصفهان"</f>
        <v>انبار قطعات و لوازم يدكي بشکه سازي اصفهان</v>
      </c>
      <c r="E1043" s="1" t="str">
        <f>"4211700086"</f>
        <v>4211700086</v>
      </c>
      <c r="F1043" s="1" t="str">
        <f>"پکينگ 100 تک"</f>
        <v>پکينگ 100 تک</v>
      </c>
      <c r="G1043" s="1" t="str">
        <f>"عدد"</f>
        <v>عدد</v>
      </c>
      <c r="H1043" s="1">
        <v>0</v>
      </c>
      <c r="I1043" s="1">
        <v>0</v>
      </c>
      <c r="J1043" s="1">
        <v>10</v>
      </c>
      <c r="K1043" s="1">
        <v>800000</v>
      </c>
      <c r="L1043" s="1">
        <v>0</v>
      </c>
      <c r="M1043" s="1">
        <v>0</v>
      </c>
      <c r="O1043" s="1">
        <v>97</v>
      </c>
      <c r="P1043" s="4">
        <f t="shared" si="48"/>
        <v>800000</v>
      </c>
      <c r="Q1043" s="4">
        <f t="shared" si="49"/>
        <v>10</v>
      </c>
      <c r="R1043" s="4">
        <f t="shared" si="50"/>
        <v>80000</v>
      </c>
    </row>
    <row r="1044" spans="1:18">
      <c r="A1044" s="1">
        <v>2</v>
      </c>
      <c r="B1044" s="1" t="str">
        <f>"قطعات و لوازم يدكي"</f>
        <v>قطعات و لوازم يدكي</v>
      </c>
      <c r="C1044" s="1">
        <v>120</v>
      </c>
      <c r="D1044" s="1" t="str">
        <f>"انبار قطعات و لوازم يدكي بشکه سازي اصفهان"</f>
        <v>انبار قطعات و لوازم يدكي بشکه سازي اصفهان</v>
      </c>
      <c r="E1044" s="1" t="str">
        <f>"4211700088"</f>
        <v>4211700088</v>
      </c>
      <c r="F1044" s="1" t="str">
        <f>"پکينگ 100 لبه"</f>
        <v>پکينگ 100 لبه</v>
      </c>
      <c r="G1044" s="1" t="str">
        <f>"عدد"</f>
        <v>عدد</v>
      </c>
      <c r="H1044" s="1">
        <v>0</v>
      </c>
      <c r="I1044" s="1">
        <v>0</v>
      </c>
      <c r="J1044" s="1">
        <v>3</v>
      </c>
      <c r="K1044" s="1">
        <v>300000</v>
      </c>
      <c r="L1044" s="1">
        <v>0</v>
      </c>
      <c r="M1044" s="1">
        <v>0</v>
      </c>
      <c r="O1044" s="1">
        <v>97</v>
      </c>
      <c r="P1044" s="4">
        <f t="shared" si="48"/>
        <v>300000</v>
      </c>
      <c r="Q1044" s="4">
        <f t="shared" si="49"/>
        <v>3</v>
      </c>
      <c r="R1044" s="4">
        <f t="shared" si="50"/>
        <v>100000</v>
      </c>
    </row>
    <row r="1045" spans="1:18">
      <c r="A1045" s="1">
        <v>2</v>
      </c>
      <c r="B1045" s="1" t="str">
        <f>"قطعات و لوازم يدكي"</f>
        <v>قطعات و لوازم يدكي</v>
      </c>
      <c r="C1045" s="1">
        <v>120</v>
      </c>
      <c r="D1045" s="1" t="str">
        <f>"انبار قطعات و لوازم يدكي بشکه سازي اصفهان"</f>
        <v>انبار قطعات و لوازم يدكي بشکه سازي اصفهان</v>
      </c>
      <c r="E1045" s="1" t="str">
        <f>"4211700096"</f>
        <v>4211700096</v>
      </c>
      <c r="F1045" s="1" t="str">
        <f>"گلگير دوچرخه."</f>
        <v>گلگير دوچرخه.</v>
      </c>
      <c r="G1045" s="1" t="str">
        <f>"جفت"</f>
        <v>جفت</v>
      </c>
      <c r="H1045" s="1">
        <v>0</v>
      </c>
      <c r="I1045" s="1">
        <v>0</v>
      </c>
      <c r="J1045" s="1">
        <v>1</v>
      </c>
      <c r="K1045" s="1">
        <v>100000</v>
      </c>
      <c r="L1045" s="1">
        <v>0</v>
      </c>
      <c r="M1045" s="1">
        <v>0</v>
      </c>
      <c r="O1045" s="1">
        <v>97</v>
      </c>
      <c r="P1045" s="4">
        <f t="shared" si="48"/>
        <v>100000</v>
      </c>
      <c r="Q1045" s="4">
        <f t="shared" si="49"/>
        <v>1</v>
      </c>
      <c r="R1045" s="4">
        <f t="shared" si="50"/>
        <v>100000</v>
      </c>
    </row>
    <row r="1046" spans="1:18">
      <c r="A1046" s="1">
        <v>2</v>
      </c>
      <c r="B1046" s="1" t="str">
        <f>"قطعات و لوازم يدكي"</f>
        <v>قطعات و لوازم يدكي</v>
      </c>
      <c r="C1046" s="1">
        <v>120</v>
      </c>
      <c r="D1046" s="1" t="str">
        <f>"انبار قطعات و لوازم يدكي بشکه سازي اصفهان"</f>
        <v>انبار قطعات و لوازم يدكي بشکه سازي اصفهان</v>
      </c>
      <c r="E1046" s="1" t="str">
        <f>"4211700105"</f>
        <v>4211700105</v>
      </c>
      <c r="F1046" s="1" t="str">
        <f>"پره الکتروموتور"</f>
        <v>پره الکتروموتور</v>
      </c>
      <c r="G1046" s="1" t="str">
        <f>"عدد"</f>
        <v>عدد</v>
      </c>
      <c r="H1046" s="1">
        <v>0</v>
      </c>
      <c r="I1046" s="1">
        <v>0</v>
      </c>
      <c r="J1046" s="1">
        <v>2</v>
      </c>
      <c r="K1046" s="1">
        <v>400000</v>
      </c>
      <c r="L1046" s="1">
        <v>0</v>
      </c>
      <c r="M1046" s="1">
        <v>0</v>
      </c>
      <c r="O1046" s="1">
        <v>97</v>
      </c>
      <c r="P1046" s="4">
        <f t="shared" si="48"/>
        <v>400000</v>
      </c>
      <c r="Q1046" s="4">
        <f t="shared" si="49"/>
        <v>2</v>
      </c>
      <c r="R1046" s="4">
        <f t="shared" si="50"/>
        <v>200000</v>
      </c>
    </row>
    <row r="1047" spans="1:18">
      <c r="A1047" s="1">
        <v>2</v>
      </c>
      <c r="B1047" s="1" t="str">
        <f>"قطعات و لوازم يدكي"</f>
        <v>قطعات و لوازم يدكي</v>
      </c>
      <c r="C1047" s="1">
        <v>120</v>
      </c>
      <c r="D1047" s="1" t="str">
        <f>"انبار قطعات و لوازم يدكي بشکه سازي اصفهان"</f>
        <v>انبار قطعات و لوازم يدكي بشکه سازي اصفهان</v>
      </c>
      <c r="E1047" s="1" t="str">
        <f>"4211700128"</f>
        <v>4211700128</v>
      </c>
      <c r="F1047" s="1" t="str">
        <f>"تسمه H700"</f>
        <v>تسمه H700</v>
      </c>
      <c r="G1047" s="1" t="str">
        <f>"عدد"</f>
        <v>عدد</v>
      </c>
      <c r="H1047" s="1">
        <v>0</v>
      </c>
      <c r="I1047" s="1">
        <v>0</v>
      </c>
      <c r="J1047" s="1">
        <v>1</v>
      </c>
      <c r="K1047" s="1">
        <v>160000</v>
      </c>
      <c r="L1047" s="1">
        <v>0</v>
      </c>
      <c r="M1047" s="1">
        <v>0</v>
      </c>
      <c r="O1047" s="1">
        <v>97</v>
      </c>
      <c r="P1047" s="4">
        <f t="shared" si="48"/>
        <v>160000</v>
      </c>
      <c r="Q1047" s="4">
        <f t="shared" si="49"/>
        <v>1</v>
      </c>
      <c r="R1047" s="4">
        <f t="shared" si="50"/>
        <v>160000</v>
      </c>
    </row>
    <row r="1048" spans="1:18">
      <c r="A1048" s="1">
        <v>2</v>
      </c>
      <c r="B1048" s="1" t="str">
        <f>"قطعات و لوازم يدكي"</f>
        <v>قطعات و لوازم يدكي</v>
      </c>
      <c r="C1048" s="1">
        <v>120</v>
      </c>
      <c r="D1048" s="1" t="str">
        <f>"انبار قطعات و لوازم يدكي بشکه سازي اصفهان"</f>
        <v>انبار قطعات و لوازم يدكي بشکه سازي اصفهان</v>
      </c>
      <c r="E1048" s="1" t="str">
        <f>"4211700136"</f>
        <v>4211700136</v>
      </c>
      <c r="F1048" s="1" t="str">
        <f>"تسمه B110"</f>
        <v>تسمه B110</v>
      </c>
      <c r="G1048" s="1" t="str">
        <f>"عدد"</f>
        <v>عدد</v>
      </c>
      <c r="H1048" s="1">
        <v>0</v>
      </c>
      <c r="I1048" s="1">
        <v>0</v>
      </c>
      <c r="J1048" s="1">
        <v>9</v>
      </c>
      <c r="K1048" s="1">
        <v>10350000</v>
      </c>
      <c r="L1048" s="1">
        <v>0</v>
      </c>
      <c r="M1048" s="1">
        <v>0</v>
      </c>
      <c r="O1048" s="1">
        <v>97</v>
      </c>
      <c r="P1048" s="4">
        <f t="shared" si="48"/>
        <v>10350000</v>
      </c>
      <c r="Q1048" s="4">
        <f t="shared" si="49"/>
        <v>9</v>
      </c>
      <c r="R1048" s="4">
        <f t="shared" si="50"/>
        <v>1150000</v>
      </c>
    </row>
    <row r="1049" spans="1:18">
      <c r="A1049" s="1">
        <v>2</v>
      </c>
      <c r="B1049" s="1" t="str">
        <f>"قطعات و لوازم يدكي"</f>
        <v>قطعات و لوازم يدكي</v>
      </c>
      <c r="C1049" s="1">
        <v>120</v>
      </c>
      <c r="D1049" s="1" t="str">
        <f>"انبار قطعات و لوازم يدكي بشکه سازي اصفهان"</f>
        <v>انبار قطعات و لوازم يدكي بشکه سازي اصفهان</v>
      </c>
      <c r="E1049" s="1" t="str">
        <f>"4211700140"</f>
        <v>4211700140</v>
      </c>
      <c r="F1049" s="1" t="str">
        <f>"تسمه B 156"</f>
        <v>تسمه B 156</v>
      </c>
      <c r="G1049" s="1" t="str">
        <f>"عدد"</f>
        <v>عدد</v>
      </c>
      <c r="H1049" s="1">
        <v>0</v>
      </c>
      <c r="I1049" s="1">
        <v>0</v>
      </c>
      <c r="J1049" s="1">
        <v>9</v>
      </c>
      <c r="K1049" s="1">
        <v>14760000</v>
      </c>
      <c r="L1049" s="1">
        <v>0</v>
      </c>
      <c r="M1049" s="1">
        <v>0</v>
      </c>
      <c r="O1049" s="1">
        <v>97</v>
      </c>
      <c r="P1049" s="4">
        <f t="shared" si="48"/>
        <v>14760000</v>
      </c>
      <c r="Q1049" s="4">
        <f t="shared" si="49"/>
        <v>9</v>
      </c>
      <c r="R1049" s="4">
        <f t="shared" si="50"/>
        <v>1640000</v>
      </c>
    </row>
    <row r="1050" spans="1:18">
      <c r="A1050" s="1">
        <v>2</v>
      </c>
      <c r="B1050" s="1" t="str">
        <f>"قطعات و لوازم يدكي"</f>
        <v>قطعات و لوازم يدكي</v>
      </c>
      <c r="C1050" s="1">
        <v>120</v>
      </c>
      <c r="D1050" s="1" t="str">
        <f>"انبار قطعات و لوازم يدكي بشکه سازي اصفهان"</f>
        <v>انبار قطعات و لوازم يدكي بشکه سازي اصفهان</v>
      </c>
      <c r="E1050" s="1" t="str">
        <f>"4211700142"</f>
        <v>4211700142</v>
      </c>
      <c r="F1050" s="1" t="str">
        <f>"دسته غلطک لبه زن"</f>
        <v>دسته غلطک لبه زن</v>
      </c>
      <c r="G1050" s="1" t="str">
        <f>"عدد"</f>
        <v>عدد</v>
      </c>
      <c r="H1050" s="1">
        <v>0</v>
      </c>
      <c r="I1050" s="1">
        <v>0</v>
      </c>
      <c r="J1050" s="1">
        <v>7</v>
      </c>
      <c r="K1050" s="1">
        <v>700000</v>
      </c>
      <c r="L1050" s="1">
        <v>0</v>
      </c>
      <c r="M1050" s="1">
        <v>0</v>
      </c>
      <c r="O1050" s="1">
        <v>97</v>
      </c>
      <c r="P1050" s="4">
        <f t="shared" si="48"/>
        <v>700000</v>
      </c>
      <c r="Q1050" s="4">
        <f t="shared" si="49"/>
        <v>7</v>
      </c>
      <c r="R1050" s="4">
        <f t="shared" si="50"/>
        <v>100000</v>
      </c>
    </row>
    <row r="1051" spans="1:18">
      <c r="A1051" s="1">
        <v>2</v>
      </c>
      <c r="B1051" s="1" t="str">
        <f>"قطعات و لوازم يدكي"</f>
        <v>قطعات و لوازم يدكي</v>
      </c>
      <c r="C1051" s="1">
        <v>120</v>
      </c>
      <c r="D1051" s="1" t="str">
        <f>"انبار قطعات و لوازم يدكي بشکه سازي اصفهان"</f>
        <v>انبار قطعات و لوازم يدكي بشکه سازي اصفهان</v>
      </c>
      <c r="E1051" s="1" t="str">
        <f>"4211700151"</f>
        <v>4211700151</v>
      </c>
      <c r="F1051" s="1" t="str">
        <f>"بلبرينگ چرخ جلو تراکتور فرگوسن کوچک الماني"</f>
        <v>بلبرينگ چرخ جلو تراکتور فرگوسن کوچک الماني</v>
      </c>
      <c r="G1051" s="1" t="str">
        <f>"عدد"</f>
        <v>عدد</v>
      </c>
      <c r="H1051" s="1">
        <v>0</v>
      </c>
      <c r="I1051" s="1">
        <v>0</v>
      </c>
      <c r="J1051" s="1">
        <v>6</v>
      </c>
      <c r="K1051" s="1">
        <v>2880000</v>
      </c>
      <c r="L1051" s="1">
        <v>4</v>
      </c>
      <c r="M1051" s="1">
        <v>1920000</v>
      </c>
      <c r="O1051" s="1">
        <v>97</v>
      </c>
      <c r="P1051" s="4">
        <f t="shared" si="48"/>
        <v>960000</v>
      </c>
      <c r="Q1051" s="4">
        <f t="shared" si="49"/>
        <v>2</v>
      </c>
      <c r="R1051" s="4">
        <f t="shared" si="50"/>
        <v>480000</v>
      </c>
    </row>
    <row r="1052" spans="1:18">
      <c r="A1052" s="1">
        <v>2</v>
      </c>
      <c r="B1052" s="1" t="str">
        <f>"قطعات و لوازم يدكي"</f>
        <v>قطعات و لوازم يدكي</v>
      </c>
      <c r="C1052" s="1">
        <v>120</v>
      </c>
      <c r="D1052" s="1" t="str">
        <f>"انبار قطعات و لوازم يدكي بشکه سازي اصفهان"</f>
        <v>انبار قطعات و لوازم يدكي بشکه سازي اصفهان</v>
      </c>
      <c r="E1052" s="1" t="str">
        <f>"4211700158"</f>
        <v>4211700158</v>
      </c>
      <c r="F1052" s="1" t="str">
        <f>"درجه باد"</f>
        <v>درجه باد</v>
      </c>
      <c r="G1052" s="1" t="str">
        <f>"عدد"</f>
        <v>عدد</v>
      </c>
      <c r="H1052" s="1">
        <v>0</v>
      </c>
      <c r="I1052" s="1">
        <v>0</v>
      </c>
      <c r="J1052" s="1">
        <v>4</v>
      </c>
      <c r="K1052" s="1">
        <v>1200000</v>
      </c>
      <c r="L1052" s="1">
        <v>0</v>
      </c>
      <c r="M1052" s="1">
        <v>0</v>
      </c>
      <c r="O1052" s="1">
        <v>97</v>
      </c>
      <c r="P1052" s="4">
        <f t="shared" si="48"/>
        <v>1200000</v>
      </c>
      <c r="Q1052" s="4">
        <f t="shared" si="49"/>
        <v>4</v>
      </c>
      <c r="R1052" s="4">
        <f t="shared" si="50"/>
        <v>300000</v>
      </c>
    </row>
    <row r="1053" spans="1:18">
      <c r="A1053" s="1">
        <v>2</v>
      </c>
      <c r="B1053" s="1" t="str">
        <f>"قطعات و لوازم يدكي"</f>
        <v>قطعات و لوازم يدكي</v>
      </c>
      <c r="C1053" s="1">
        <v>120</v>
      </c>
      <c r="D1053" s="1" t="str">
        <f>"انبار قطعات و لوازم يدكي بشکه سازي اصفهان"</f>
        <v>انبار قطعات و لوازم يدكي بشکه سازي اصفهان</v>
      </c>
      <c r="E1053" s="1" t="str">
        <f>"4211700162"</f>
        <v>4211700162</v>
      </c>
      <c r="F1053" s="1" t="str">
        <f>"کاسه نمد 10-65-50"</f>
        <v>کاسه نمد 10-65-50</v>
      </c>
      <c r="G1053" s="1" t="str">
        <f>"عدد"</f>
        <v>عدد</v>
      </c>
      <c r="H1053" s="1">
        <v>0</v>
      </c>
      <c r="I1053" s="1">
        <v>0</v>
      </c>
      <c r="J1053" s="1">
        <v>1</v>
      </c>
      <c r="K1053" s="1">
        <v>80000</v>
      </c>
      <c r="L1053" s="1">
        <v>0</v>
      </c>
      <c r="M1053" s="1">
        <v>0</v>
      </c>
      <c r="O1053" s="1">
        <v>97</v>
      </c>
      <c r="P1053" s="4">
        <f t="shared" si="48"/>
        <v>80000</v>
      </c>
      <c r="Q1053" s="4">
        <f t="shared" si="49"/>
        <v>1</v>
      </c>
      <c r="R1053" s="4">
        <f t="shared" si="50"/>
        <v>80000</v>
      </c>
    </row>
    <row r="1054" spans="1:18">
      <c r="A1054" s="1">
        <v>2</v>
      </c>
      <c r="B1054" s="1" t="str">
        <f>"قطعات و لوازم يدكي"</f>
        <v>قطعات و لوازم يدكي</v>
      </c>
      <c r="C1054" s="1">
        <v>120</v>
      </c>
      <c r="D1054" s="1" t="str">
        <f>"انبار قطعات و لوازم يدكي بشکه سازي اصفهان"</f>
        <v>انبار قطعات و لوازم يدكي بشکه سازي اصفهان</v>
      </c>
      <c r="E1054" s="1" t="str">
        <f>"4211700183"</f>
        <v>4211700183</v>
      </c>
      <c r="F1054" s="1" t="str">
        <f>"شصتي کله قارچي"</f>
        <v>شصتي کله قارچي</v>
      </c>
      <c r="G1054" s="1" t="str">
        <f>"عدد"</f>
        <v>عدد</v>
      </c>
      <c r="H1054" s="1">
        <v>0</v>
      </c>
      <c r="I1054" s="1">
        <v>0</v>
      </c>
      <c r="J1054" s="1">
        <v>7</v>
      </c>
      <c r="K1054" s="1">
        <v>2730000</v>
      </c>
      <c r="L1054" s="1">
        <v>0</v>
      </c>
      <c r="M1054" s="1">
        <v>0</v>
      </c>
      <c r="O1054" s="1">
        <v>97</v>
      </c>
      <c r="P1054" s="4">
        <f t="shared" si="48"/>
        <v>2730000</v>
      </c>
      <c r="Q1054" s="4">
        <f t="shared" si="49"/>
        <v>7</v>
      </c>
      <c r="R1054" s="4">
        <f t="shared" si="50"/>
        <v>390000</v>
      </c>
    </row>
    <row r="1055" spans="1:18">
      <c r="A1055" s="1">
        <v>2</v>
      </c>
      <c r="B1055" s="1" t="str">
        <f>"قطعات و لوازم يدكي"</f>
        <v>قطعات و لوازم يدكي</v>
      </c>
      <c r="C1055" s="1">
        <v>120</v>
      </c>
      <c r="D1055" s="1" t="str">
        <f>"انبار قطعات و لوازم يدكي بشکه سازي اصفهان"</f>
        <v>انبار قطعات و لوازم يدكي بشکه سازي اصفهان</v>
      </c>
      <c r="E1055" s="1" t="str">
        <f>"4211700196"</f>
        <v>4211700196</v>
      </c>
      <c r="F1055" s="1" t="str">
        <f>"پکينگ جک 160"</f>
        <v>پکينگ جک 160</v>
      </c>
      <c r="G1055" s="1" t="str">
        <f>"دست"</f>
        <v>دست</v>
      </c>
      <c r="H1055" s="1">
        <v>0</v>
      </c>
      <c r="I1055" s="1">
        <v>0</v>
      </c>
      <c r="J1055" s="1">
        <v>1</v>
      </c>
      <c r="K1055" s="1">
        <v>800000</v>
      </c>
      <c r="L1055" s="1">
        <v>0</v>
      </c>
      <c r="M1055" s="1">
        <v>0</v>
      </c>
      <c r="O1055" s="1">
        <v>97</v>
      </c>
      <c r="P1055" s="4">
        <f t="shared" si="48"/>
        <v>800000</v>
      </c>
      <c r="Q1055" s="4">
        <f t="shared" si="49"/>
        <v>1</v>
      </c>
      <c r="R1055" s="4">
        <f t="shared" si="50"/>
        <v>800000</v>
      </c>
    </row>
    <row r="1056" spans="1:18" hidden="1">
      <c r="A1056" s="1">
        <v>2</v>
      </c>
      <c r="B1056" s="1" t="str">
        <f>"قطعات و لوازم يدكي"</f>
        <v>قطعات و لوازم يدكي</v>
      </c>
      <c r="C1056" s="1">
        <v>120</v>
      </c>
      <c r="D1056" s="1" t="str">
        <f>"انبار قطعات و لوازم يدكي بشکه سازي اصفهان"</f>
        <v>انبار قطعات و لوازم يدكي بشکه سازي اصفهان</v>
      </c>
      <c r="E1056" s="1" t="str">
        <f>"4311700013"</f>
        <v>4311700013</v>
      </c>
      <c r="F1056" s="1" t="str">
        <f>"چسب 1و2و3"</f>
        <v>چسب 1و2و3</v>
      </c>
      <c r="G1056" s="1" t="str">
        <f>"عدد"</f>
        <v>عدد</v>
      </c>
      <c r="H1056" s="1">
        <v>0</v>
      </c>
      <c r="I1056" s="1">
        <v>0</v>
      </c>
      <c r="J1056" s="1">
        <v>2</v>
      </c>
      <c r="K1056" s="1">
        <v>230000</v>
      </c>
      <c r="L1056" s="1">
        <v>2</v>
      </c>
      <c r="M1056" s="1">
        <v>230000</v>
      </c>
      <c r="O1056" s="1">
        <v>97</v>
      </c>
      <c r="P1056" s="1">
        <f t="shared" si="48"/>
        <v>0</v>
      </c>
      <c r="Q1056" s="1">
        <f t="shared" si="49"/>
        <v>0</v>
      </c>
      <c r="R1056" s="1" t="e">
        <f t="shared" si="50"/>
        <v>#DIV/0!</v>
      </c>
    </row>
    <row r="1057" spans="1:18">
      <c r="A1057" s="1">
        <v>2</v>
      </c>
      <c r="B1057" s="1" t="str">
        <f>"قطعات و لوازم يدكي"</f>
        <v>قطعات و لوازم يدكي</v>
      </c>
      <c r="C1057" s="1">
        <v>120</v>
      </c>
      <c r="D1057" s="1" t="str">
        <f>"انبار قطعات و لوازم يدكي بشکه سازي اصفهان"</f>
        <v>انبار قطعات و لوازم يدكي بشکه سازي اصفهان</v>
      </c>
      <c r="E1057" s="1" t="str">
        <f>"4311700014"</f>
        <v>4311700014</v>
      </c>
      <c r="F1057" s="1" t="str">
        <f>"چسب پي وي سي فشار قوي ."</f>
        <v>چسب پي وي سي فشار قوي .</v>
      </c>
      <c r="G1057" s="1" t="str">
        <f>"عدد"</f>
        <v>عدد</v>
      </c>
      <c r="H1057" s="1">
        <v>0</v>
      </c>
      <c r="I1057" s="1">
        <v>0</v>
      </c>
      <c r="J1057" s="1">
        <v>1</v>
      </c>
      <c r="K1057" s="1">
        <v>100000</v>
      </c>
      <c r="L1057" s="1">
        <v>0</v>
      </c>
      <c r="M1057" s="1">
        <v>0</v>
      </c>
      <c r="O1057" s="1">
        <v>97</v>
      </c>
      <c r="P1057" s="4">
        <f t="shared" si="48"/>
        <v>100000</v>
      </c>
      <c r="Q1057" s="4">
        <f t="shared" si="49"/>
        <v>1</v>
      </c>
      <c r="R1057" s="4">
        <f t="shared" si="50"/>
        <v>100000</v>
      </c>
    </row>
    <row r="1058" spans="1:18">
      <c r="A1058" s="1">
        <v>2</v>
      </c>
      <c r="B1058" s="1" t="str">
        <f>"قطعات و لوازم يدكي"</f>
        <v>قطعات و لوازم يدكي</v>
      </c>
      <c r="C1058" s="1">
        <v>120</v>
      </c>
      <c r="D1058" s="1" t="str">
        <f>"انبار قطعات و لوازم يدكي بشکه سازي اصفهان"</f>
        <v>انبار قطعات و لوازم يدكي بشکه سازي اصفهان</v>
      </c>
      <c r="E1058" s="1" t="str">
        <f>"4311700022"</f>
        <v>4311700022</v>
      </c>
      <c r="F1058" s="1" t="str">
        <f>"مته آهن سايز 10"</f>
        <v>مته آهن سايز 10</v>
      </c>
      <c r="G1058" s="1" t="str">
        <f>"عدد"</f>
        <v>عدد</v>
      </c>
      <c r="H1058" s="1">
        <v>0</v>
      </c>
      <c r="I1058" s="1">
        <v>0</v>
      </c>
      <c r="J1058" s="1">
        <v>16</v>
      </c>
      <c r="K1058" s="1">
        <v>480000</v>
      </c>
      <c r="L1058" s="1">
        <v>0</v>
      </c>
      <c r="M1058" s="1">
        <v>0</v>
      </c>
      <c r="O1058" s="1">
        <v>97</v>
      </c>
      <c r="P1058" s="4">
        <f t="shared" si="48"/>
        <v>480000</v>
      </c>
      <c r="Q1058" s="4">
        <f t="shared" si="49"/>
        <v>16</v>
      </c>
      <c r="R1058" s="4">
        <f t="shared" si="50"/>
        <v>30000</v>
      </c>
    </row>
    <row r="1059" spans="1:18">
      <c r="A1059" s="1">
        <v>2</v>
      </c>
      <c r="B1059" s="1" t="str">
        <f>"قطعات و لوازم يدكي"</f>
        <v>قطعات و لوازم يدكي</v>
      </c>
      <c r="C1059" s="1">
        <v>120</v>
      </c>
      <c r="D1059" s="1" t="str">
        <f>"انبار قطعات و لوازم يدكي بشکه سازي اصفهان"</f>
        <v>انبار قطعات و لوازم يدكي بشکه سازي اصفهان</v>
      </c>
      <c r="E1059" s="1" t="str">
        <f>"4311700034"</f>
        <v>4311700034</v>
      </c>
      <c r="F1059" s="1" t="str">
        <f>"صفحه سمباده ميني سنگ"</f>
        <v>صفحه سمباده ميني سنگ</v>
      </c>
      <c r="G1059" s="1" t="str">
        <f>"عدد"</f>
        <v>عدد</v>
      </c>
      <c r="H1059" s="1">
        <v>0</v>
      </c>
      <c r="I1059" s="1">
        <v>0</v>
      </c>
      <c r="J1059" s="1">
        <v>25</v>
      </c>
      <c r="K1059" s="1">
        <v>750000</v>
      </c>
      <c r="L1059" s="1">
        <v>0</v>
      </c>
      <c r="M1059" s="1">
        <v>0</v>
      </c>
      <c r="O1059" s="1">
        <v>97</v>
      </c>
      <c r="P1059" s="4">
        <f t="shared" si="48"/>
        <v>750000</v>
      </c>
      <c r="Q1059" s="4">
        <f t="shared" si="49"/>
        <v>25</v>
      </c>
      <c r="R1059" s="4">
        <f t="shared" si="50"/>
        <v>30000</v>
      </c>
    </row>
    <row r="1060" spans="1:18">
      <c r="A1060" s="1">
        <v>2</v>
      </c>
      <c r="B1060" s="1" t="str">
        <f>"قطعات و لوازم يدكي"</f>
        <v>قطعات و لوازم يدكي</v>
      </c>
      <c r="C1060" s="1">
        <v>101</v>
      </c>
      <c r="D1060" s="1" t="str">
        <f>"انبار قطعات و لوازم يدكي اصفهان"</f>
        <v>انبار قطعات و لوازم يدكي اصفهان</v>
      </c>
      <c r="E1060" s="1" t="str">
        <f>"5923784233"</f>
        <v>5923784233</v>
      </c>
      <c r="F1060" s="1" t="str">
        <f>"سلرينگ"</f>
        <v>سلرينگ</v>
      </c>
      <c r="G1060" s="1" t="str">
        <f>"عدد"</f>
        <v>عدد</v>
      </c>
      <c r="H1060" s="1">
        <v>1</v>
      </c>
      <c r="I1060" s="1">
        <v>2142</v>
      </c>
      <c r="J1060" s="1">
        <v>0</v>
      </c>
      <c r="K1060" s="1">
        <v>0</v>
      </c>
      <c r="L1060" s="1">
        <v>0</v>
      </c>
      <c r="M1060" s="1">
        <v>0</v>
      </c>
      <c r="O1060" s="1">
        <v>97</v>
      </c>
      <c r="P1060" s="4">
        <f t="shared" si="48"/>
        <v>2142</v>
      </c>
      <c r="Q1060" s="4">
        <f t="shared" si="49"/>
        <v>1</v>
      </c>
      <c r="R1060" s="4">
        <f t="shared" si="50"/>
        <v>2142</v>
      </c>
    </row>
    <row r="1061" spans="1:18">
      <c r="A1061" s="1">
        <v>2</v>
      </c>
      <c r="B1061" s="1" t="str">
        <f>"قطعات و لوازم يدكي"</f>
        <v>قطعات و لوازم يدكي</v>
      </c>
      <c r="C1061" s="1">
        <v>101</v>
      </c>
      <c r="D1061" s="1" t="str">
        <f>"انبار قطعات و لوازم يدكي اصفهان"</f>
        <v>انبار قطعات و لوازم يدكي اصفهان</v>
      </c>
      <c r="E1061" s="1" t="str">
        <f>"6000000103"</f>
        <v>6000000103</v>
      </c>
      <c r="F1061" s="1" t="str">
        <f>"چشم الکترونيکي UVS 10"</f>
        <v>چشم الکترونيکي UVS 10</v>
      </c>
      <c r="G1061" s="1" t="str">
        <f>"عدد"</f>
        <v>عدد</v>
      </c>
      <c r="H1061" s="1">
        <v>8</v>
      </c>
      <c r="I1061" s="1">
        <v>110800000</v>
      </c>
      <c r="J1061" s="1">
        <v>0</v>
      </c>
      <c r="K1061" s="1">
        <v>0</v>
      </c>
      <c r="L1061" s="1">
        <v>0</v>
      </c>
      <c r="M1061" s="1">
        <v>0</v>
      </c>
      <c r="O1061" s="1">
        <v>97</v>
      </c>
      <c r="P1061" s="4">
        <f t="shared" si="48"/>
        <v>110800000</v>
      </c>
      <c r="Q1061" s="4">
        <f t="shared" si="49"/>
        <v>8</v>
      </c>
      <c r="R1061" s="4">
        <f t="shared" si="50"/>
        <v>13850000</v>
      </c>
    </row>
    <row r="1062" spans="1:18">
      <c r="A1062" s="1">
        <v>2</v>
      </c>
      <c r="B1062" s="1" t="str">
        <f>"قطعات و لوازم يدكي"</f>
        <v>قطعات و لوازم يدكي</v>
      </c>
      <c r="C1062" s="1">
        <v>101</v>
      </c>
      <c r="D1062" s="1" t="str">
        <f>"انبار قطعات و لوازم يدكي اصفهان"</f>
        <v>انبار قطعات و لوازم يدكي اصفهان</v>
      </c>
      <c r="E1062" s="1" t="str">
        <f>"6000000113"</f>
        <v>6000000113</v>
      </c>
      <c r="F1062" s="1" t="str">
        <f>"رله کروم IFW 15"</f>
        <v>رله کروم IFW 15</v>
      </c>
      <c r="G1062" s="1" t="str">
        <f>"عدد"</f>
        <v>عدد</v>
      </c>
      <c r="H1062" s="1">
        <v>3</v>
      </c>
      <c r="I1062" s="1">
        <v>28800000</v>
      </c>
      <c r="J1062" s="1">
        <v>0</v>
      </c>
      <c r="K1062" s="1">
        <v>0</v>
      </c>
      <c r="L1062" s="1">
        <v>0</v>
      </c>
      <c r="M1062" s="1">
        <v>0</v>
      </c>
      <c r="O1062" s="1">
        <v>97</v>
      </c>
      <c r="P1062" s="4">
        <f t="shared" si="48"/>
        <v>28800000</v>
      </c>
      <c r="Q1062" s="4">
        <f t="shared" si="49"/>
        <v>3</v>
      </c>
      <c r="R1062" s="4">
        <f t="shared" si="50"/>
        <v>9600000</v>
      </c>
    </row>
    <row r="1063" spans="1:18" hidden="1">
      <c r="A1063" s="1">
        <v>2</v>
      </c>
      <c r="B1063" s="1" t="str">
        <f>"قطعات و لوازم يدكي"</f>
        <v>قطعات و لوازم يدكي</v>
      </c>
      <c r="C1063" s="1">
        <v>101</v>
      </c>
      <c r="D1063" s="1" t="str">
        <f>"انبار قطعات و لوازم يدكي اصفهان"</f>
        <v>انبار قطعات و لوازم يدكي اصفهان</v>
      </c>
      <c r="E1063" s="1" t="str">
        <f>"6000000153"</f>
        <v>6000000153</v>
      </c>
      <c r="F1063" s="1" t="str">
        <f>"Pressure Switch 20R  new-flow"</f>
        <v>Pressure Switch 20R  new-flow</v>
      </c>
      <c r="G1063" s="1" t="str">
        <f>"عدد"</f>
        <v>عدد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O1063" s="1">
        <v>97</v>
      </c>
      <c r="P1063" s="1">
        <f t="shared" si="48"/>
        <v>0</v>
      </c>
      <c r="Q1063" s="1">
        <f t="shared" si="49"/>
        <v>0</v>
      </c>
      <c r="R1063" s="1" t="e">
        <f t="shared" si="50"/>
        <v>#DIV/0!</v>
      </c>
    </row>
    <row r="1064" spans="1:18">
      <c r="A1064" s="1">
        <v>2</v>
      </c>
      <c r="B1064" s="1" t="str">
        <f>"قطعات و لوازم يدكي"</f>
        <v>قطعات و لوازم يدكي</v>
      </c>
      <c r="C1064" s="1">
        <v>101</v>
      </c>
      <c r="D1064" s="1" t="str">
        <f>"انبار قطعات و لوازم يدكي اصفهان"</f>
        <v>انبار قطعات و لوازم يدكي اصفهان</v>
      </c>
      <c r="E1064" s="1" t="str">
        <f>"6001020053"</f>
        <v>6001020053</v>
      </c>
      <c r="F1064" s="1" t="str">
        <f>"Diaphragm Size 30cm Fisher"</f>
        <v>Diaphragm Size 30cm Fisher</v>
      </c>
      <c r="G1064" s="1" t="str">
        <f>"عدد"</f>
        <v>عدد</v>
      </c>
      <c r="H1064" s="1">
        <v>2</v>
      </c>
      <c r="I1064" s="1">
        <v>3000000</v>
      </c>
      <c r="J1064" s="1">
        <v>2</v>
      </c>
      <c r="K1064" s="1">
        <v>4900000</v>
      </c>
      <c r="L1064" s="1">
        <v>1</v>
      </c>
      <c r="M1064" s="1">
        <v>1500000</v>
      </c>
      <c r="O1064" s="1">
        <v>97</v>
      </c>
      <c r="P1064" s="4">
        <f t="shared" si="48"/>
        <v>6400000</v>
      </c>
      <c r="Q1064" s="4">
        <f t="shared" si="49"/>
        <v>3</v>
      </c>
      <c r="R1064" s="4">
        <f t="shared" si="50"/>
        <v>2133333.3333333335</v>
      </c>
    </row>
    <row r="1065" spans="1:18">
      <c r="A1065" s="1">
        <v>2</v>
      </c>
      <c r="B1065" s="1" t="str">
        <f>"قطعات و لوازم يدكي"</f>
        <v>قطعات و لوازم يدكي</v>
      </c>
      <c r="C1065" s="1">
        <v>101</v>
      </c>
      <c r="D1065" s="1" t="str">
        <f>"انبار قطعات و لوازم يدكي اصفهان"</f>
        <v>انبار قطعات و لوازم يدكي اصفهان</v>
      </c>
      <c r="E1065" s="1" t="str">
        <f>"6018613973"</f>
        <v>6018613973</v>
      </c>
      <c r="F1065" s="1" t="str">
        <f>"ترانسميتر 2تا10بار"</f>
        <v>ترانسميتر 2تا10بار</v>
      </c>
      <c r="G1065" s="1" t="str">
        <f>"عدد"</f>
        <v>عدد</v>
      </c>
      <c r="H1065" s="1">
        <v>2</v>
      </c>
      <c r="I1065" s="1">
        <v>16440000</v>
      </c>
      <c r="J1065" s="1">
        <v>0</v>
      </c>
      <c r="K1065" s="1">
        <v>0</v>
      </c>
      <c r="L1065" s="1">
        <v>0</v>
      </c>
      <c r="M1065" s="1">
        <v>0</v>
      </c>
      <c r="O1065" s="1">
        <v>97</v>
      </c>
      <c r="P1065" s="4">
        <f t="shared" si="48"/>
        <v>16440000</v>
      </c>
      <c r="Q1065" s="4">
        <f t="shared" si="49"/>
        <v>2</v>
      </c>
      <c r="R1065" s="4">
        <f t="shared" si="50"/>
        <v>8220000</v>
      </c>
    </row>
    <row r="1066" spans="1:18">
      <c r="A1066" s="1">
        <v>2</v>
      </c>
      <c r="B1066" s="1" t="str">
        <f>"قطعات و لوازم يدكي"</f>
        <v>قطعات و لوازم يدكي</v>
      </c>
      <c r="C1066" s="1">
        <v>101</v>
      </c>
      <c r="D1066" s="1" t="str">
        <f>"انبار قطعات و لوازم يدكي اصفهان"</f>
        <v>انبار قطعات و لوازم يدكي اصفهان</v>
      </c>
      <c r="E1066" s="1" t="str">
        <f>"6049210012"</f>
        <v>6049210012</v>
      </c>
      <c r="F1066" s="1" t="str">
        <f>"چارت بارتون 0-10       0-100"</f>
        <v>چارت بارتون 0-10       0-100</v>
      </c>
      <c r="G1066" s="1" t="str">
        <f>"عدد"</f>
        <v>عدد</v>
      </c>
      <c r="H1066" s="1">
        <v>300</v>
      </c>
      <c r="I1066" s="1">
        <v>31074980</v>
      </c>
      <c r="J1066" s="1">
        <v>0</v>
      </c>
      <c r="K1066" s="1">
        <v>0</v>
      </c>
      <c r="L1066" s="1">
        <v>100</v>
      </c>
      <c r="M1066" s="1">
        <v>10358327</v>
      </c>
      <c r="O1066" s="1">
        <v>97</v>
      </c>
      <c r="P1066" s="4">
        <f t="shared" si="48"/>
        <v>20716653</v>
      </c>
      <c r="Q1066" s="4">
        <f t="shared" si="49"/>
        <v>200</v>
      </c>
      <c r="R1066" s="4">
        <f t="shared" si="50"/>
        <v>103583.265</v>
      </c>
    </row>
    <row r="1067" spans="1:18">
      <c r="A1067" s="1">
        <v>2</v>
      </c>
      <c r="B1067" s="1" t="str">
        <f>"قطعات و لوازم يدكي"</f>
        <v>قطعات و لوازم يدكي</v>
      </c>
      <c r="C1067" s="1">
        <v>101</v>
      </c>
      <c r="D1067" s="1" t="str">
        <f>"انبار قطعات و لوازم يدكي اصفهان"</f>
        <v>انبار قطعات و لوازم يدكي اصفهان</v>
      </c>
      <c r="E1067" s="1" t="str">
        <f>"6050179202"</f>
        <v>6050179202</v>
      </c>
      <c r="F1067" s="1" t="str">
        <f>"ترمومتر mm6 1/2  0-400 طول 36cm"</f>
        <v>ترمومتر mm6 1/2  0-400 طول 36cm</v>
      </c>
      <c r="G1067" s="1" t="str">
        <f>"عدد"</f>
        <v>عدد</v>
      </c>
      <c r="H1067" s="1">
        <v>4</v>
      </c>
      <c r="I1067" s="1">
        <v>28520000</v>
      </c>
      <c r="J1067" s="1">
        <v>0</v>
      </c>
      <c r="K1067" s="1">
        <v>0</v>
      </c>
      <c r="L1067" s="1">
        <v>0</v>
      </c>
      <c r="M1067" s="1">
        <v>0</v>
      </c>
      <c r="O1067" s="1">
        <v>97</v>
      </c>
      <c r="P1067" s="4">
        <f t="shared" si="48"/>
        <v>28520000</v>
      </c>
      <c r="Q1067" s="4">
        <f t="shared" si="49"/>
        <v>4</v>
      </c>
      <c r="R1067" s="4">
        <f t="shared" si="50"/>
        <v>7130000</v>
      </c>
    </row>
    <row r="1068" spans="1:18">
      <c r="A1068" s="1">
        <v>2</v>
      </c>
      <c r="B1068" s="1" t="str">
        <f>"قطعات و لوازم يدكي"</f>
        <v>قطعات و لوازم يدكي</v>
      </c>
      <c r="C1068" s="1">
        <v>101</v>
      </c>
      <c r="D1068" s="1" t="str">
        <f>"انبار قطعات و لوازم يدكي اصفهان"</f>
        <v>انبار قطعات و لوازم يدكي اصفهان</v>
      </c>
      <c r="E1068" s="1" t="str">
        <f>"6050179302"</f>
        <v>6050179302</v>
      </c>
      <c r="F1068" s="1" t="str">
        <f>"دماسنج 6mm1/2 0-400"</f>
        <v>دماسنج 6mm1/2 0-400</v>
      </c>
      <c r="G1068" s="1" t="str">
        <f>"عدد"</f>
        <v>عدد</v>
      </c>
      <c r="H1068" s="1">
        <v>1</v>
      </c>
      <c r="I1068" s="1">
        <v>1300000</v>
      </c>
      <c r="J1068" s="1">
        <v>0</v>
      </c>
      <c r="K1068" s="1">
        <v>0</v>
      </c>
      <c r="L1068" s="1">
        <v>0</v>
      </c>
      <c r="M1068" s="1">
        <v>0</v>
      </c>
      <c r="O1068" s="1">
        <v>97</v>
      </c>
      <c r="P1068" s="4">
        <f t="shared" si="48"/>
        <v>1300000</v>
      </c>
      <c r="Q1068" s="4">
        <f t="shared" si="49"/>
        <v>1</v>
      </c>
      <c r="R1068" s="4">
        <f t="shared" si="50"/>
        <v>1300000</v>
      </c>
    </row>
    <row r="1069" spans="1:18">
      <c r="A1069" s="1">
        <v>2</v>
      </c>
      <c r="B1069" s="1" t="str">
        <f>"قطعات و لوازم يدكي"</f>
        <v>قطعات و لوازم يدكي</v>
      </c>
      <c r="C1069" s="1">
        <v>101</v>
      </c>
      <c r="D1069" s="1" t="str">
        <f>"انبار قطعات و لوازم يدكي اصفهان"</f>
        <v>انبار قطعات و لوازم يدكي اصفهان</v>
      </c>
      <c r="E1069" s="1" t="str">
        <f>"6050548242"</f>
        <v>6050548242</v>
      </c>
      <c r="F1069" s="1" t="str">
        <f>"گيج فشار 4-0 بار"</f>
        <v>گيج فشار 4-0 بار</v>
      </c>
      <c r="G1069" s="1" t="str">
        <f>"عدد"</f>
        <v>عدد</v>
      </c>
      <c r="H1069" s="1">
        <v>5</v>
      </c>
      <c r="I1069" s="1">
        <v>275000</v>
      </c>
      <c r="J1069" s="1">
        <v>0</v>
      </c>
      <c r="K1069" s="1">
        <v>0</v>
      </c>
      <c r="L1069" s="1">
        <v>0</v>
      </c>
      <c r="M1069" s="1">
        <v>0</v>
      </c>
      <c r="O1069" s="1">
        <v>97</v>
      </c>
      <c r="P1069" s="4">
        <f t="shared" si="48"/>
        <v>275000</v>
      </c>
      <c r="Q1069" s="4">
        <f t="shared" si="49"/>
        <v>5</v>
      </c>
      <c r="R1069" s="4">
        <f t="shared" si="50"/>
        <v>55000</v>
      </c>
    </row>
    <row r="1070" spans="1:18">
      <c r="A1070" s="1">
        <v>2</v>
      </c>
      <c r="B1070" s="1" t="str">
        <f>"قطعات و لوازم يدكي"</f>
        <v>قطعات و لوازم يدكي</v>
      </c>
      <c r="C1070" s="1">
        <v>101</v>
      </c>
      <c r="D1070" s="1" t="str">
        <f>"انبار قطعات و لوازم يدكي اصفهان"</f>
        <v>انبار قطعات و لوازم يدكي اصفهان</v>
      </c>
      <c r="E1070" s="1" t="str">
        <f>"6095401559"</f>
        <v>6095401559</v>
      </c>
      <c r="F1070" s="1" t="str">
        <f>"ليميت سوئيچ تايپ CLS204"</f>
        <v>ليميت سوئيچ تايپ CLS204</v>
      </c>
      <c r="G1070" s="1" t="str">
        <f>"عدد"</f>
        <v>عدد</v>
      </c>
      <c r="H1070" s="1">
        <v>1</v>
      </c>
      <c r="I1070" s="1">
        <v>2912000</v>
      </c>
      <c r="J1070" s="1">
        <v>0</v>
      </c>
      <c r="K1070" s="1">
        <v>0</v>
      </c>
      <c r="L1070" s="1">
        <v>0</v>
      </c>
      <c r="M1070" s="1">
        <v>0</v>
      </c>
      <c r="O1070" s="1">
        <v>97</v>
      </c>
      <c r="P1070" s="4">
        <f t="shared" si="48"/>
        <v>2912000</v>
      </c>
      <c r="Q1070" s="4">
        <f t="shared" si="49"/>
        <v>1</v>
      </c>
      <c r="R1070" s="4">
        <f t="shared" si="50"/>
        <v>2912000</v>
      </c>
    </row>
    <row r="1071" spans="1:18">
      <c r="A1071" s="1">
        <v>2</v>
      </c>
      <c r="B1071" s="1" t="str">
        <f>"قطعات و لوازم يدكي"</f>
        <v>قطعات و لوازم يدكي</v>
      </c>
      <c r="C1071" s="1">
        <v>101</v>
      </c>
      <c r="D1071" s="1" t="str">
        <f>"انبار قطعات و لوازم يدكي اصفهان"</f>
        <v>انبار قطعات و لوازم يدكي اصفهان</v>
      </c>
      <c r="E1071" s="1" t="str">
        <f>"6701010052"</f>
        <v>6701010052</v>
      </c>
      <c r="F1071" s="1" t="str">
        <f>"DC-diagonal copact fan"</f>
        <v>DC-diagonal copact fan</v>
      </c>
      <c r="G1071" s="1" t="str">
        <f>"دستگاه"</f>
        <v>دستگاه</v>
      </c>
      <c r="H1071" s="1">
        <v>2</v>
      </c>
      <c r="I1071" s="1">
        <v>3600000</v>
      </c>
      <c r="J1071" s="1">
        <v>2</v>
      </c>
      <c r="K1071" s="1">
        <v>4400000</v>
      </c>
      <c r="L1071" s="1">
        <v>1</v>
      </c>
      <c r="M1071" s="1">
        <v>1800000</v>
      </c>
      <c r="O1071" s="1">
        <v>97</v>
      </c>
      <c r="P1071" s="4">
        <f t="shared" si="48"/>
        <v>6200000</v>
      </c>
      <c r="Q1071" s="4">
        <f t="shared" si="49"/>
        <v>3</v>
      </c>
      <c r="R1071" s="4">
        <f t="shared" si="50"/>
        <v>2066666.6666666667</v>
      </c>
    </row>
    <row r="1072" spans="1:18">
      <c r="A1072" s="1">
        <v>2</v>
      </c>
      <c r="B1072" s="1" t="str">
        <f>"قطعات و لوازم يدكي"</f>
        <v>قطعات و لوازم يدكي</v>
      </c>
      <c r="C1072" s="1">
        <v>101</v>
      </c>
      <c r="D1072" s="1" t="str">
        <f>"انبار قطعات و لوازم يدكي اصفهان"</f>
        <v>انبار قطعات و لوازم يدكي اصفهان</v>
      </c>
      <c r="E1072" s="1" t="str">
        <f>"6711375022"</f>
        <v>6711375022</v>
      </c>
      <c r="F1072" s="1" t="str">
        <f>"کليد محافظ جان تک فاز 25A"</f>
        <v>کليد محافظ جان تک فاز 25A</v>
      </c>
      <c r="G1072" s="1" t="str">
        <f>"عدد"</f>
        <v>عدد</v>
      </c>
      <c r="H1072" s="1">
        <v>29</v>
      </c>
      <c r="I1072" s="1">
        <v>22910000</v>
      </c>
      <c r="J1072" s="1">
        <v>0</v>
      </c>
      <c r="K1072" s="1">
        <v>0</v>
      </c>
      <c r="L1072" s="1">
        <v>0</v>
      </c>
      <c r="M1072" s="1">
        <v>0</v>
      </c>
      <c r="O1072" s="1">
        <v>97</v>
      </c>
      <c r="P1072" s="4">
        <f t="shared" si="48"/>
        <v>22910000</v>
      </c>
      <c r="Q1072" s="4">
        <f t="shared" si="49"/>
        <v>29</v>
      </c>
      <c r="R1072" s="4">
        <f t="shared" si="50"/>
        <v>790000</v>
      </c>
    </row>
    <row r="1073" spans="1:18">
      <c r="A1073" s="1">
        <v>2</v>
      </c>
      <c r="B1073" s="1" t="str">
        <f>"قطعات و لوازم يدكي"</f>
        <v>قطعات و لوازم يدكي</v>
      </c>
      <c r="C1073" s="1">
        <v>101</v>
      </c>
      <c r="D1073" s="1" t="str">
        <f>"انبار قطعات و لوازم يدكي اصفهان"</f>
        <v>انبار قطعات و لوازم يدكي اصفهان</v>
      </c>
      <c r="E1073" s="1" t="str">
        <f>"6711381002"</f>
        <v>6711381002</v>
      </c>
      <c r="F1073" s="1" t="str">
        <f>"کليد محافظ جان سه فاز 25A"</f>
        <v>کليد محافظ جان سه فاز 25A</v>
      </c>
      <c r="G1073" s="1" t="str">
        <f>"عدد"</f>
        <v>عدد</v>
      </c>
      <c r="H1073" s="1">
        <v>1</v>
      </c>
      <c r="I1073" s="1">
        <v>1550000</v>
      </c>
      <c r="J1073" s="1">
        <v>0</v>
      </c>
      <c r="K1073" s="1">
        <v>0</v>
      </c>
      <c r="L1073" s="1">
        <v>0</v>
      </c>
      <c r="M1073" s="1">
        <v>0</v>
      </c>
      <c r="O1073" s="1">
        <v>97</v>
      </c>
      <c r="P1073" s="4">
        <f t="shared" si="48"/>
        <v>1550000</v>
      </c>
      <c r="Q1073" s="4">
        <f t="shared" si="49"/>
        <v>1</v>
      </c>
      <c r="R1073" s="4">
        <f t="shared" si="50"/>
        <v>1550000</v>
      </c>
    </row>
    <row r="1074" spans="1:18">
      <c r="A1074" s="1">
        <v>2</v>
      </c>
      <c r="B1074" s="1" t="str">
        <f>"قطعات و لوازم يدكي"</f>
        <v>قطعات و لوازم يدكي</v>
      </c>
      <c r="C1074" s="1">
        <v>101</v>
      </c>
      <c r="D1074" s="1" t="str">
        <f>"انبار قطعات و لوازم يدكي اصفهان"</f>
        <v>انبار قطعات و لوازم يدكي اصفهان</v>
      </c>
      <c r="E1074" s="1" t="str">
        <f>"6772902073"</f>
        <v>6772902073</v>
      </c>
      <c r="F1074" s="1" t="str">
        <f>"MODULE WR."</f>
        <v>MODULE WR.</v>
      </c>
      <c r="G1074" s="1" t="str">
        <f>"عدد"</f>
        <v>عدد</v>
      </c>
      <c r="H1074" s="1">
        <v>22</v>
      </c>
      <c r="I1074" s="1">
        <v>12938595</v>
      </c>
      <c r="J1074" s="1">
        <v>0</v>
      </c>
      <c r="K1074" s="1">
        <v>0</v>
      </c>
      <c r="L1074" s="1">
        <v>0</v>
      </c>
      <c r="M1074" s="1">
        <v>0</v>
      </c>
      <c r="O1074" s="1">
        <v>97</v>
      </c>
      <c r="P1074" s="4">
        <f t="shared" si="48"/>
        <v>12938595</v>
      </c>
      <c r="Q1074" s="4">
        <f t="shared" si="49"/>
        <v>22</v>
      </c>
      <c r="R1074" s="4">
        <f t="shared" si="50"/>
        <v>588117.95454545459</v>
      </c>
    </row>
    <row r="1075" spans="1:18" hidden="1">
      <c r="A1075" s="1">
        <v>2</v>
      </c>
      <c r="B1075" s="1" t="str">
        <f>"قطعات و لوازم يدكي"</f>
        <v>قطعات و لوازم يدكي</v>
      </c>
      <c r="C1075" s="1">
        <v>101</v>
      </c>
      <c r="D1075" s="1" t="str">
        <f>"انبار قطعات و لوازم يدكي اصفهان"</f>
        <v>انبار قطعات و لوازم يدكي اصفهان</v>
      </c>
      <c r="E1075" s="1" t="str">
        <f>"6800000022"</f>
        <v>6800000022</v>
      </c>
      <c r="F1075" s="1" t="str">
        <f>"کابلشوي 240"</f>
        <v>کابلشوي 240</v>
      </c>
      <c r="G1075" s="1" t="str">
        <f>"عدد"</f>
        <v>عدد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O1075" s="1">
        <v>97</v>
      </c>
      <c r="P1075" s="1">
        <f t="shared" si="48"/>
        <v>0</v>
      </c>
      <c r="Q1075" s="1">
        <f t="shared" si="49"/>
        <v>0</v>
      </c>
      <c r="R1075" s="1" t="e">
        <f t="shared" si="50"/>
        <v>#DIV/0!</v>
      </c>
    </row>
    <row r="1076" spans="1:18" hidden="1">
      <c r="A1076" s="1">
        <v>2</v>
      </c>
      <c r="B1076" s="1" t="str">
        <f>"قطعات و لوازم يدكي"</f>
        <v>قطعات و لوازم يدكي</v>
      </c>
      <c r="C1076" s="1">
        <v>101</v>
      </c>
      <c r="D1076" s="1" t="str">
        <f>"انبار قطعات و لوازم يدكي اصفهان"</f>
        <v>انبار قطعات و لوازم يدكي اصفهان</v>
      </c>
      <c r="E1076" s="1" t="str">
        <f>"6800000112"</f>
        <v>6800000112</v>
      </c>
      <c r="F1076" s="1" t="str">
        <f>"مفصل حرارتي 95+185*3   1KV"</f>
        <v>مفصل حرارتي 95+185*3   1KV</v>
      </c>
      <c r="G1076" s="1" t="str">
        <f>"عدد"</f>
        <v>عدد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O1076" s="1">
        <v>97</v>
      </c>
      <c r="P1076" s="1">
        <f t="shared" si="48"/>
        <v>0</v>
      </c>
      <c r="Q1076" s="1">
        <f t="shared" si="49"/>
        <v>0</v>
      </c>
      <c r="R1076" s="1" t="e">
        <f t="shared" si="50"/>
        <v>#DIV/0!</v>
      </c>
    </row>
    <row r="1077" spans="1:18" hidden="1">
      <c r="A1077" s="1">
        <v>2</v>
      </c>
      <c r="B1077" s="1" t="str">
        <f>"قطعات و لوازم يدكي"</f>
        <v>قطعات و لوازم يدكي</v>
      </c>
      <c r="C1077" s="1">
        <v>101</v>
      </c>
      <c r="D1077" s="1" t="str">
        <f>"انبار قطعات و لوازم يدكي اصفهان"</f>
        <v>انبار قطعات و لوازم يدكي اصفهان</v>
      </c>
      <c r="E1077" s="1" t="str">
        <f>"6800000122"</f>
        <v>6800000122</v>
      </c>
      <c r="F1077" s="1" t="str">
        <f>"سر سيم نمره 6 چشمي"</f>
        <v>سر سيم نمره 6 چشمي</v>
      </c>
      <c r="G1077" s="1" t="str">
        <f>"بسته"</f>
        <v>بسته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O1077" s="1">
        <v>97</v>
      </c>
      <c r="P1077" s="1">
        <f t="shared" si="48"/>
        <v>0</v>
      </c>
      <c r="Q1077" s="1">
        <f t="shared" si="49"/>
        <v>0</v>
      </c>
      <c r="R1077" s="1" t="e">
        <f t="shared" si="50"/>
        <v>#DIV/0!</v>
      </c>
    </row>
    <row r="1078" spans="1:18" hidden="1">
      <c r="A1078" s="1">
        <v>2</v>
      </c>
      <c r="B1078" s="1" t="str">
        <f>"قطعات و لوازم يدكي"</f>
        <v>قطعات و لوازم يدكي</v>
      </c>
      <c r="C1078" s="1">
        <v>101</v>
      </c>
      <c r="D1078" s="1" t="str">
        <f>"انبار قطعات و لوازم يدكي اصفهان"</f>
        <v>انبار قطعات و لوازم يدكي اصفهان</v>
      </c>
      <c r="E1078" s="1" t="str">
        <f>"6800000132"</f>
        <v>6800000132</v>
      </c>
      <c r="F1078" s="1" t="str">
        <f>"سر سيم نمره 4 چشمي"</f>
        <v>سر سيم نمره 4 چشمي</v>
      </c>
      <c r="G1078" s="1" t="str">
        <f>"بسته"</f>
        <v>بسته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O1078" s="1">
        <v>97</v>
      </c>
      <c r="P1078" s="1">
        <f t="shared" si="48"/>
        <v>0</v>
      </c>
      <c r="Q1078" s="1">
        <f t="shared" si="49"/>
        <v>0</v>
      </c>
      <c r="R1078" s="1" t="e">
        <f t="shared" si="50"/>
        <v>#DIV/0!</v>
      </c>
    </row>
    <row r="1079" spans="1:18" hidden="1">
      <c r="A1079" s="1">
        <v>2</v>
      </c>
      <c r="B1079" s="1" t="str">
        <f>"قطعات و لوازم يدكي"</f>
        <v>قطعات و لوازم يدكي</v>
      </c>
      <c r="C1079" s="1">
        <v>101</v>
      </c>
      <c r="D1079" s="1" t="str">
        <f>"انبار قطعات و لوازم يدكي اصفهان"</f>
        <v>انبار قطعات و لوازم يدكي اصفهان</v>
      </c>
      <c r="E1079" s="1" t="str">
        <f>"6800000212"</f>
        <v>6800000212</v>
      </c>
      <c r="F1079" s="1" t="str">
        <f>"GLAND 153 . SIZE M2-C"</f>
        <v>GLAND 153 . SIZE M2-C</v>
      </c>
      <c r="G1079" s="1" t="str">
        <f>"عدد"</f>
        <v>عدد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O1079" s="1">
        <v>97</v>
      </c>
      <c r="P1079" s="1">
        <f t="shared" si="48"/>
        <v>0</v>
      </c>
      <c r="Q1079" s="1">
        <f t="shared" si="49"/>
        <v>0</v>
      </c>
      <c r="R1079" s="1" t="e">
        <f t="shared" si="50"/>
        <v>#DIV/0!</v>
      </c>
    </row>
    <row r="1080" spans="1:18" hidden="1">
      <c r="A1080" s="1">
        <v>2</v>
      </c>
      <c r="B1080" s="1" t="str">
        <f>"قطعات و لوازم يدكي"</f>
        <v>قطعات و لوازم يدكي</v>
      </c>
      <c r="C1080" s="1">
        <v>101</v>
      </c>
      <c r="D1080" s="1" t="str">
        <f>"انبار قطعات و لوازم يدكي اصفهان"</f>
        <v>انبار قطعات و لوازم يدكي اصفهان</v>
      </c>
      <c r="E1080" s="1" t="str">
        <f>"6800000252"</f>
        <v>6800000252</v>
      </c>
      <c r="F1080" s="1" t="str">
        <f>"چراغ رفلکتوري اپولو M105 PSS 50 MH"</f>
        <v>چراغ رفلکتوري اپولو M105 PSS 50 MH</v>
      </c>
      <c r="G1080" s="1" t="str">
        <f>"عدد"</f>
        <v>عدد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O1080" s="1">
        <v>97</v>
      </c>
      <c r="P1080" s="1">
        <f t="shared" si="48"/>
        <v>0</v>
      </c>
      <c r="Q1080" s="1">
        <f t="shared" si="49"/>
        <v>0</v>
      </c>
      <c r="R1080" s="1" t="e">
        <f t="shared" si="50"/>
        <v>#DIV/0!</v>
      </c>
    </row>
    <row r="1081" spans="1:18" hidden="1">
      <c r="A1081" s="1">
        <v>2</v>
      </c>
      <c r="B1081" s="1" t="str">
        <f>"قطعات و لوازم يدكي"</f>
        <v>قطعات و لوازم يدكي</v>
      </c>
      <c r="C1081" s="1">
        <v>101</v>
      </c>
      <c r="D1081" s="1" t="str">
        <f>"انبار قطعات و لوازم يدكي اصفهان"</f>
        <v>انبار قطعات و لوازم يدكي اصفهان</v>
      </c>
      <c r="E1081" s="1" t="str">
        <f>"6800000292"</f>
        <v>6800000292</v>
      </c>
      <c r="F1081" s="1" t="str">
        <f>"AOG-60RPAGT/ARG60RUAK"</f>
        <v>AOG-60RPAGT/ARG60RUAK</v>
      </c>
      <c r="G1081" s="1" t="str">
        <f>"عدد"</f>
        <v>عدد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O1081" s="1">
        <v>97</v>
      </c>
      <c r="P1081" s="1">
        <f t="shared" si="48"/>
        <v>0</v>
      </c>
      <c r="Q1081" s="1">
        <f t="shared" si="49"/>
        <v>0</v>
      </c>
      <c r="R1081" s="1" t="e">
        <f t="shared" si="50"/>
        <v>#DIV/0!</v>
      </c>
    </row>
    <row r="1082" spans="1:18" hidden="1">
      <c r="A1082" s="1">
        <v>2</v>
      </c>
      <c r="B1082" s="1" t="str">
        <f>"قطعات و لوازم يدكي"</f>
        <v>قطعات و لوازم يدكي</v>
      </c>
      <c r="C1082" s="1">
        <v>101</v>
      </c>
      <c r="D1082" s="1" t="str">
        <f>"انبار قطعات و لوازم يدكي اصفهان"</f>
        <v>انبار قطعات و لوازم يدكي اصفهان</v>
      </c>
      <c r="E1082" s="1" t="str">
        <f>"6800000322"</f>
        <v>6800000322</v>
      </c>
      <c r="F1082" s="1" t="str">
        <f>"زانوي درب دار کاندوئيت PG21"</f>
        <v>زانوي درب دار کاندوئيت PG21</v>
      </c>
      <c r="G1082" s="1" t="str">
        <f>"عدد"</f>
        <v>عدد</v>
      </c>
      <c r="H1082" s="1">
        <v>0</v>
      </c>
      <c r="I1082" s="1">
        <v>0</v>
      </c>
      <c r="J1082" s="1">
        <v>40</v>
      </c>
      <c r="K1082" s="1">
        <v>1760000</v>
      </c>
      <c r="L1082" s="1">
        <v>40</v>
      </c>
      <c r="M1082" s="1">
        <v>1760000</v>
      </c>
      <c r="O1082" s="1">
        <v>97</v>
      </c>
      <c r="P1082" s="1">
        <f t="shared" si="48"/>
        <v>0</v>
      </c>
      <c r="Q1082" s="1">
        <f t="shared" si="49"/>
        <v>0</v>
      </c>
      <c r="R1082" s="1" t="e">
        <f t="shared" si="50"/>
        <v>#DIV/0!</v>
      </c>
    </row>
    <row r="1083" spans="1:18" hidden="1">
      <c r="A1083" s="1">
        <v>2</v>
      </c>
      <c r="B1083" s="1" t="str">
        <f>"قطعات و لوازم يدكي"</f>
        <v>قطعات و لوازم يدكي</v>
      </c>
      <c r="C1083" s="1">
        <v>101</v>
      </c>
      <c r="D1083" s="1" t="str">
        <f>"انبار قطعات و لوازم يدكي اصفهان"</f>
        <v>انبار قطعات و لوازم يدكي اصفهان</v>
      </c>
      <c r="E1083" s="1" t="str">
        <f>"6800000332"</f>
        <v>6800000332</v>
      </c>
      <c r="F1083" s="1" t="str">
        <f>"سه راهي کاندوئيت"</f>
        <v>سه راهي کاندوئيت</v>
      </c>
      <c r="G1083" s="1" t="str">
        <f>"عدد"</f>
        <v>عدد</v>
      </c>
      <c r="H1083" s="1">
        <v>0</v>
      </c>
      <c r="I1083" s="1">
        <v>0</v>
      </c>
      <c r="J1083" s="1">
        <v>20</v>
      </c>
      <c r="K1083" s="1">
        <v>1080000</v>
      </c>
      <c r="L1083" s="1">
        <v>20</v>
      </c>
      <c r="M1083" s="1">
        <v>1080000</v>
      </c>
      <c r="O1083" s="1">
        <v>97</v>
      </c>
      <c r="P1083" s="1">
        <f t="shared" si="48"/>
        <v>0</v>
      </c>
      <c r="Q1083" s="1">
        <f t="shared" si="49"/>
        <v>0</v>
      </c>
      <c r="R1083" s="1" t="e">
        <f t="shared" si="50"/>
        <v>#DIV/0!</v>
      </c>
    </row>
    <row r="1084" spans="1:18" hidden="1">
      <c r="A1084" s="1">
        <v>2</v>
      </c>
      <c r="B1084" s="1" t="str">
        <f>"قطعات و لوازم يدكي"</f>
        <v>قطعات و لوازم يدكي</v>
      </c>
      <c r="C1084" s="1">
        <v>101</v>
      </c>
      <c r="D1084" s="1" t="str">
        <f>"انبار قطعات و لوازم يدكي اصفهان"</f>
        <v>انبار قطعات و لوازم يدكي اصفهان</v>
      </c>
      <c r="E1084" s="1" t="str">
        <f>"6800000352"</f>
        <v>6800000352</v>
      </c>
      <c r="F1084" s="1" t="str">
        <f>"کابل ابزار دقيق  1*2*1"</f>
        <v>کابل ابزار دقيق  1*2*1</v>
      </c>
      <c r="G1084" s="1" t="str">
        <f>"متر"</f>
        <v>متر</v>
      </c>
      <c r="H1084" s="1">
        <v>0</v>
      </c>
      <c r="I1084" s="1">
        <v>0</v>
      </c>
      <c r="J1084" s="1">
        <v>500</v>
      </c>
      <c r="K1084" s="1">
        <v>16850000</v>
      </c>
      <c r="L1084" s="1">
        <v>500</v>
      </c>
      <c r="M1084" s="1">
        <v>16850000</v>
      </c>
      <c r="O1084" s="1">
        <v>97</v>
      </c>
      <c r="P1084" s="1">
        <f t="shared" si="48"/>
        <v>0</v>
      </c>
      <c r="Q1084" s="1">
        <f t="shared" si="49"/>
        <v>0</v>
      </c>
      <c r="R1084" s="1" t="e">
        <f t="shared" si="50"/>
        <v>#DIV/0!</v>
      </c>
    </row>
    <row r="1085" spans="1:18">
      <c r="A1085" s="1">
        <v>2</v>
      </c>
      <c r="B1085" s="1" t="str">
        <f>"قطعات و لوازم يدكي"</f>
        <v>قطعات و لوازم يدكي</v>
      </c>
      <c r="C1085" s="1">
        <v>101</v>
      </c>
      <c r="D1085" s="1" t="str">
        <f>"انبار قطعات و لوازم يدكي اصفهان"</f>
        <v>انبار قطعات و لوازم يدكي اصفهان</v>
      </c>
      <c r="E1085" s="1" t="str">
        <f>"6801010192"</f>
        <v>6801010192</v>
      </c>
      <c r="F1085" s="1" t="str">
        <f>"بي متال کابلشو 185"</f>
        <v>بي متال کابلشو 185</v>
      </c>
      <c r="G1085" s="1" t="str">
        <f>"عدد"</f>
        <v>عدد</v>
      </c>
      <c r="H1085" s="1">
        <v>3</v>
      </c>
      <c r="I1085" s="1">
        <v>204000</v>
      </c>
      <c r="J1085" s="1">
        <v>0</v>
      </c>
      <c r="K1085" s="1">
        <v>0</v>
      </c>
      <c r="L1085" s="1">
        <v>0</v>
      </c>
      <c r="M1085" s="1">
        <v>0</v>
      </c>
      <c r="O1085" s="1">
        <v>97</v>
      </c>
      <c r="P1085" s="4">
        <f t="shared" si="48"/>
        <v>204000</v>
      </c>
      <c r="Q1085" s="4">
        <f t="shared" si="49"/>
        <v>3</v>
      </c>
      <c r="R1085" s="4">
        <f t="shared" si="50"/>
        <v>68000</v>
      </c>
    </row>
    <row r="1086" spans="1:18">
      <c r="A1086" s="1">
        <v>2</v>
      </c>
      <c r="B1086" s="1" t="str">
        <f>"قطعات و لوازم يدكي"</f>
        <v>قطعات و لوازم يدكي</v>
      </c>
      <c r="C1086" s="1">
        <v>101</v>
      </c>
      <c r="D1086" s="1" t="str">
        <f>"انبار قطعات و لوازم يدكي اصفهان"</f>
        <v>انبار قطعات و لوازم يدكي اصفهان</v>
      </c>
      <c r="E1086" s="1" t="str">
        <f>"6801010272"</f>
        <v>6801010272</v>
      </c>
      <c r="F1086" s="1" t="str">
        <f>"کانکتور SP4"</f>
        <v>کانکتور SP4</v>
      </c>
      <c r="G1086" s="1" t="str">
        <f>"عدد"</f>
        <v>عدد</v>
      </c>
      <c r="H1086" s="1">
        <v>100</v>
      </c>
      <c r="I1086" s="1">
        <v>85000</v>
      </c>
      <c r="J1086" s="1">
        <v>0</v>
      </c>
      <c r="K1086" s="1">
        <v>0</v>
      </c>
      <c r="L1086" s="1">
        <v>0</v>
      </c>
      <c r="M1086" s="1">
        <v>0</v>
      </c>
      <c r="O1086" s="1">
        <v>97</v>
      </c>
      <c r="P1086" s="4">
        <f t="shared" si="48"/>
        <v>85000</v>
      </c>
      <c r="Q1086" s="4">
        <f t="shared" si="49"/>
        <v>100</v>
      </c>
      <c r="R1086" s="4">
        <f t="shared" si="50"/>
        <v>850</v>
      </c>
    </row>
    <row r="1087" spans="1:18">
      <c r="A1087" s="1">
        <v>2</v>
      </c>
      <c r="B1087" s="1" t="str">
        <f>"قطعات و لوازم يدكي"</f>
        <v>قطعات و لوازم يدكي</v>
      </c>
      <c r="C1087" s="1">
        <v>101</v>
      </c>
      <c r="D1087" s="1" t="str">
        <f>"انبار قطعات و لوازم يدكي اصفهان"</f>
        <v>انبار قطعات و لوازم يدكي اصفهان</v>
      </c>
      <c r="E1087" s="1" t="str">
        <f>"6801010342"</f>
        <v>6801010342</v>
      </c>
      <c r="F1087" s="1" t="str">
        <f>"کابل 4*5"</f>
        <v>کابل 4*5</v>
      </c>
      <c r="G1087" s="1" t="str">
        <f>"متر"</f>
        <v>متر</v>
      </c>
      <c r="H1087" s="1">
        <v>0</v>
      </c>
      <c r="I1087" s="1">
        <v>0</v>
      </c>
      <c r="J1087" s="1">
        <v>100</v>
      </c>
      <c r="K1087" s="1">
        <v>10700000</v>
      </c>
      <c r="L1087" s="1">
        <v>0</v>
      </c>
      <c r="M1087" s="1">
        <v>0</v>
      </c>
      <c r="O1087" s="1">
        <v>97</v>
      </c>
      <c r="P1087" s="4">
        <f t="shared" si="48"/>
        <v>10700000</v>
      </c>
      <c r="Q1087" s="4">
        <f t="shared" si="49"/>
        <v>100</v>
      </c>
      <c r="R1087" s="4">
        <f t="shared" si="50"/>
        <v>107000</v>
      </c>
    </row>
    <row r="1088" spans="1:18" hidden="1">
      <c r="A1088" s="1">
        <v>2</v>
      </c>
      <c r="B1088" s="1" t="str">
        <f>"قطعات و لوازم يدكي"</f>
        <v>قطعات و لوازم يدكي</v>
      </c>
      <c r="C1088" s="1">
        <v>101</v>
      </c>
      <c r="D1088" s="1" t="str">
        <f>"انبار قطعات و لوازم يدكي اصفهان"</f>
        <v>انبار قطعات و لوازم يدكي اصفهان</v>
      </c>
      <c r="E1088" s="1" t="str">
        <f>"6878900492"</f>
        <v>6878900492</v>
      </c>
      <c r="F1088" s="1" t="str">
        <f>"کابل 2/5*4"</f>
        <v>کابل 2/5*4</v>
      </c>
      <c r="G1088" s="1" t="str">
        <f>"متر"</f>
        <v>متر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O1088" s="1">
        <v>97</v>
      </c>
      <c r="P1088" s="1">
        <f t="shared" si="48"/>
        <v>0</v>
      </c>
      <c r="Q1088" s="1">
        <f t="shared" si="49"/>
        <v>0</v>
      </c>
      <c r="R1088" s="1" t="e">
        <f t="shared" si="50"/>
        <v>#DIV/0!</v>
      </c>
    </row>
    <row r="1089" spans="1:18">
      <c r="A1089" s="1">
        <v>2</v>
      </c>
      <c r="B1089" s="1" t="str">
        <f>"قطعات و لوازم يدكي"</f>
        <v>قطعات و لوازم يدكي</v>
      </c>
      <c r="C1089" s="1">
        <v>101</v>
      </c>
      <c r="D1089" s="1" t="str">
        <f>"انبار قطعات و لوازم يدكي اصفهان"</f>
        <v>انبار قطعات و لوازم يدكي اصفهان</v>
      </c>
      <c r="E1089" s="1" t="str">
        <f>"6885124002"</f>
        <v>6885124002</v>
      </c>
      <c r="F1089" s="1" t="str">
        <f>"نوار چسب برق معمولي"</f>
        <v>نوار چسب برق معمولي</v>
      </c>
      <c r="G1089" s="1" t="str">
        <f>"عدد"</f>
        <v>عدد</v>
      </c>
      <c r="H1089" s="1">
        <v>43</v>
      </c>
      <c r="I1089" s="1">
        <v>228457</v>
      </c>
      <c r="J1089" s="1">
        <v>120</v>
      </c>
      <c r="K1089" s="1">
        <v>2860000</v>
      </c>
      <c r="L1089" s="1">
        <v>88</v>
      </c>
      <c r="M1089" s="1">
        <v>1343979</v>
      </c>
      <c r="O1089" s="1">
        <v>97</v>
      </c>
      <c r="P1089" s="4">
        <f t="shared" si="48"/>
        <v>1744478</v>
      </c>
      <c r="Q1089" s="4">
        <f t="shared" si="49"/>
        <v>75</v>
      </c>
      <c r="R1089" s="4">
        <f t="shared" si="50"/>
        <v>23259.706666666665</v>
      </c>
    </row>
    <row r="1090" spans="1:18">
      <c r="A1090" s="1">
        <v>2</v>
      </c>
      <c r="B1090" s="1" t="str">
        <f>"قطعات و لوازم يدكي"</f>
        <v>قطعات و لوازم يدكي</v>
      </c>
      <c r="C1090" s="1">
        <v>101</v>
      </c>
      <c r="D1090" s="1" t="str">
        <f>"انبار قطعات و لوازم يدكي اصفهان"</f>
        <v>انبار قطعات و لوازم يدكي اصفهان</v>
      </c>
      <c r="E1090" s="1" t="str">
        <f>"6885124022"</f>
        <v>6885124022</v>
      </c>
      <c r="F1090" s="1" t="str">
        <f>"نوار چسب برق"</f>
        <v>نوار چسب برق</v>
      </c>
      <c r="G1090" s="1" t="str">
        <f>"متر"</f>
        <v>متر</v>
      </c>
      <c r="H1090" s="1">
        <v>363</v>
      </c>
      <c r="I1090" s="1">
        <v>23190</v>
      </c>
      <c r="J1090" s="1">
        <v>0</v>
      </c>
      <c r="K1090" s="1">
        <v>0</v>
      </c>
      <c r="L1090" s="1">
        <v>33</v>
      </c>
      <c r="M1090" s="1">
        <v>2108</v>
      </c>
      <c r="O1090" s="1">
        <v>97</v>
      </c>
      <c r="P1090" s="4">
        <f t="shared" si="48"/>
        <v>21082</v>
      </c>
      <c r="Q1090" s="4">
        <f t="shared" si="49"/>
        <v>330</v>
      </c>
      <c r="R1090" s="4">
        <f t="shared" si="50"/>
        <v>63.884848484848483</v>
      </c>
    </row>
    <row r="1091" spans="1:18">
      <c r="A1091" s="1">
        <v>2</v>
      </c>
      <c r="B1091" s="1" t="str">
        <f>"قطعات و لوازم يدكي"</f>
        <v>قطعات و لوازم يدكي</v>
      </c>
      <c r="C1091" s="1">
        <v>101</v>
      </c>
      <c r="D1091" s="1" t="str">
        <f>"انبار قطعات و لوازم يدكي اصفهان"</f>
        <v>انبار قطعات و لوازم يدكي اصفهان</v>
      </c>
      <c r="E1091" s="1" t="str">
        <f>"6901020012"</f>
        <v>6901020012</v>
      </c>
      <c r="F1091" s="1" t="str">
        <f>"قاب مهتابي 4 فوت"</f>
        <v>قاب مهتابي 4 فوت</v>
      </c>
      <c r="G1091" s="1" t="str">
        <f>"عدد"</f>
        <v>عدد</v>
      </c>
      <c r="H1091" s="1">
        <v>92</v>
      </c>
      <c r="I1091" s="1">
        <v>251160000</v>
      </c>
      <c r="J1091" s="1">
        <v>0</v>
      </c>
      <c r="K1091" s="1">
        <v>0</v>
      </c>
      <c r="L1091" s="1">
        <v>2</v>
      </c>
      <c r="M1091" s="1">
        <v>5460000</v>
      </c>
      <c r="O1091" s="1">
        <v>97</v>
      </c>
      <c r="P1091" s="4">
        <f t="shared" ref="P1091:P1154" si="51">I1091+K1091-M1091</f>
        <v>245700000</v>
      </c>
      <c r="Q1091" s="4">
        <f t="shared" ref="Q1091:Q1154" si="52">H1091+J1091-L1091</f>
        <v>90</v>
      </c>
      <c r="R1091" s="4">
        <f t="shared" ref="R1091:R1154" si="53">P1091/Q1091</f>
        <v>2730000</v>
      </c>
    </row>
    <row r="1092" spans="1:18" hidden="1">
      <c r="A1092" s="1">
        <v>2</v>
      </c>
      <c r="B1092" s="1" t="str">
        <f>"قطعات و لوازم يدكي"</f>
        <v>قطعات و لوازم يدكي</v>
      </c>
      <c r="C1092" s="1">
        <v>101</v>
      </c>
      <c r="D1092" s="1" t="str">
        <f>"انبار قطعات و لوازم يدكي اصفهان"</f>
        <v>انبار قطعات و لوازم يدكي اصفهان</v>
      </c>
      <c r="E1092" s="1" t="str">
        <f>"6901020042"</f>
        <v>6901020042</v>
      </c>
      <c r="F1092" s="1" t="str">
        <f>"ترموکوپل 2 متري سيمي"</f>
        <v>ترموکوپل 2 متري سيمي</v>
      </c>
      <c r="G1092" s="1" t="str">
        <f>"عدد"</f>
        <v>عدد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O1092" s="1">
        <v>97</v>
      </c>
      <c r="P1092" s="1">
        <f t="shared" si="51"/>
        <v>0</v>
      </c>
      <c r="Q1092" s="1">
        <f t="shared" si="52"/>
        <v>0</v>
      </c>
      <c r="R1092" s="1" t="e">
        <f t="shared" si="53"/>
        <v>#DIV/0!</v>
      </c>
    </row>
    <row r="1093" spans="1:18" hidden="1">
      <c r="A1093" s="1">
        <v>2</v>
      </c>
      <c r="B1093" s="1" t="str">
        <f>"قطعات و لوازم يدكي"</f>
        <v>قطعات و لوازم يدكي</v>
      </c>
      <c r="C1093" s="1">
        <v>101</v>
      </c>
      <c r="D1093" s="1" t="str">
        <f>"انبار قطعات و لوازم يدكي اصفهان"</f>
        <v>انبار قطعات و لوازم يدكي اصفهان</v>
      </c>
      <c r="E1093" s="1" t="str">
        <f>"6901020112"</f>
        <v>6901020112</v>
      </c>
      <c r="F1093" s="1" t="str">
        <f>"پيچ 12 نمره 12 سه سانت"</f>
        <v>پيچ 12 نمره 12 سه سانت</v>
      </c>
      <c r="G1093" s="1" t="str">
        <f>"عدد"</f>
        <v>عدد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O1093" s="1">
        <v>97</v>
      </c>
      <c r="P1093" s="1">
        <f t="shared" si="51"/>
        <v>0</v>
      </c>
      <c r="Q1093" s="1">
        <f t="shared" si="52"/>
        <v>0</v>
      </c>
      <c r="R1093" s="1" t="e">
        <f t="shared" si="53"/>
        <v>#DIV/0!</v>
      </c>
    </row>
    <row r="1094" spans="1:18" hidden="1">
      <c r="A1094" s="1">
        <v>2</v>
      </c>
      <c r="B1094" s="1" t="str">
        <f>"قطعات و لوازم يدكي"</f>
        <v>قطعات و لوازم يدكي</v>
      </c>
      <c r="C1094" s="1">
        <v>101</v>
      </c>
      <c r="D1094" s="1" t="str">
        <f>"انبار قطعات و لوازم يدكي اصفهان"</f>
        <v>انبار قطعات و لوازم يدكي اصفهان</v>
      </c>
      <c r="E1094" s="1" t="str">
        <f>"6901020132"</f>
        <v>6901020132</v>
      </c>
      <c r="F1094" s="1" t="str">
        <f>"براکت سيني کابل"</f>
        <v>براکت سيني کابل</v>
      </c>
      <c r="G1094" s="1" t="str">
        <f>"عدد"</f>
        <v>عدد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O1094" s="1">
        <v>97</v>
      </c>
      <c r="P1094" s="1">
        <f t="shared" si="51"/>
        <v>0</v>
      </c>
      <c r="Q1094" s="1">
        <f t="shared" si="52"/>
        <v>0</v>
      </c>
      <c r="R1094" s="1" t="e">
        <f t="shared" si="53"/>
        <v>#DIV/0!</v>
      </c>
    </row>
    <row r="1095" spans="1:18" hidden="1">
      <c r="A1095" s="1">
        <v>2</v>
      </c>
      <c r="B1095" s="1" t="str">
        <f>"قطعات و لوازم يدكي"</f>
        <v>قطعات و لوازم يدكي</v>
      </c>
      <c r="C1095" s="1">
        <v>101</v>
      </c>
      <c r="D1095" s="1" t="str">
        <f>"انبار قطعات و لوازم يدكي اصفهان"</f>
        <v>انبار قطعات و لوازم يدكي اصفهان</v>
      </c>
      <c r="E1095" s="1" t="str">
        <f>"6901020142"</f>
        <v>6901020142</v>
      </c>
      <c r="F1095" s="1" t="str">
        <f>"بست لوله گازي"</f>
        <v>بست لوله گازي</v>
      </c>
      <c r="G1095" s="1" t="str">
        <f>"عدد"</f>
        <v>عدد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O1095" s="1">
        <v>97</v>
      </c>
      <c r="P1095" s="1">
        <f t="shared" si="51"/>
        <v>0</v>
      </c>
      <c r="Q1095" s="1">
        <f t="shared" si="52"/>
        <v>0</v>
      </c>
      <c r="R1095" s="1" t="e">
        <f t="shared" si="53"/>
        <v>#DIV/0!</v>
      </c>
    </row>
    <row r="1096" spans="1:18">
      <c r="A1096" s="1">
        <v>2</v>
      </c>
      <c r="B1096" s="1" t="str">
        <f>"قطعات و لوازم يدكي"</f>
        <v>قطعات و لوازم يدكي</v>
      </c>
      <c r="C1096" s="1">
        <v>101</v>
      </c>
      <c r="D1096" s="1" t="str">
        <f>"انبار قطعات و لوازم يدكي اصفهان"</f>
        <v>انبار قطعات و لوازم يدكي اصفهان</v>
      </c>
      <c r="E1096" s="1" t="str">
        <f>"6901400182"</f>
        <v>6901400182</v>
      </c>
      <c r="F1096" s="1" t="str">
        <f>"لامپ 24 ولت"</f>
        <v>لامپ 24 ولت</v>
      </c>
      <c r="G1096" s="1" t="str">
        <f>"عدد"</f>
        <v>عدد</v>
      </c>
      <c r="H1096" s="1">
        <v>0</v>
      </c>
      <c r="I1096" s="1">
        <v>0</v>
      </c>
      <c r="J1096" s="1">
        <v>59</v>
      </c>
      <c r="K1096" s="1">
        <v>6490000</v>
      </c>
      <c r="L1096" s="1">
        <v>19</v>
      </c>
      <c r="M1096" s="1">
        <v>2090000</v>
      </c>
      <c r="O1096" s="1">
        <v>97</v>
      </c>
      <c r="P1096" s="4">
        <f t="shared" si="51"/>
        <v>4400000</v>
      </c>
      <c r="Q1096" s="4">
        <f t="shared" si="52"/>
        <v>40</v>
      </c>
      <c r="R1096" s="4">
        <f t="shared" si="53"/>
        <v>110000</v>
      </c>
    </row>
    <row r="1097" spans="1:18">
      <c r="A1097" s="1">
        <v>2</v>
      </c>
      <c r="B1097" s="1" t="str">
        <f>"قطعات و لوازم يدكي"</f>
        <v>قطعات و لوازم يدكي</v>
      </c>
      <c r="C1097" s="1">
        <v>101</v>
      </c>
      <c r="D1097" s="1" t="str">
        <f>"انبار قطعات و لوازم يدكي اصفهان"</f>
        <v>انبار قطعات و لوازم يدكي اصفهان</v>
      </c>
      <c r="E1097" s="1" t="str">
        <f>"3371155093"</f>
        <v>3371155093</v>
      </c>
      <c r="F1097" s="1" t="str">
        <f>"سل گر هوزينگ"</f>
        <v>سل گر هوزينگ</v>
      </c>
      <c r="G1097" s="1" t="str">
        <f>"عدد"</f>
        <v>عدد</v>
      </c>
      <c r="H1097" s="1">
        <v>6</v>
      </c>
      <c r="I1097" s="1">
        <v>542530</v>
      </c>
      <c r="J1097" s="1">
        <v>0</v>
      </c>
      <c r="K1097" s="1">
        <v>0</v>
      </c>
      <c r="L1097" s="1">
        <v>0</v>
      </c>
      <c r="M1097" s="1">
        <v>0</v>
      </c>
      <c r="O1097" s="1">
        <v>97</v>
      </c>
      <c r="P1097" s="4">
        <f t="shared" si="51"/>
        <v>542530</v>
      </c>
      <c r="Q1097" s="4">
        <f t="shared" si="52"/>
        <v>6</v>
      </c>
      <c r="R1097" s="4">
        <f t="shared" si="53"/>
        <v>90421.666666666672</v>
      </c>
    </row>
    <row r="1098" spans="1:18">
      <c r="A1098" s="1">
        <v>2</v>
      </c>
      <c r="B1098" s="1" t="str">
        <f>"قطعات و لوازم يدكي"</f>
        <v>قطعات و لوازم يدكي</v>
      </c>
      <c r="C1098" s="1">
        <v>101</v>
      </c>
      <c r="D1098" s="1" t="str">
        <f>"انبار قطعات و لوازم يدكي اصفهان"</f>
        <v>انبار قطعات و لوازم يدكي اصفهان</v>
      </c>
      <c r="E1098" s="1" t="str">
        <f>"3371205523"</f>
        <v>3371205523</v>
      </c>
      <c r="F1098" s="1" t="str">
        <f>"كمپلت روتاتنيگ المنت فور"</f>
        <v>كمپلت روتاتنيگ المنت فور</v>
      </c>
      <c r="G1098" s="1" t="str">
        <f>"عدد"</f>
        <v>عدد</v>
      </c>
      <c r="H1098" s="1">
        <v>1</v>
      </c>
      <c r="I1098" s="1">
        <v>44099646</v>
      </c>
      <c r="J1098" s="1">
        <v>0</v>
      </c>
      <c r="K1098" s="1">
        <v>0</v>
      </c>
      <c r="L1098" s="1">
        <v>0</v>
      </c>
      <c r="M1098" s="1">
        <v>0</v>
      </c>
      <c r="O1098" s="1">
        <v>97</v>
      </c>
      <c r="P1098" s="4">
        <f t="shared" si="51"/>
        <v>44099646</v>
      </c>
      <c r="Q1098" s="4">
        <f t="shared" si="52"/>
        <v>1</v>
      </c>
      <c r="R1098" s="4">
        <f t="shared" si="53"/>
        <v>44099646</v>
      </c>
    </row>
    <row r="1099" spans="1:18">
      <c r="A1099" s="1">
        <v>2</v>
      </c>
      <c r="B1099" s="1" t="str">
        <f>"قطعات و لوازم يدكي"</f>
        <v>قطعات و لوازم يدكي</v>
      </c>
      <c r="C1099" s="1">
        <v>101</v>
      </c>
      <c r="D1099" s="1" t="str">
        <f>"انبار قطعات و لوازم يدكي اصفهان"</f>
        <v>انبار قطعات و لوازم يدكي اصفهان</v>
      </c>
      <c r="E1099" s="1" t="str">
        <f>"3371205673"</f>
        <v>3371205673</v>
      </c>
      <c r="F1099" s="1" t="str">
        <f>"اسنپ رينگ شفت ."</f>
        <v>اسنپ رينگ شفت .</v>
      </c>
      <c r="G1099" s="1" t="str">
        <f>"عدد"</f>
        <v>عدد</v>
      </c>
      <c r="H1099" s="1">
        <v>11</v>
      </c>
      <c r="I1099" s="1">
        <v>11190</v>
      </c>
      <c r="J1099" s="1">
        <v>0</v>
      </c>
      <c r="K1099" s="1">
        <v>0</v>
      </c>
      <c r="L1099" s="1">
        <v>0</v>
      </c>
      <c r="M1099" s="1">
        <v>0</v>
      </c>
      <c r="O1099" s="1">
        <v>97</v>
      </c>
      <c r="P1099" s="4">
        <f t="shared" si="51"/>
        <v>11190</v>
      </c>
      <c r="Q1099" s="4">
        <f t="shared" si="52"/>
        <v>11</v>
      </c>
      <c r="R1099" s="4">
        <f t="shared" si="53"/>
        <v>1017.2727272727273</v>
      </c>
    </row>
    <row r="1100" spans="1:18">
      <c r="A1100" s="1">
        <v>2</v>
      </c>
      <c r="B1100" s="1" t="str">
        <f>"قطعات و لوازم يدكي"</f>
        <v>قطعات و لوازم يدكي</v>
      </c>
      <c r="C1100" s="1">
        <v>101</v>
      </c>
      <c r="D1100" s="1" t="str">
        <f>"انبار قطعات و لوازم يدكي اصفهان"</f>
        <v>انبار قطعات و لوازم يدكي اصفهان</v>
      </c>
      <c r="E1100" s="1" t="str">
        <f>"3371205683"</f>
        <v>3371205683</v>
      </c>
      <c r="F1100" s="1" t="str">
        <f>"سل فرنت اند رير براكت"</f>
        <v>سل فرنت اند رير براكت</v>
      </c>
      <c r="G1100" s="1" t="str">
        <f>"عدد"</f>
        <v>عدد</v>
      </c>
      <c r="H1100" s="1">
        <v>5</v>
      </c>
      <c r="I1100" s="1">
        <v>204167</v>
      </c>
      <c r="J1100" s="1">
        <v>0</v>
      </c>
      <c r="K1100" s="1">
        <v>0</v>
      </c>
      <c r="L1100" s="1">
        <v>0</v>
      </c>
      <c r="M1100" s="1">
        <v>0</v>
      </c>
      <c r="O1100" s="1">
        <v>97</v>
      </c>
      <c r="P1100" s="4">
        <f t="shared" si="51"/>
        <v>204167</v>
      </c>
      <c r="Q1100" s="4">
        <f t="shared" si="52"/>
        <v>5</v>
      </c>
      <c r="R1100" s="4">
        <f t="shared" si="53"/>
        <v>40833.4</v>
      </c>
    </row>
    <row r="1101" spans="1:18">
      <c r="A1101" s="1">
        <v>2</v>
      </c>
      <c r="B1101" s="1" t="str">
        <f>"قطعات و لوازم يدكي"</f>
        <v>قطعات و لوازم يدكي</v>
      </c>
      <c r="C1101" s="1">
        <v>101</v>
      </c>
      <c r="D1101" s="1" t="str">
        <f>"انبار قطعات و لوازم يدكي اصفهان"</f>
        <v>انبار قطعات و لوازم يدكي اصفهان</v>
      </c>
      <c r="E1101" s="1" t="str">
        <f>"3371205793"</f>
        <v>3371205793</v>
      </c>
      <c r="F1101" s="1" t="str">
        <f>"برانيگ رولر گر هوزينگ"</f>
        <v>برانيگ رولر گر هوزينگ</v>
      </c>
      <c r="G1101" s="1" t="str">
        <f>"عدد"</f>
        <v>عدد</v>
      </c>
      <c r="H1101" s="1">
        <v>4</v>
      </c>
      <c r="I1101" s="1">
        <v>8000</v>
      </c>
      <c r="J1101" s="1">
        <v>0</v>
      </c>
      <c r="K1101" s="1">
        <v>0</v>
      </c>
      <c r="L1101" s="1">
        <v>0</v>
      </c>
      <c r="M1101" s="1">
        <v>0</v>
      </c>
      <c r="O1101" s="1">
        <v>97</v>
      </c>
      <c r="P1101" s="4">
        <f t="shared" si="51"/>
        <v>8000</v>
      </c>
      <c r="Q1101" s="4">
        <f t="shared" si="52"/>
        <v>4</v>
      </c>
      <c r="R1101" s="4">
        <f t="shared" si="53"/>
        <v>2000</v>
      </c>
    </row>
    <row r="1102" spans="1:18">
      <c r="A1102" s="1">
        <v>2</v>
      </c>
      <c r="B1102" s="1" t="str">
        <f>"قطعات و لوازم يدكي"</f>
        <v>قطعات و لوازم يدكي</v>
      </c>
      <c r="C1102" s="1">
        <v>101</v>
      </c>
      <c r="D1102" s="1" t="str">
        <f>"انبار قطعات و لوازم يدكي اصفهان"</f>
        <v>انبار قطعات و لوازم يدكي اصفهان</v>
      </c>
      <c r="E1102" s="1" t="str">
        <f>"3456650033"</f>
        <v>3456650033</v>
      </c>
      <c r="F1102" s="1" t="str">
        <f>"اسپاسر برج اند تامينگ گر"</f>
        <v>اسپاسر برج اند تامينگ گر</v>
      </c>
      <c r="G1102" s="1" t="str">
        <f>"عدد"</f>
        <v>عدد</v>
      </c>
      <c r="H1102" s="1">
        <v>1</v>
      </c>
      <c r="I1102" s="1">
        <v>499</v>
      </c>
      <c r="J1102" s="1">
        <v>0</v>
      </c>
      <c r="K1102" s="1">
        <v>0</v>
      </c>
      <c r="L1102" s="1">
        <v>0</v>
      </c>
      <c r="M1102" s="1">
        <v>0</v>
      </c>
      <c r="O1102" s="1">
        <v>97</v>
      </c>
      <c r="P1102" s="4">
        <f t="shared" si="51"/>
        <v>499</v>
      </c>
      <c r="Q1102" s="4">
        <f t="shared" si="52"/>
        <v>1</v>
      </c>
      <c r="R1102" s="4">
        <f t="shared" si="53"/>
        <v>499</v>
      </c>
    </row>
    <row r="1103" spans="1:18">
      <c r="A1103" s="1">
        <v>2</v>
      </c>
      <c r="B1103" s="1" t="str">
        <f>"قطعات و لوازم يدكي"</f>
        <v>قطعات و لوازم يدكي</v>
      </c>
      <c r="C1103" s="1">
        <v>101</v>
      </c>
      <c r="D1103" s="1" t="str">
        <f>"انبار قطعات و لوازم يدكي اصفهان"</f>
        <v>انبار قطعات و لوازم يدكي اصفهان</v>
      </c>
      <c r="E1103" s="1" t="str">
        <f>"4301010052"</f>
        <v>4301010052</v>
      </c>
      <c r="F1103" s="1" t="str">
        <f>"بال بيرينگ 32315"</f>
        <v>بال بيرينگ 32315</v>
      </c>
      <c r="G1103" s="1" t="str">
        <f>"عدد"</f>
        <v>عدد</v>
      </c>
      <c r="H1103" s="1">
        <v>4</v>
      </c>
      <c r="I1103" s="1">
        <v>16000000</v>
      </c>
      <c r="J1103" s="1">
        <v>0</v>
      </c>
      <c r="K1103" s="1">
        <v>0</v>
      </c>
      <c r="L1103" s="1">
        <v>0</v>
      </c>
      <c r="M1103" s="1">
        <v>0</v>
      </c>
      <c r="O1103" s="1">
        <v>97</v>
      </c>
      <c r="P1103" s="4">
        <f t="shared" si="51"/>
        <v>16000000</v>
      </c>
      <c r="Q1103" s="4">
        <f t="shared" si="52"/>
        <v>4</v>
      </c>
      <c r="R1103" s="4">
        <f t="shared" si="53"/>
        <v>4000000</v>
      </c>
    </row>
    <row r="1104" spans="1:18">
      <c r="A1104" s="1">
        <v>2</v>
      </c>
      <c r="B1104" s="1" t="str">
        <f>"قطعات و لوازم يدكي"</f>
        <v>قطعات و لوازم يدكي</v>
      </c>
      <c r="C1104" s="1">
        <v>101</v>
      </c>
      <c r="D1104" s="1" t="str">
        <f>"انبار قطعات و لوازم يدكي اصفهان"</f>
        <v>انبار قطعات و لوازم يدكي اصفهان</v>
      </c>
      <c r="E1104" s="1" t="str">
        <f>"4301010132"</f>
        <v>4301010132</v>
      </c>
      <c r="F1104" s="1" t="str">
        <f>"کاسه نمد 15   200    170"</f>
        <v>کاسه نمد 15   200    170</v>
      </c>
      <c r="G1104" s="1" t="str">
        <f>"عدد"</f>
        <v>عدد</v>
      </c>
      <c r="H1104" s="1">
        <v>6</v>
      </c>
      <c r="I1104" s="1">
        <v>2080000</v>
      </c>
      <c r="J1104" s="1">
        <v>0</v>
      </c>
      <c r="K1104" s="1">
        <v>0</v>
      </c>
      <c r="L1104" s="1">
        <v>0</v>
      </c>
      <c r="M1104" s="1">
        <v>0</v>
      </c>
      <c r="O1104" s="1">
        <v>97</v>
      </c>
      <c r="P1104" s="4">
        <f t="shared" si="51"/>
        <v>2080000</v>
      </c>
      <c r="Q1104" s="4">
        <f t="shared" si="52"/>
        <v>6</v>
      </c>
      <c r="R1104" s="4">
        <f t="shared" si="53"/>
        <v>346666.66666666669</v>
      </c>
    </row>
    <row r="1105" spans="1:18">
      <c r="A1105" s="1">
        <v>2</v>
      </c>
      <c r="B1105" s="1" t="str">
        <f>"قطعات و لوازم يدكي"</f>
        <v>قطعات و لوازم يدكي</v>
      </c>
      <c r="C1105" s="1">
        <v>101</v>
      </c>
      <c r="D1105" s="1" t="str">
        <f>"انبار قطعات و لوازم يدكي اصفهان"</f>
        <v>انبار قطعات و لوازم يدكي اصفهان</v>
      </c>
      <c r="E1105" s="1" t="str">
        <f>"4304020983"</f>
        <v>4304020983</v>
      </c>
      <c r="F1105" s="1" t="str">
        <f>"Helical gear wheel"</f>
        <v>Helical gear wheel</v>
      </c>
      <c r="G1105" s="1" t="str">
        <f>"عدد"</f>
        <v>عدد</v>
      </c>
      <c r="H1105" s="1">
        <v>1</v>
      </c>
      <c r="I1105" s="1">
        <v>36700000</v>
      </c>
      <c r="J1105" s="1">
        <v>0</v>
      </c>
      <c r="K1105" s="1">
        <v>0</v>
      </c>
      <c r="L1105" s="1">
        <v>0</v>
      </c>
      <c r="M1105" s="1">
        <v>0</v>
      </c>
      <c r="O1105" s="1">
        <v>97</v>
      </c>
      <c r="P1105" s="4">
        <f t="shared" si="51"/>
        <v>36700000</v>
      </c>
      <c r="Q1105" s="4">
        <f t="shared" si="52"/>
        <v>1</v>
      </c>
      <c r="R1105" s="4">
        <f t="shared" si="53"/>
        <v>36700000</v>
      </c>
    </row>
    <row r="1106" spans="1:18">
      <c r="A1106" s="1">
        <v>2</v>
      </c>
      <c r="B1106" s="1" t="str">
        <f>"قطعات و لوازم يدكي"</f>
        <v>قطعات و لوازم يدكي</v>
      </c>
      <c r="C1106" s="1">
        <v>101</v>
      </c>
      <c r="D1106" s="1" t="str">
        <f>"انبار قطعات و لوازم يدكي اصفهان"</f>
        <v>انبار قطعات و لوازم يدكي اصفهان</v>
      </c>
      <c r="E1106" s="1" t="str">
        <f>"4304021023"</f>
        <v>4304021023</v>
      </c>
      <c r="F1106" s="1" t="str">
        <f>"كاورمخصوص اجي تور"</f>
        <v>كاورمخصوص اجي تور</v>
      </c>
      <c r="G1106" s="1" t="str">
        <f>"عدد"</f>
        <v>عدد</v>
      </c>
      <c r="H1106" s="1">
        <v>4</v>
      </c>
      <c r="I1106" s="1">
        <v>92398088</v>
      </c>
      <c r="J1106" s="1">
        <v>0</v>
      </c>
      <c r="K1106" s="1">
        <v>0</v>
      </c>
      <c r="L1106" s="1">
        <v>0</v>
      </c>
      <c r="M1106" s="1">
        <v>0</v>
      </c>
      <c r="O1106" s="1">
        <v>97</v>
      </c>
      <c r="P1106" s="4">
        <f t="shared" si="51"/>
        <v>92398088</v>
      </c>
      <c r="Q1106" s="4">
        <f t="shared" si="52"/>
        <v>4</v>
      </c>
      <c r="R1106" s="4">
        <f t="shared" si="53"/>
        <v>23099522</v>
      </c>
    </row>
    <row r="1107" spans="1:18">
      <c r="A1107" s="1">
        <v>2</v>
      </c>
      <c r="B1107" s="1" t="str">
        <f>"قطعات و لوازم يدكي"</f>
        <v>قطعات و لوازم يدكي</v>
      </c>
      <c r="C1107" s="1">
        <v>101</v>
      </c>
      <c r="D1107" s="1" t="str">
        <f>"انبار قطعات و لوازم يدكي اصفهان"</f>
        <v>انبار قطعات و لوازم يدكي اصفهان</v>
      </c>
      <c r="E1107" s="1" t="str">
        <f>"4304021083"</f>
        <v>4304021083</v>
      </c>
      <c r="F1107" s="1" t="str">
        <f>"ريتاينين جرينگ"</f>
        <v>ريتاينين جرينگ</v>
      </c>
      <c r="G1107" s="1" t="str">
        <f>"عدد"</f>
        <v>عدد</v>
      </c>
      <c r="H1107" s="1">
        <v>2</v>
      </c>
      <c r="I1107" s="1">
        <v>45409</v>
      </c>
      <c r="J1107" s="1">
        <v>0</v>
      </c>
      <c r="K1107" s="1">
        <v>0</v>
      </c>
      <c r="L1107" s="1">
        <v>0</v>
      </c>
      <c r="M1107" s="1">
        <v>0</v>
      </c>
      <c r="O1107" s="1">
        <v>97</v>
      </c>
      <c r="P1107" s="4">
        <f t="shared" si="51"/>
        <v>45409</v>
      </c>
      <c r="Q1107" s="4">
        <f t="shared" si="52"/>
        <v>2</v>
      </c>
      <c r="R1107" s="4">
        <f t="shared" si="53"/>
        <v>22704.5</v>
      </c>
    </row>
    <row r="1108" spans="1:18">
      <c r="A1108" s="1">
        <v>2</v>
      </c>
      <c r="B1108" s="1" t="str">
        <f>"قطعات و لوازم يدكي"</f>
        <v>قطعات و لوازم يدكي</v>
      </c>
      <c r="C1108" s="1">
        <v>101</v>
      </c>
      <c r="D1108" s="1" t="str">
        <f>"انبار قطعات و لوازم يدكي اصفهان"</f>
        <v>انبار قطعات و لوازم يدكي اصفهان</v>
      </c>
      <c r="E1108" s="1" t="str">
        <f>"4304021163"</f>
        <v>4304021163</v>
      </c>
      <c r="F1108" s="1" t="str">
        <f>"سلينگ رينگ 058-580"</f>
        <v>سلينگ رينگ 058-580</v>
      </c>
      <c r="G1108" s="1" t="str">
        <f>"عدد"</f>
        <v>عدد</v>
      </c>
      <c r="H1108" s="1">
        <v>15</v>
      </c>
      <c r="I1108" s="1">
        <v>42571</v>
      </c>
      <c r="J1108" s="1">
        <v>0</v>
      </c>
      <c r="K1108" s="1">
        <v>0</v>
      </c>
      <c r="L1108" s="1">
        <v>0</v>
      </c>
      <c r="M1108" s="1">
        <v>0</v>
      </c>
      <c r="O1108" s="1">
        <v>97</v>
      </c>
      <c r="P1108" s="4">
        <f t="shared" si="51"/>
        <v>42571</v>
      </c>
      <c r="Q1108" s="4">
        <f t="shared" si="52"/>
        <v>15</v>
      </c>
      <c r="R1108" s="4">
        <f t="shared" si="53"/>
        <v>2838.0666666666666</v>
      </c>
    </row>
    <row r="1109" spans="1:18">
      <c r="A1109" s="1">
        <v>2</v>
      </c>
      <c r="B1109" s="1" t="str">
        <f>"قطعات و لوازم يدكي"</f>
        <v>قطعات و لوازم يدكي</v>
      </c>
      <c r="C1109" s="1">
        <v>101</v>
      </c>
      <c r="D1109" s="1" t="str">
        <f>"انبار قطعات و لوازم يدكي اصفهان"</f>
        <v>انبار قطعات و لوازم يدكي اصفهان</v>
      </c>
      <c r="E1109" s="1" t="str">
        <f>"4304021233"</f>
        <v>4304021233</v>
      </c>
      <c r="F1109" s="1" t="str">
        <f>"اسپرينگ"</f>
        <v>اسپرينگ</v>
      </c>
      <c r="G1109" s="1" t="str">
        <f>"عدد"</f>
        <v>عدد</v>
      </c>
      <c r="H1109" s="1">
        <v>48</v>
      </c>
      <c r="I1109" s="1">
        <v>204343</v>
      </c>
      <c r="J1109" s="1">
        <v>0</v>
      </c>
      <c r="K1109" s="1">
        <v>0</v>
      </c>
      <c r="L1109" s="1">
        <v>0</v>
      </c>
      <c r="M1109" s="1">
        <v>0</v>
      </c>
      <c r="O1109" s="1">
        <v>97</v>
      </c>
      <c r="P1109" s="4">
        <f t="shared" si="51"/>
        <v>204343</v>
      </c>
      <c r="Q1109" s="4">
        <f t="shared" si="52"/>
        <v>48</v>
      </c>
      <c r="R1109" s="4">
        <f t="shared" si="53"/>
        <v>4257.145833333333</v>
      </c>
    </row>
    <row r="1110" spans="1:18" hidden="1">
      <c r="A1110" s="1">
        <v>2</v>
      </c>
      <c r="B1110" s="1" t="str">
        <f>"قطعات و لوازم يدكي"</f>
        <v>قطعات و لوازم يدكي</v>
      </c>
      <c r="C1110" s="1">
        <v>101</v>
      </c>
      <c r="D1110" s="1" t="str">
        <f>"انبار قطعات و لوازم يدكي اصفهان"</f>
        <v>انبار قطعات و لوازم يدكي اصفهان</v>
      </c>
      <c r="E1110" s="1" t="str">
        <f>"4304021453"</f>
        <v>4304021453</v>
      </c>
      <c r="F1110" s="1" t="str">
        <f>"اورينگ وايتون 5/5*480"</f>
        <v>اورينگ وايتون 5/5*480</v>
      </c>
      <c r="G1110" s="1" t="str">
        <f>"عدد"</f>
        <v>عدد</v>
      </c>
      <c r="H1110" s="1">
        <v>0</v>
      </c>
      <c r="I1110" s="1">
        <v>0</v>
      </c>
      <c r="J1110" s="1">
        <v>6</v>
      </c>
      <c r="K1110" s="1">
        <v>4800000</v>
      </c>
      <c r="L1110" s="1">
        <v>6</v>
      </c>
      <c r="M1110" s="1">
        <v>4800000</v>
      </c>
      <c r="O1110" s="1">
        <v>97</v>
      </c>
      <c r="P1110" s="1">
        <f t="shared" si="51"/>
        <v>0</v>
      </c>
      <c r="Q1110" s="1">
        <f t="shared" si="52"/>
        <v>0</v>
      </c>
      <c r="R1110" s="1" t="e">
        <f t="shared" si="53"/>
        <v>#DIV/0!</v>
      </c>
    </row>
    <row r="1111" spans="1:18" hidden="1">
      <c r="A1111" s="1">
        <v>2</v>
      </c>
      <c r="B1111" s="1" t="str">
        <f>"قطعات و لوازم يدكي"</f>
        <v>قطعات و لوازم يدكي</v>
      </c>
      <c r="C1111" s="1">
        <v>101</v>
      </c>
      <c r="D1111" s="1" t="str">
        <f>"انبار قطعات و لوازم يدكي اصفهان"</f>
        <v>انبار قطعات و لوازم يدكي اصفهان</v>
      </c>
      <c r="E1111" s="1" t="str">
        <f>"4304021463"</f>
        <v>4304021463</v>
      </c>
      <c r="F1111" s="1" t="str">
        <f>"اورينگ وايتون 5/5*400"</f>
        <v>اورينگ وايتون 5/5*400</v>
      </c>
      <c r="G1111" s="1" t="str">
        <f>"عدد"</f>
        <v>عدد</v>
      </c>
      <c r="H1111" s="1">
        <v>0</v>
      </c>
      <c r="I1111" s="1">
        <v>0</v>
      </c>
      <c r="J1111" s="1">
        <v>6</v>
      </c>
      <c r="K1111" s="1">
        <v>4500000</v>
      </c>
      <c r="L1111" s="1">
        <v>6</v>
      </c>
      <c r="M1111" s="1">
        <v>4500000</v>
      </c>
      <c r="O1111" s="1">
        <v>97</v>
      </c>
      <c r="P1111" s="1">
        <f t="shared" si="51"/>
        <v>0</v>
      </c>
      <c r="Q1111" s="1">
        <f t="shared" si="52"/>
        <v>0</v>
      </c>
      <c r="R1111" s="1" t="e">
        <f t="shared" si="53"/>
        <v>#DIV/0!</v>
      </c>
    </row>
    <row r="1112" spans="1:18">
      <c r="A1112" s="1">
        <v>2</v>
      </c>
      <c r="B1112" s="1" t="str">
        <f>"قطعات و لوازم يدكي"</f>
        <v>قطعات و لوازم يدكي</v>
      </c>
      <c r="C1112" s="1">
        <v>101</v>
      </c>
      <c r="D1112" s="1" t="str">
        <f>"انبار قطعات و لوازم يدكي اصفهان"</f>
        <v>انبار قطعات و لوازم يدكي اصفهان</v>
      </c>
      <c r="E1112" s="1" t="str">
        <f>"4353021742"</f>
        <v>4353021742</v>
      </c>
      <c r="F1112" s="1" t="str">
        <f>"كاسكت فلزي E-1001C (فلوتينگ)"</f>
        <v>كاسكت فلزي E-1001C (فلوتينگ)</v>
      </c>
      <c r="G1112" s="1" t="str">
        <f>"عدد"</f>
        <v>عدد</v>
      </c>
      <c r="H1112" s="1">
        <v>11</v>
      </c>
      <c r="I1112" s="1">
        <v>33316806</v>
      </c>
      <c r="J1112" s="1">
        <v>0</v>
      </c>
      <c r="K1112" s="1">
        <v>0</v>
      </c>
      <c r="L1112" s="1">
        <v>1</v>
      </c>
      <c r="M1112" s="1">
        <v>3028801</v>
      </c>
      <c r="O1112" s="1">
        <v>97</v>
      </c>
      <c r="P1112" s="4">
        <f t="shared" si="51"/>
        <v>30288005</v>
      </c>
      <c r="Q1112" s="4">
        <f t="shared" si="52"/>
        <v>10</v>
      </c>
      <c r="R1112" s="4">
        <f t="shared" si="53"/>
        <v>3028800.5</v>
      </c>
    </row>
    <row r="1113" spans="1:18">
      <c r="A1113" s="1">
        <v>2</v>
      </c>
      <c r="B1113" s="1" t="str">
        <f>"قطعات و لوازم يدكي"</f>
        <v>قطعات و لوازم يدكي</v>
      </c>
      <c r="C1113" s="1">
        <v>101</v>
      </c>
      <c r="D1113" s="1" t="str">
        <f>"انبار قطعات و لوازم يدكي اصفهان"</f>
        <v>انبار قطعات و لوازم يدكي اصفهان</v>
      </c>
      <c r="E1113" s="1" t="str">
        <f>"4353021752"</f>
        <v>4353021752</v>
      </c>
      <c r="F1113" s="1" t="str">
        <f>"گسکت فلزي E-1001C (شل)"</f>
        <v>گسکت فلزي E-1001C (شل)</v>
      </c>
      <c r="G1113" s="1" t="str">
        <f>"عدد"</f>
        <v>عدد</v>
      </c>
      <c r="H1113" s="1">
        <v>11</v>
      </c>
      <c r="I1113" s="1">
        <v>36781233</v>
      </c>
      <c r="J1113" s="1">
        <v>0</v>
      </c>
      <c r="K1113" s="1">
        <v>0</v>
      </c>
      <c r="L1113" s="1">
        <v>2</v>
      </c>
      <c r="M1113" s="1">
        <v>6687496</v>
      </c>
      <c r="O1113" s="1">
        <v>97</v>
      </c>
      <c r="P1113" s="4">
        <f t="shared" si="51"/>
        <v>30093737</v>
      </c>
      <c r="Q1113" s="4">
        <f t="shared" si="52"/>
        <v>9</v>
      </c>
      <c r="R1113" s="4">
        <f t="shared" si="53"/>
        <v>3343748.5555555555</v>
      </c>
    </row>
    <row r="1114" spans="1:18">
      <c r="A1114" s="1">
        <v>2</v>
      </c>
      <c r="B1114" s="1" t="str">
        <f>"قطعات و لوازم يدكي"</f>
        <v>قطعات و لوازم يدكي</v>
      </c>
      <c r="C1114" s="1">
        <v>101</v>
      </c>
      <c r="D1114" s="1" t="str">
        <f>"انبار قطعات و لوازم يدكي اصفهان"</f>
        <v>انبار قطعات و لوازم يدكي اصفهان</v>
      </c>
      <c r="E1114" s="1" t="str">
        <f>"4355417542"</f>
        <v>4355417542</v>
      </c>
      <c r="F1114" s="1" t="str">
        <f>"كاپلينگ المنت كوچك"</f>
        <v>كاپلينگ المنت كوچك</v>
      </c>
      <c r="G1114" s="1" t="str">
        <f>"عدد"</f>
        <v>عدد</v>
      </c>
      <c r="H1114" s="1">
        <v>15</v>
      </c>
      <c r="I1114" s="1">
        <v>5250000</v>
      </c>
      <c r="J1114" s="1">
        <v>0</v>
      </c>
      <c r="K1114" s="1">
        <v>0</v>
      </c>
      <c r="L1114" s="1">
        <v>1</v>
      </c>
      <c r="M1114" s="1">
        <v>350000</v>
      </c>
      <c r="O1114" s="1">
        <v>97</v>
      </c>
      <c r="P1114" s="4">
        <f t="shared" si="51"/>
        <v>4900000</v>
      </c>
      <c r="Q1114" s="4">
        <f t="shared" si="52"/>
        <v>14</v>
      </c>
      <c r="R1114" s="4">
        <f t="shared" si="53"/>
        <v>350000</v>
      </c>
    </row>
    <row r="1115" spans="1:18">
      <c r="A1115" s="1">
        <v>2</v>
      </c>
      <c r="B1115" s="1" t="str">
        <f>"قطعات و لوازم يدكي"</f>
        <v>قطعات و لوازم يدكي</v>
      </c>
      <c r="C1115" s="1">
        <v>101</v>
      </c>
      <c r="D1115" s="1" t="str">
        <f>"انبار قطعات و لوازم يدكي اصفهان"</f>
        <v>انبار قطعات و لوازم يدكي اصفهان</v>
      </c>
      <c r="E1115" s="1" t="str">
        <f>"4355418542"</f>
        <v>4355418542</v>
      </c>
      <c r="F1115" s="1" t="str">
        <f>"كا پلينگ المنت بزرگ"</f>
        <v>كا پلينگ المنت بزرگ</v>
      </c>
      <c r="G1115" s="1" t="str">
        <f>"عدد"</f>
        <v>عدد</v>
      </c>
      <c r="H1115" s="1">
        <v>15</v>
      </c>
      <c r="I1115" s="1">
        <v>5452381</v>
      </c>
      <c r="J1115" s="1">
        <v>0</v>
      </c>
      <c r="K1115" s="1">
        <v>0</v>
      </c>
      <c r="L1115" s="1">
        <v>0</v>
      </c>
      <c r="M1115" s="1">
        <v>0</v>
      </c>
      <c r="O1115" s="1">
        <v>97</v>
      </c>
      <c r="P1115" s="4">
        <f t="shared" si="51"/>
        <v>5452381</v>
      </c>
      <c r="Q1115" s="4">
        <f t="shared" si="52"/>
        <v>15</v>
      </c>
      <c r="R1115" s="4">
        <f t="shared" si="53"/>
        <v>363492.06666666665</v>
      </c>
    </row>
    <row r="1116" spans="1:18">
      <c r="A1116" s="1">
        <v>2</v>
      </c>
      <c r="B1116" s="1" t="str">
        <f>"قطعات و لوازم يدكي"</f>
        <v>قطعات و لوازم يدكي</v>
      </c>
      <c r="C1116" s="1">
        <v>101</v>
      </c>
      <c r="D1116" s="1" t="str">
        <f>"انبار قطعات و لوازم يدكي اصفهان"</f>
        <v>انبار قطعات و لوازم يدكي اصفهان</v>
      </c>
      <c r="E1116" s="1" t="str">
        <f>"4355418562"</f>
        <v>4355418562</v>
      </c>
      <c r="F1116" s="1" t="str">
        <f>"فن بلور سايز 13.19.27"</f>
        <v>فن بلور سايز 13.19.27</v>
      </c>
      <c r="G1116" s="1" t="str">
        <f>"عدد"</f>
        <v>عدد</v>
      </c>
      <c r="H1116" s="1">
        <v>3</v>
      </c>
      <c r="I1116" s="1">
        <v>1140000</v>
      </c>
      <c r="J1116" s="1">
        <v>0</v>
      </c>
      <c r="K1116" s="1">
        <v>0</v>
      </c>
      <c r="L1116" s="1">
        <v>0</v>
      </c>
      <c r="M1116" s="1">
        <v>0</v>
      </c>
      <c r="O1116" s="1">
        <v>97</v>
      </c>
      <c r="P1116" s="4">
        <f t="shared" si="51"/>
        <v>1140000</v>
      </c>
      <c r="Q1116" s="4">
        <f t="shared" si="52"/>
        <v>3</v>
      </c>
      <c r="R1116" s="4">
        <f t="shared" si="53"/>
        <v>380000</v>
      </c>
    </row>
    <row r="1117" spans="1:18">
      <c r="A1117" s="1">
        <v>2</v>
      </c>
      <c r="B1117" s="1" t="str">
        <f>"قطعات و لوازم يدكي"</f>
        <v>قطعات و لوازم يدكي</v>
      </c>
      <c r="C1117" s="1">
        <v>101</v>
      </c>
      <c r="D1117" s="1" t="str">
        <f>"انبار قطعات و لوازم يدكي اصفهان"</f>
        <v>انبار قطعات و لوازم يدكي اصفهان</v>
      </c>
      <c r="E1117" s="1" t="str">
        <f>"4355418602"</f>
        <v>4355418602</v>
      </c>
      <c r="F1117" s="1" t="str">
        <f>"المنت آبگرمکن ."</f>
        <v>المنت آبگرمکن .</v>
      </c>
      <c r="G1117" s="1" t="str">
        <f>"عدد"</f>
        <v>عدد</v>
      </c>
      <c r="H1117" s="1">
        <v>1</v>
      </c>
      <c r="I1117" s="1">
        <v>200000</v>
      </c>
      <c r="J1117" s="1">
        <v>0</v>
      </c>
      <c r="K1117" s="1">
        <v>0</v>
      </c>
      <c r="L1117" s="1">
        <v>0</v>
      </c>
      <c r="M1117" s="1">
        <v>0</v>
      </c>
      <c r="O1117" s="1">
        <v>97</v>
      </c>
      <c r="P1117" s="4">
        <f t="shared" si="51"/>
        <v>200000</v>
      </c>
      <c r="Q1117" s="4">
        <f t="shared" si="52"/>
        <v>1</v>
      </c>
      <c r="R1117" s="4">
        <f t="shared" si="53"/>
        <v>200000</v>
      </c>
    </row>
    <row r="1118" spans="1:18">
      <c r="A1118" s="1">
        <v>2</v>
      </c>
      <c r="B1118" s="1" t="str">
        <f>"قطعات و لوازم يدكي"</f>
        <v>قطعات و لوازم يدكي</v>
      </c>
      <c r="C1118" s="1">
        <v>101</v>
      </c>
      <c r="D1118" s="1" t="str">
        <f>"انبار قطعات و لوازم يدكي اصفهان"</f>
        <v>انبار قطعات و لوازم يدكي اصفهان</v>
      </c>
      <c r="E1118" s="1" t="str">
        <f>"5800083152"</f>
        <v>5800083152</v>
      </c>
      <c r="F1118" s="1" t="str">
        <f>"بال بيرينگ 6215"</f>
        <v>بال بيرينگ 6215</v>
      </c>
      <c r="G1118" s="1" t="str">
        <f>"عدد"</f>
        <v>عدد</v>
      </c>
      <c r="H1118" s="1">
        <v>20</v>
      </c>
      <c r="I1118" s="1">
        <v>4710000</v>
      </c>
      <c r="J1118" s="1">
        <v>0</v>
      </c>
      <c r="K1118" s="1">
        <v>0</v>
      </c>
      <c r="L1118" s="1">
        <v>0</v>
      </c>
      <c r="M1118" s="1">
        <v>0</v>
      </c>
      <c r="O1118" s="1">
        <v>97</v>
      </c>
      <c r="P1118" s="4">
        <f t="shared" si="51"/>
        <v>4710000</v>
      </c>
      <c r="Q1118" s="4">
        <f t="shared" si="52"/>
        <v>20</v>
      </c>
      <c r="R1118" s="4">
        <f t="shared" si="53"/>
        <v>235500</v>
      </c>
    </row>
    <row r="1119" spans="1:18">
      <c r="A1119" s="1">
        <v>2</v>
      </c>
      <c r="B1119" s="1" t="str">
        <f>"قطعات و لوازم يدكي"</f>
        <v>قطعات و لوازم يدكي</v>
      </c>
      <c r="C1119" s="1">
        <v>101</v>
      </c>
      <c r="D1119" s="1" t="str">
        <f>"انبار قطعات و لوازم يدكي اصفهان"</f>
        <v>انبار قطعات و لوازم يدكي اصفهان</v>
      </c>
      <c r="E1119" s="1" t="str">
        <f>"5800083192"</f>
        <v>5800083192</v>
      </c>
      <c r="F1119" s="1" t="str">
        <f>"بال بيرينگ 6219NS"</f>
        <v>بال بيرينگ 6219NS</v>
      </c>
      <c r="G1119" s="1" t="str">
        <f>"عدد"</f>
        <v>عدد</v>
      </c>
      <c r="H1119" s="1">
        <v>3</v>
      </c>
      <c r="I1119" s="1">
        <v>8850000</v>
      </c>
      <c r="J1119" s="1">
        <v>0</v>
      </c>
      <c r="K1119" s="1">
        <v>0</v>
      </c>
      <c r="L1119" s="1">
        <v>0</v>
      </c>
      <c r="M1119" s="1">
        <v>0</v>
      </c>
      <c r="O1119" s="1">
        <v>97</v>
      </c>
      <c r="P1119" s="4">
        <f t="shared" si="51"/>
        <v>8850000</v>
      </c>
      <c r="Q1119" s="4">
        <f t="shared" si="52"/>
        <v>3</v>
      </c>
      <c r="R1119" s="4">
        <f t="shared" si="53"/>
        <v>2950000</v>
      </c>
    </row>
    <row r="1120" spans="1:18">
      <c r="A1120" s="1">
        <v>2</v>
      </c>
      <c r="B1120" s="1" t="str">
        <f>"قطعات و لوازم يدكي"</f>
        <v>قطعات و لوازم يدكي</v>
      </c>
      <c r="C1120" s="1">
        <v>101</v>
      </c>
      <c r="D1120" s="1" t="str">
        <f>"انبار قطعات و لوازم يدكي اصفهان"</f>
        <v>انبار قطعات و لوازم يدكي اصفهان</v>
      </c>
      <c r="E1120" s="1" t="str">
        <f>"5800083202"</f>
        <v>5800083202</v>
      </c>
      <c r="F1120" s="1" t="str">
        <f>"بال بيرينگ 6220LB"</f>
        <v>بال بيرينگ 6220LB</v>
      </c>
      <c r="G1120" s="1" t="str">
        <f>"عدد"</f>
        <v>عدد</v>
      </c>
      <c r="H1120" s="1">
        <v>2</v>
      </c>
      <c r="I1120" s="1">
        <v>6400000</v>
      </c>
      <c r="J1120" s="1">
        <v>0</v>
      </c>
      <c r="K1120" s="1">
        <v>0</v>
      </c>
      <c r="L1120" s="1">
        <v>0</v>
      </c>
      <c r="M1120" s="1">
        <v>0</v>
      </c>
      <c r="O1120" s="1">
        <v>97</v>
      </c>
      <c r="P1120" s="4">
        <f t="shared" si="51"/>
        <v>6400000</v>
      </c>
      <c r="Q1120" s="4">
        <f t="shared" si="52"/>
        <v>2</v>
      </c>
      <c r="R1120" s="4">
        <f t="shared" si="53"/>
        <v>3200000</v>
      </c>
    </row>
    <row r="1121" spans="1:18">
      <c r="A1121" s="1">
        <v>2</v>
      </c>
      <c r="B1121" s="1" t="str">
        <f>"قطعات و لوازم يدكي"</f>
        <v>قطعات و لوازم يدكي</v>
      </c>
      <c r="C1121" s="1">
        <v>101</v>
      </c>
      <c r="D1121" s="1" t="str">
        <f>"انبار قطعات و لوازم يدكي اصفهان"</f>
        <v>انبار قطعات و لوازم يدكي اصفهان</v>
      </c>
      <c r="E1121" s="1" t="str">
        <f>"5800122062"</f>
        <v>5800122062</v>
      </c>
      <c r="F1121" s="1" t="str">
        <f>"بال بيرينگ 6206-2z/c3"</f>
        <v>بال بيرينگ 6206-2z/c3</v>
      </c>
      <c r="G1121" s="1" t="str">
        <f>"عدد"</f>
        <v>عدد</v>
      </c>
      <c r="H1121" s="1">
        <v>3</v>
      </c>
      <c r="I1121" s="1">
        <v>195000</v>
      </c>
      <c r="J1121" s="1">
        <v>0</v>
      </c>
      <c r="K1121" s="1">
        <v>0</v>
      </c>
      <c r="L1121" s="1">
        <v>0</v>
      </c>
      <c r="M1121" s="1">
        <v>0</v>
      </c>
      <c r="O1121" s="1">
        <v>97</v>
      </c>
      <c r="P1121" s="4">
        <f t="shared" si="51"/>
        <v>195000</v>
      </c>
      <c r="Q1121" s="4">
        <f t="shared" si="52"/>
        <v>3</v>
      </c>
      <c r="R1121" s="4">
        <f t="shared" si="53"/>
        <v>65000</v>
      </c>
    </row>
    <row r="1122" spans="1:18">
      <c r="A1122" s="1">
        <v>2</v>
      </c>
      <c r="B1122" s="1" t="str">
        <f>"قطعات و لوازم يدكي"</f>
        <v>قطعات و لوازم يدكي</v>
      </c>
      <c r="C1122" s="1">
        <v>101</v>
      </c>
      <c r="D1122" s="1" t="str">
        <f>"انبار قطعات و لوازم يدكي اصفهان"</f>
        <v>انبار قطعات و لوازم يدكي اصفهان</v>
      </c>
      <c r="E1122" s="1" t="str">
        <f>"5800168132"</f>
        <v>5800168132</v>
      </c>
      <c r="F1122" s="1" t="str">
        <f>"بال بيرينگ 6313 ZZ C3"</f>
        <v>بال بيرينگ 6313 ZZ C3</v>
      </c>
      <c r="G1122" s="1" t="str">
        <f>"عدد"</f>
        <v>عدد</v>
      </c>
      <c r="H1122" s="1">
        <v>5</v>
      </c>
      <c r="I1122" s="1">
        <v>9900000</v>
      </c>
      <c r="J1122" s="1">
        <v>0</v>
      </c>
      <c r="K1122" s="1">
        <v>0</v>
      </c>
      <c r="L1122" s="1">
        <v>1</v>
      </c>
      <c r="M1122" s="1">
        <v>1980000</v>
      </c>
      <c r="O1122" s="1">
        <v>97</v>
      </c>
      <c r="P1122" s="4">
        <f t="shared" si="51"/>
        <v>7920000</v>
      </c>
      <c r="Q1122" s="4">
        <f t="shared" si="52"/>
        <v>4</v>
      </c>
      <c r="R1122" s="4">
        <f t="shared" si="53"/>
        <v>1980000</v>
      </c>
    </row>
    <row r="1123" spans="1:18">
      <c r="A1123" s="1">
        <v>2</v>
      </c>
      <c r="B1123" s="1" t="str">
        <f>"قطعات و لوازم يدكي"</f>
        <v>قطعات و لوازم يدكي</v>
      </c>
      <c r="C1123" s="1">
        <v>101</v>
      </c>
      <c r="D1123" s="1" t="str">
        <f>"انبار قطعات و لوازم يدكي اصفهان"</f>
        <v>انبار قطعات و لوازم يدكي اصفهان</v>
      </c>
      <c r="E1123" s="1" t="str">
        <f>"5800433082"</f>
        <v>5800433082</v>
      </c>
      <c r="F1123" s="1" t="str">
        <f>"BALL BEARING 3208 C3"</f>
        <v>BALL BEARING 3208 C3</v>
      </c>
      <c r="G1123" s="1" t="str">
        <f>"عدد"</f>
        <v>عدد</v>
      </c>
      <c r="H1123" s="1">
        <v>4</v>
      </c>
      <c r="I1123" s="1">
        <v>7560000</v>
      </c>
      <c r="J1123" s="1">
        <v>0</v>
      </c>
      <c r="K1123" s="1">
        <v>0</v>
      </c>
      <c r="L1123" s="1">
        <v>0</v>
      </c>
      <c r="M1123" s="1">
        <v>0</v>
      </c>
      <c r="O1123" s="1">
        <v>97</v>
      </c>
      <c r="P1123" s="4">
        <f t="shared" si="51"/>
        <v>7560000</v>
      </c>
      <c r="Q1123" s="4">
        <f t="shared" si="52"/>
        <v>4</v>
      </c>
      <c r="R1123" s="4">
        <f t="shared" si="53"/>
        <v>1890000</v>
      </c>
    </row>
    <row r="1124" spans="1:18">
      <c r="A1124" s="1">
        <v>2</v>
      </c>
      <c r="B1124" s="1" t="str">
        <f>"قطعات و لوازم يدكي"</f>
        <v>قطعات و لوازم يدكي</v>
      </c>
      <c r="C1124" s="1">
        <v>101</v>
      </c>
      <c r="D1124" s="1" t="str">
        <f>"انبار قطعات و لوازم يدكي اصفهان"</f>
        <v>انبار قطعات و لوازم يدكي اصفهان</v>
      </c>
      <c r="E1124" s="1" t="str">
        <f>"5800443092"</f>
        <v>5800443092</v>
      </c>
      <c r="F1124" s="1" t="str">
        <f>"بال بيرينگ 3309"</f>
        <v>بال بيرينگ 3309</v>
      </c>
      <c r="G1124" s="1" t="str">
        <f>"عدد"</f>
        <v>عدد</v>
      </c>
      <c r="H1124" s="1">
        <v>15</v>
      </c>
      <c r="I1124" s="1">
        <v>35429449</v>
      </c>
      <c r="J1124" s="1">
        <v>0</v>
      </c>
      <c r="K1124" s="1">
        <v>0</v>
      </c>
      <c r="L1124" s="1">
        <v>4</v>
      </c>
      <c r="M1124" s="1">
        <v>9447852</v>
      </c>
      <c r="O1124" s="1">
        <v>97</v>
      </c>
      <c r="P1124" s="4">
        <f t="shared" si="51"/>
        <v>25981597</v>
      </c>
      <c r="Q1124" s="4">
        <f t="shared" si="52"/>
        <v>11</v>
      </c>
      <c r="R1124" s="4">
        <f t="shared" si="53"/>
        <v>2361963.3636363638</v>
      </c>
    </row>
    <row r="1125" spans="1:18">
      <c r="A1125" s="1">
        <v>2</v>
      </c>
      <c r="B1125" s="1" t="str">
        <f>"قطعات و لوازم يدكي"</f>
        <v>قطعات و لوازم يدكي</v>
      </c>
      <c r="C1125" s="1">
        <v>101</v>
      </c>
      <c r="D1125" s="1" t="str">
        <f>"انبار قطعات و لوازم يدكي اصفهان"</f>
        <v>انبار قطعات و لوازم يدكي اصفهان</v>
      </c>
      <c r="E1125" s="1" t="str">
        <f>"5800564172"</f>
        <v>5800564172</v>
      </c>
      <c r="F1125" s="1" t="str">
        <f>"بال بيرينگ  NU217"</f>
        <v>بال بيرينگ  NU217</v>
      </c>
      <c r="G1125" s="1" t="str">
        <f>"عدد"</f>
        <v>عدد</v>
      </c>
      <c r="H1125" s="1">
        <v>19</v>
      </c>
      <c r="I1125" s="1">
        <v>10925000</v>
      </c>
      <c r="J1125" s="1">
        <v>0</v>
      </c>
      <c r="K1125" s="1">
        <v>0</v>
      </c>
      <c r="L1125" s="1">
        <v>0</v>
      </c>
      <c r="M1125" s="1">
        <v>0</v>
      </c>
      <c r="O1125" s="1">
        <v>97</v>
      </c>
      <c r="P1125" s="4">
        <f t="shared" si="51"/>
        <v>10925000</v>
      </c>
      <c r="Q1125" s="4">
        <f t="shared" si="52"/>
        <v>19</v>
      </c>
      <c r="R1125" s="4">
        <f t="shared" si="53"/>
        <v>575000</v>
      </c>
    </row>
    <row r="1126" spans="1:18">
      <c r="A1126" s="1">
        <v>2</v>
      </c>
      <c r="B1126" s="1" t="str">
        <f>"قطعات و لوازم يدكي"</f>
        <v>قطعات و لوازم يدكي</v>
      </c>
      <c r="C1126" s="1">
        <v>101</v>
      </c>
      <c r="D1126" s="1" t="str">
        <f>"انبار قطعات و لوازم يدكي اصفهان"</f>
        <v>انبار قطعات و لوازم يدكي اصفهان</v>
      </c>
      <c r="E1126" s="1" t="str">
        <f>"5814255882"</f>
        <v>5814255882</v>
      </c>
      <c r="F1126" s="1" t="str">
        <f>"تسمه پروانه              B-138"</f>
        <v>تسمه پروانه              B-138</v>
      </c>
      <c r="G1126" s="1" t="str">
        <f>"عدد"</f>
        <v>عدد</v>
      </c>
      <c r="H1126" s="1">
        <v>13</v>
      </c>
      <c r="I1126" s="1">
        <v>7104000</v>
      </c>
      <c r="J1126" s="1">
        <v>0</v>
      </c>
      <c r="K1126" s="1">
        <v>0</v>
      </c>
      <c r="L1126" s="1">
        <v>0</v>
      </c>
      <c r="M1126" s="1">
        <v>0</v>
      </c>
      <c r="O1126" s="1">
        <v>97</v>
      </c>
      <c r="P1126" s="4">
        <f t="shared" si="51"/>
        <v>7104000</v>
      </c>
      <c r="Q1126" s="4">
        <f t="shared" si="52"/>
        <v>13</v>
      </c>
      <c r="R1126" s="4">
        <f t="shared" si="53"/>
        <v>546461.5384615385</v>
      </c>
    </row>
    <row r="1127" spans="1:18">
      <c r="A1127" s="1">
        <v>2</v>
      </c>
      <c r="B1127" s="1" t="str">
        <f>"قطعات و لوازم يدكي"</f>
        <v>قطعات و لوازم يدكي</v>
      </c>
      <c r="C1127" s="1">
        <v>101</v>
      </c>
      <c r="D1127" s="1" t="str">
        <f>"انبار قطعات و لوازم يدكي اصفهان"</f>
        <v>انبار قطعات و لوازم يدكي اصفهان</v>
      </c>
      <c r="E1127" s="1" t="str">
        <f>"5870277122"</f>
        <v>5870277122</v>
      </c>
      <c r="F1127" s="1" t="str">
        <f>"شيمز اسپيسر 96"</f>
        <v>شيمز اسپيسر 96</v>
      </c>
      <c r="G1127" s="1" t="str">
        <f>"عدد"</f>
        <v>عدد</v>
      </c>
      <c r="H1127" s="1">
        <v>70</v>
      </c>
      <c r="I1127" s="1">
        <v>5250000</v>
      </c>
      <c r="J1127" s="1">
        <v>0</v>
      </c>
      <c r="K1127" s="1">
        <v>0</v>
      </c>
      <c r="L1127" s="1">
        <v>0</v>
      </c>
      <c r="M1127" s="1">
        <v>0</v>
      </c>
      <c r="O1127" s="1">
        <v>97</v>
      </c>
      <c r="P1127" s="4">
        <f t="shared" si="51"/>
        <v>5250000</v>
      </c>
      <c r="Q1127" s="4">
        <f t="shared" si="52"/>
        <v>70</v>
      </c>
      <c r="R1127" s="4">
        <f t="shared" si="53"/>
        <v>75000</v>
      </c>
    </row>
    <row r="1128" spans="1:18">
      <c r="A1128" s="1">
        <v>2</v>
      </c>
      <c r="B1128" s="1" t="str">
        <f>"قطعات و لوازم يدكي"</f>
        <v>قطعات و لوازم يدكي</v>
      </c>
      <c r="C1128" s="1">
        <v>101</v>
      </c>
      <c r="D1128" s="1" t="str">
        <f>"انبار قطعات و لوازم يدكي اصفهان"</f>
        <v>انبار قطعات و لوازم يدكي اصفهان</v>
      </c>
      <c r="E1128" s="1" t="str">
        <f>"5870277162"</f>
        <v>5870277162</v>
      </c>
      <c r="F1128" s="1" t="str">
        <f>"پين استوانه اي شماره 2"</f>
        <v>پين استوانه اي شماره 2</v>
      </c>
      <c r="G1128" s="1" t="str">
        <f>"عدد"</f>
        <v>عدد</v>
      </c>
      <c r="H1128" s="1">
        <v>10</v>
      </c>
      <c r="I1128" s="1">
        <v>385000</v>
      </c>
      <c r="J1128" s="1">
        <v>0</v>
      </c>
      <c r="K1128" s="1">
        <v>0</v>
      </c>
      <c r="L1128" s="1">
        <v>0</v>
      </c>
      <c r="M1128" s="1">
        <v>0</v>
      </c>
      <c r="O1128" s="1">
        <v>97</v>
      </c>
      <c r="P1128" s="4">
        <f t="shared" si="51"/>
        <v>385000</v>
      </c>
      <c r="Q1128" s="4">
        <f t="shared" si="52"/>
        <v>10</v>
      </c>
      <c r="R1128" s="4">
        <f t="shared" si="53"/>
        <v>38500</v>
      </c>
    </row>
    <row r="1129" spans="1:18">
      <c r="A1129" s="1">
        <v>2</v>
      </c>
      <c r="B1129" s="1" t="str">
        <f>"قطعات و لوازم يدكي"</f>
        <v>قطعات و لوازم يدكي</v>
      </c>
      <c r="C1129" s="1">
        <v>101</v>
      </c>
      <c r="D1129" s="1" t="str">
        <f>"انبار قطعات و لوازم يدكي اصفهان"</f>
        <v>انبار قطعات و لوازم يدكي اصفهان</v>
      </c>
      <c r="E1129" s="1" t="str">
        <f>"5923748023"</f>
        <v>5923748023</v>
      </c>
      <c r="F1129" s="1" t="str">
        <f>"ست رينگ لاور 316"</f>
        <v>ست رينگ لاور 316</v>
      </c>
      <c r="G1129" s="1" t="str">
        <f>"عدد"</f>
        <v>عدد</v>
      </c>
      <c r="H1129" s="1">
        <v>3</v>
      </c>
      <c r="I1129" s="1">
        <v>24872053</v>
      </c>
      <c r="J1129" s="1">
        <v>0</v>
      </c>
      <c r="K1129" s="1">
        <v>0</v>
      </c>
      <c r="L1129" s="1">
        <v>0</v>
      </c>
      <c r="M1129" s="1">
        <v>0</v>
      </c>
      <c r="O1129" s="1">
        <v>97</v>
      </c>
      <c r="P1129" s="4">
        <f t="shared" si="51"/>
        <v>24872053</v>
      </c>
      <c r="Q1129" s="4">
        <f t="shared" si="52"/>
        <v>3</v>
      </c>
      <c r="R1129" s="4">
        <f t="shared" si="53"/>
        <v>8290684.333333333</v>
      </c>
    </row>
    <row r="1130" spans="1:18">
      <c r="A1130" s="1">
        <v>2</v>
      </c>
      <c r="B1130" s="1" t="str">
        <f>"قطعات و لوازم يدكي"</f>
        <v>قطعات و لوازم يدكي</v>
      </c>
      <c r="C1130" s="1">
        <v>101</v>
      </c>
      <c r="D1130" s="1" t="str">
        <f>"انبار قطعات و لوازم يدكي اصفهان"</f>
        <v>انبار قطعات و لوازم يدكي اصفهان</v>
      </c>
      <c r="E1130" s="1" t="str">
        <f>"5923763703"</f>
        <v>5923763703</v>
      </c>
      <c r="F1130" s="1" t="str">
        <f>"كاج كاسكت 1R3483X0052"</f>
        <v>كاج كاسكت 1R3483X0052</v>
      </c>
      <c r="G1130" s="1" t="str">
        <f>"عدد"</f>
        <v>عدد</v>
      </c>
      <c r="H1130" s="1">
        <v>10</v>
      </c>
      <c r="I1130" s="1">
        <v>6949491</v>
      </c>
      <c r="J1130" s="1">
        <v>0</v>
      </c>
      <c r="K1130" s="1">
        <v>0</v>
      </c>
      <c r="L1130" s="1">
        <v>0</v>
      </c>
      <c r="M1130" s="1">
        <v>0</v>
      </c>
      <c r="O1130" s="1">
        <v>97</v>
      </c>
      <c r="P1130" s="4">
        <f t="shared" si="51"/>
        <v>6949491</v>
      </c>
      <c r="Q1130" s="4">
        <f t="shared" si="52"/>
        <v>10</v>
      </c>
      <c r="R1130" s="4">
        <f t="shared" si="53"/>
        <v>694949.1</v>
      </c>
    </row>
    <row r="1131" spans="1:18">
      <c r="A1131" s="1">
        <v>2</v>
      </c>
      <c r="B1131" s="1" t="str">
        <f>"قطعات و لوازم يدكي"</f>
        <v>قطعات و لوازم يدكي</v>
      </c>
      <c r="C1131" s="1">
        <v>101</v>
      </c>
      <c r="D1131" s="1" t="str">
        <f>"انبار قطعات و لوازم يدكي اصفهان"</f>
        <v>انبار قطعات و لوازم يدكي اصفهان</v>
      </c>
      <c r="E1131" s="1" t="str">
        <f>"5923769723"</f>
        <v>5923769723</v>
      </c>
      <c r="F1131" s="1" t="str">
        <f>"كاج كاسكت 1U5083-0430"</f>
        <v>كاج كاسكت 1U5083-0430</v>
      </c>
      <c r="G1131" s="1" t="str">
        <f>"عدد"</f>
        <v>عدد</v>
      </c>
      <c r="H1131" s="1">
        <v>11</v>
      </c>
      <c r="I1131" s="1">
        <v>1195238</v>
      </c>
      <c r="J1131" s="1">
        <v>0</v>
      </c>
      <c r="K1131" s="1">
        <v>0</v>
      </c>
      <c r="L1131" s="1">
        <v>0</v>
      </c>
      <c r="M1131" s="1">
        <v>0</v>
      </c>
      <c r="O1131" s="1">
        <v>97</v>
      </c>
      <c r="P1131" s="4">
        <f t="shared" si="51"/>
        <v>1195238</v>
      </c>
      <c r="Q1131" s="4">
        <f t="shared" si="52"/>
        <v>11</v>
      </c>
      <c r="R1131" s="4">
        <f t="shared" si="53"/>
        <v>108658</v>
      </c>
    </row>
    <row r="1132" spans="1:18">
      <c r="A1132" s="1">
        <v>2</v>
      </c>
      <c r="B1132" s="1" t="str">
        <f>"قطعات و لوازم يدكي"</f>
        <v>قطعات و لوازم يدكي</v>
      </c>
      <c r="C1132" s="1">
        <v>101</v>
      </c>
      <c r="D1132" s="1" t="str">
        <f>"انبار قطعات و لوازم يدكي اصفهان"</f>
        <v>انبار قطعات و لوازم يدكي اصفهان</v>
      </c>
      <c r="E1132" s="1" t="str">
        <f>"5923770523"</f>
        <v>5923770523</v>
      </c>
      <c r="F1132" s="1" t="str">
        <f>"اسپرال وند كاسكت"</f>
        <v>اسپرال وند كاسكت</v>
      </c>
      <c r="G1132" s="1" t="str">
        <f>"عدد"</f>
        <v>عدد</v>
      </c>
      <c r="H1132" s="1">
        <v>9</v>
      </c>
      <c r="I1132" s="1">
        <v>3220495</v>
      </c>
      <c r="J1132" s="1">
        <v>0</v>
      </c>
      <c r="K1132" s="1">
        <v>0</v>
      </c>
      <c r="L1132" s="1">
        <v>0</v>
      </c>
      <c r="M1132" s="1">
        <v>0</v>
      </c>
      <c r="O1132" s="1">
        <v>97</v>
      </c>
      <c r="P1132" s="4">
        <f t="shared" si="51"/>
        <v>3220495</v>
      </c>
      <c r="Q1132" s="4">
        <f t="shared" si="52"/>
        <v>9</v>
      </c>
      <c r="R1132" s="4">
        <f t="shared" si="53"/>
        <v>357832.77777777775</v>
      </c>
    </row>
    <row r="1133" spans="1:18">
      <c r="A1133" s="1">
        <v>2</v>
      </c>
      <c r="B1133" s="1" t="str">
        <f>"قطعات و لوازم يدكي"</f>
        <v>قطعات و لوازم يدكي</v>
      </c>
      <c r="C1133" s="1">
        <v>101</v>
      </c>
      <c r="D1133" s="1" t="str">
        <f>"انبار قطعات و لوازم يدكي اصفهان"</f>
        <v>انبار قطعات و لوازم يدكي اصفهان</v>
      </c>
      <c r="E1133" s="1" t="str">
        <f>"5923837683"</f>
        <v>5923837683</v>
      </c>
      <c r="F1133" s="1" t="str">
        <f>"SEAL;BALL"</f>
        <v>SEAL;BALL</v>
      </c>
      <c r="G1133" s="1" t="str">
        <f>"عدد"</f>
        <v>عدد</v>
      </c>
      <c r="H1133" s="1">
        <v>7</v>
      </c>
      <c r="I1133" s="1">
        <v>14050167</v>
      </c>
      <c r="J1133" s="1">
        <v>0</v>
      </c>
      <c r="K1133" s="1">
        <v>0</v>
      </c>
      <c r="L1133" s="1">
        <v>2</v>
      </c>
      <c r="M1133" s="1">
        <v>4014334</v>
      </c>
      <c r="O1133" s="1">
        <v>97</v>
      </c>
      <c r="P1133" s="4">
        <f t="shared" si="51"/>
        <v>10035833</v>
      </c>
      <c r="Q1133" s="4">
        <f t="shared" si="52"/>
        <v>5</v>
      </c>
      <c r="R1133" s="4">
        <f t="shared" si="53"/>
        <v>2007166.6</v>
      </c>
    </row>
    <row r="1134" spans="1:18" hidden="1">
      <c r="A1134" s="1">
        <v>2</v>
      </c>
      <c r="B1134" s="1" t="str">
        <f>"قطعات و لوازم يدكي"</f>
        <v>قطعات و لوازم يدكي</v>
      </c>
      <c r="C1134" s="1">
        <v>120</v>
      </c>
      <c r="D1134" s="1" t="str">
        <f>"انبار قطعات و لوازم يدكي بشکه سازي اصفهان"</f>
        <v>انبار قطعات و لوازم يدكي بشکه سازي اصفهان</v>
      </c>
      <c r="E1134" s="1" t="str">
        <f>"4311700040"</f>
        <v>4311700040</v>
      </c>
      <c r="F1134" s="1" t="str">
        <f>"ابر قالبي بزرگ"</f>
        <v>ابر قالبي بزرگ</v>
      </c>
      <c r="G1134" s="1" t="str">
        <f>"عدد"</f>
        <v>عدد</v>
      </c>
      <c r="H1134" s="1">
        <v>0</v>
      </c>
      <c r="I1134" s="1">
        <v>0</v>
      </c>
      <c r="J1134" s="1">
        <v>8</v>
      </c>
      <c r="K1134" s="1">
        <v>160000</v>
      </c>
      <c r="L1134" s="1">
        <v>8</v>
      </c>
      <c r="M1134" s="1">
        <v>160000</v>
      </c>
      <c r="O1134" s="1">
        <v>97</v>
      </c>
      <c r="P1134" s="1">
        <f t="shared" si="51"/>
        <v>0</v>
      </c>
      <c r="Q1134" s="1">
        <f t="shared" si="52"/>
        <v>0</v>
      </c>
      <c r="R1134" s="1" t="e">
        <f t="shared" si="53"/>
        <v>#DIV/0!</v>
      </c>
    </row>
    <row r="1135" spans="1:18">
      <c r="A1135" s="1">
        <v>2</v>
      </c>
      <c r="B1135" s="1" t="str">
        <f>"قطعات و لوازم يدكي"</f>
        <v>قطعات و لوازم يدكي</v>
      </c>
      <c r="C1135" s="1">
        <v>120</v>
      </c>
      <c r="D1135" s="1" t="str">
        <f>"انبار قطعات و لوازم يدكي بشکه سازي اصفهان"</f>
        <v>انبار قطعات و لوازم يدكي بشکه سازي اصفهان</v>
      </c>
      <c r="E1135" s="1" t="str">
        <f>"4311700063"</f>
        <v>4311700063</v>
      </c>
      <c r="F1135" s="1" t="str">
        <f>"زانو پرسي 3/4 اينچ"</f>
        <v>زانو پرسي 3/4 اينچ</v>
      </c>
      <c r="G1135" s="1" t="str">
        <f>"عدد"</f>
        <v>عدد</v>
      </c>
      <c r="H1135" s="1">
        <v>0</v>
      </c>
      <c r="I1135" s="1">
        <v>0</v>
      </c>
      <c r="J1135" s="1">
        <v>5</v>
      </c>
      <c r="K1135" s="1">
        <v>250000</v>
      </c>
      <c r="L1135" s="1">
        <v>0</v>
      </c>
      <c r="M1135" s="1">
        <v>0</v>
      </c>
      <c r="O1135" s="1">
        <v>97</v>
      </c>
      <c r="P1135" s="4">
        <f t="shared" si="51"/>
        <v>250000</v>
      </c>
      <c r="Q1135" s="4">
        <f t="shared" si="52"/>
        <v>5</v>
      </c>
      <c r="R1135" s="4">
        <f t="shared" si="53"/>
        <v>50000</v>
      </c>
    </row>
    <row r="1136" spans="1:18">
      <c r="A1136" s="1">
        <v>2</v>
      </c>
      <c r="B1136" s="1" t="str">
        <f>"قطعات و لوازم يدكي"</f>
        <v>قطعات و لوازم يدكي</v>
      </c>
      <c r="C1136" s="1">
        <v>120</v>
      </c>
      <c r="D1136" s="1" t="str">
        <f>"انبار قطعات و لوازم يدكي بشکه سازي اصفهان"</f>
        <v>انبار قطعات و لوازم يدكي بشکه سازي اصفهان</v>
      </c>
      <c r="E1136" s="1" t="str">
        <f>"4311700064"</f>
        <v>4311700064</v>
      </c>
      <c r="F1136" s="1" t="str">
        <f>"سه راهي پرس 25*25*25"</f>
        <v>سه راهي پرس 25*25*25</v>
      </c>
      <c r="G1136" s="1" t="str">
        <f>"عدد"</f>
        <v>عدد</v>
      </c>
      <c r="H1136" s="1">
        <v>0</v>
      </c>
      <c r="I1136" s="1">
        <v>0</v>
      </c>
      <c r="J1136" s="1">
        <v>3</v>
      </c>
      <c r="K1136" s="1">
        <v>210000</v>
      </c>
      <c r="L1136" s="1">
        <v>0</v>
      </c>
      <c r="M1136" s="1">
        <v>0</v>
      </c>
      <c r="O1136" s="1">
        <v>97</v>
      </c>
      <c r="P1136" s="4">
        <f t="shared" si="51"/>
        <v>210000</v>
      </c>
      <c r="Q1136" s="4">
        <f t="shared" si="52"/>
        <v>3</v>
      </c>
      <c r="R1136" s="4">
        <f t="shared" si="53"/>
        <v>70000</v>
      </c>
    </row>
    <row r="1137" spans="1:18">
      <c r="A1137" s="1">
        <v>2</v>
      </c>
      <c r="B1137" s="1" t="str">
        <f>"قطعات و لوازم يدكي"</f>
        <v>قطعات و لوازم يدكي</v>
      </c>
      <c r="C1137" s="1">
        <v>120</v>
      </c>
      <c r="D1137" s="1" t="str">
        <f>"انبار قطعات و لوازم يدكي بشکه سازي اصفهان"</f>
        <v>انبار قطعات و لوازم يدكي بشکه سازي اصفهان</v>
      </c>
      <c r="E1137" s="1" t="str">
        <f>"4311700070"</f>
        <v>4311700070</v>
      </c>
      <c r="F1137" s="1" t="str">
        <f>"اورينگ 65*25 ميليمتر"</f>
        <v>اورينگ 65*25 ميليمتر</v>
      </c>
      <c r="G1137" s="1" t="str">
        <f>"عدد"</f>
        <v>عدد</v>
      </c>
      <c r="H1137" s="1">
        <v>0</v>
      </c>
      <c r="I1137" s="1">
        <v>0</v>
      </c>
      <c r="J1137" s="1">
        <v>1</v>
      </c>
      <c r="K1137" s="1">
        <v>5000</v>
      </c>
      <c r="L1137" s="1">
        <v>0</v>
      </c>
      <c r="M1137" s="1">
        <v>0</v>
      </c>
      <c r="O1137" s="1">
        <v>97</v>
      </c>
      <c r="P1137" s="4">
        <f t="shared" si="51"/>
        <v>5000</v>
      </c>
      <c r="Q1137" s="4">
        <f t="shared" si="52"/>
        <v>1</v>
      </c>
      <c r="R1137" s="4">
        <f t="shared" si="53"/>
        <v>5000</v>
      </c>
    </row>
    <row r="1138" spans="1:18">
      <c r="A1138" s="1">
        <v>2</v>
      </c>
      <c r="B1138" s="1" t="str">
        <f>"قطعات و لوازم يدكي"</f>
        <v>قطعات و لوازم يدكي</v>
      </c>
      <c r="C1138" s="1">
        <v>120</v>
      </c>
      <c r="D1138" s="1" t="str">
        <f>"انبار قطعات و لوازم يدكي بشکه سازي اصفهان"</f>
        <v>انبار قطعات و لوازم يدكي بشکه سازي اصفهان</v>
      </c>
      <c r="E1138" s="1" t="str">
        <f>"4311700071"</f>
        <v>4311700071</v>
      </c>
      <c r="F1138" s="1" t="str">
        <f>"اورينگ 60*2/5"</f>
        <v>اورينگ 60*2/5</v>
      </c>
      <c r="G1138" s="1" t="str">
        <f>"عدد"</f>
        <v>عدد</v>
      </c>
      <c r="H1138" s="1">
        <v>0</v>
      </c>
      <c r="I1138" s="1">
        <v>0</v>
      </c>
      <c r="J1138" s="1">
        <v>16</v>
      </c>
      <c r="K1138" s="1">
        <v>80000</v>
      </c>
      <c r="L1138" s="1">
        <v>0</v>
      </c>
      <c r="M1138" s="1">
        <v>0</v>
      </c>
      <c r="O1138" s="1">
        <v>97</v>
      </c>
      <c r="P1138" s="4">
        <f t="shared" si="51"/>
        <v>80000</v>
      </c>
      <c r="Q1138" s="4">
        <f t="shared" si="52"/>
        <v>16</v>
      </c>
      <c r="R1138" s="4">
        <f t="shared" si="53"/>
        <v>5000</v>
      </c>
    </row>
    <row r="1139" spans="1:18">
      <c r="A1139" s="1">
        <v>2</v>
      </c>
      <c r="B1139" s="1" t="str">
        <f>"قطعات و لوازم يدكي"</f>
        <v>قطعات و لوازم يدكي</v>
      </c>
      <c r="C1139" s="1">
        <v>120</v>
      </c>
      <c r="D1139" s="1" t="str">
        <f>"انبار قطعات و لوازم يدكي بشکه سازي اصفهان"</f>
        <v>انبار قطعات و لوازم يدكي بشکه سازي اصفهان</v>
      </c>
      <c r="E1139" s="1" t="str">
        <f>"4311700095"</f>
        <v>4311700095</v>
      </c>
      <c r="F1139" s="1" t="str">
        <f>"اورينگ گان جديد جيوه اي 130-160"</f>
        <v>اورينگ گان جديد جيوه اي 130-160</v>
      </c>
      <c r="G1139" s="1" t="str">
        <f>"عدد"</f>
        <v>عدد</v>
      </c>
      <c r="H1139" s="1">
        <v>0</v>
      </c>
      <c r="I1139" s="1">
        <v>0</v>
      </c>
      <c r="J1139" s="1">
        <v>7</v>
      </c>
      <c r="K1139" s="1">
        <v>105000</v>
      </c>
      <c r="L1139" s="1">
        <v>1</v>
      </c>
      <c r="M1139" s="1">
        <v>15000</v>
      </c>
      <c r="O1139" s="1">
        <v>97</v>
      </c>
      <c r="P1139" s="4">
        <f t="shared" si="51"/>
        <v>90000</v>
      </c>
      <c r="Q1139" s="4">
        <f t="shared" si="52"/>
        <v>6</v>
      </c>
      <c r="R1139" s="4">
        <f t="shared" si="53"/>
        <v>15000</v>
      </c>
    </row>
    <row r="1140" spans="1:18">
      <c r="A1140" s="1">
        <v>2</v>
      </c>
      <c r="B1140" s="1" t="str">
        <f>"قطعات و لوازم يدكي"</f>
        <v>قطعات و لوازم يدكي</v>
      </c>
      <c r="C1140" s="1">
        <v>120</v>
      </c>
      <c r="D1140" s="1" t="str">
        <f>"انبار قطعات و لوازم يدكي بشکه سازي اصفهان"</f>
        <v>انبار قطعات و لوازم يدكي بشکه سازي اصفهان</v>
      </c>
      <c r="E1140" s="1" t="str">
        <f>"4311700108"</f>
        <v>4311700108</v>
      </c>
      <c r="F1140" s="1" t="str">
        <f>"پيچ 8*M10"</f>
        <v>پيچ 8*M10</v>
      </c>
      <c r="G1140" s="1" t="str">
        <f>"عدد"</f>
        <v>عدد</v>
      </c>
      <c r="H1140" s="1">
        <v>0</v>
      </c>
      <c r="I1140" s="1">
        <v>0</v>
      </c>
      <c r="J1140" s="1">
        <v>21</v>
      </c>
      <c r="K1140" s="1">
        <v>42000</v>
      </c>
      <c r="L1140" s="1">
        <v>0</v>
      </c>
      <c r="M1140" s="1">
        <v>0</v>
      </c>
      <c r="O1140" s="1">
        <v>97</v>
      </c>
      <c r="P1140" s="4">
        <f t="shared" si="51"/>
        <v>42000</v>
      </c>
      <c r="Q1140" s="4">
        <f t="shared" si="52"/>
        <v>21</v>
      </c>
      <c r="R1140" s="4">
        <f t="shared" si="53"/>
        <v>2000</v>
      </c>
    </row>
    <row r="1141" spans="1:18">
      <c r="A1141" s="1">
        <v>2</v>
      </c>
      <c r="B1141" s="1" t="str">
        <f>"قطعات و لوازم يدكي"</f>
        <v>قطعات و لوازم يدكي</v>
      </c>
      <c r="C1141" s="1">
        <v>120</v>
      </c>
      <c r="D1141" s="1" t="str">
        <f>"انبار قطعات و لوازم يدكي بشکه سازي اصفهان"</f>
        <v>انبار قطعات و لوازم يدكي بشکه سازي اصفهان</v>
      </c>
      <c r="E1141" s="1" t="str">
        <f>"4311700110"</f>
        <v>4311700110</v>
      </c>
      <c r="F1141" s="1" t="str">
        <f>"پرچ 3 سانتي"</f>
        <v>پرچ 3 سانتي</v>
      </c>
      <c r="G1141" s="1" t="str">
        <f>"عدد"</f>
        <v>عدد</v>
      </c>
      <c r="H1141" s="1">
        <v>0</v>
      </c>
      <c r="I1141" s="1">
        <v>0</v>
      </c>
      <c r="J1141" s="1">
        <v>985</v>
      </c>
      <c r="K1141" s="1">
        <v>2462500</v>
      </c>
      <c r="L1141" s="1">
        <v>528</v>
      </c>
      <c r="M1141" s="1">
        <v>1320000</v>
      </c>
      <c r="O1141" s="1">
        <v>97</v>
      </c>
      <c r="P1141" s="4">
        <f t="shared" si="51"/>
        <v>1142500</v>
      </c>
      <c r="Q1141" s="4">
        <f t="shared" si="52"/>
        <v>457</v>
      </c>
      <c r="R1141" s="4">
        <f t="shared" si="53"/>
        <v>2500</v>
      </c>
    </row>
    <row r="1142" spans="1:18">
      <c r="A1142" s="1">
        <v>2</v>
      </c>
      <c r="B1142" s="1" t="str">
        <f>"قطعات و لوازم يدكي"</f>
        <v>قطعات و لوازم يدكي</v>
      </c>
      <c r="C1142" s="1">
        <v>120</v>
      </c>
      <c r="D1142" s="1" t="str">
        <f>"انبار قطعات و لوازم يدكي بشکه سازي اصفهان"</f>
        <v>انبار قطعات و لوازم يدكي بشکه سازي اصفهان</v>
      </c>
      <c r="E1142" s="1" t="str">
        <f>"4311700112"</f>
        <v>4311700112</v>
      </c>
      <c r="F1142" s="1" t="str">
        <f>"پيچ 8* M16"</f>
        <v>پيچ 8* M16</v>
      </c>
      <c r="G1142" s="1" t="str">
        <f>"عدد"</f>
        <v>عدد</v>
      </c>
      <c r="H1142" s="1">
        <v>0</v>
      </c>
      <c r="I1142" s="1">
        <v>0</v>
      </c>
      <c r="J1142" s="1">
        <v>14</v>
      </c>
      <c r="K1142" s="1">
        <v>35000</v>
      </c>
      <c r="L1142" s="1">
        <v>0</v>
      </c>
      <c r="M1142" s="1">
        <v>0</v>
      </c>
      <c r="O1142" s="1">
        <v>97</v>
      </c>
      <c r="P1142" s="4">
        <f t="shared" si="51"/>
        <v>35000</v>
      </c>
      <c r="Q1142" s="4">
        <f t="shared" si="52"/>
        <v>14</v>
      </c>
      <c r="R1142" s="4">
        <f t="shared" si="53"/>
        <v>2500</v>
      </c>
    </row>
    <row r="1143" spans="1:18">
      <c r="A1143" s="1">
        <v>2</v>
      </c>
      <c r="B1143" s="1" t="str">
        <f>"قطعات و لوازم يدكي"</f>
        <v>قطعات و لوازم يدكي</v>
      </c>
      <c r="C1143" s="1">
        <v>120</v>
      </c>
      <c r="D1143" s="1" t="str">
        <f>"انبار قطعات و لوازم يدكي بشکه سازي اصفهان"</f>
        <v>انبار قطعات و لوازم يدكي بشکه سازي اصفهان</v>
      </c>
      <c r="E1143" s="1" t="str">
        <f>"4311700114"</f>
        <v>4311700114</v>
      </c>
      <c r="F1143" s="1" t="str">
        <f>"لولا درب"</f>
        <v>لولا درب</v>
      </c>
      <c r="G1143" s="1" t="str">
        <f>"عدد"</f>
        <v>عدد</v>
      </c>
      <c r="H1143" s="1">
        <v>0</v>
      </c>
      <c r="I1143" s="1">
        <v>0</v>
      </c>
      <c r="J1143" s="1">
        <v>16</v>
      </c>
      <c r="K1143" s="1">
        <v>480000</v>
      </c>
      <c r="L1143" s="1">
        <v>0</v>
      </c>
      <c r="M1143" s="1">
        <v>0</v>
      </c>
      <c r="O1143" s="1">
        <v>97</v>
      </c>
      <c r="P1143" s="4">
        <f t="shared" si="51"/>
        <v>480000</v>
      </c>
      <c r="Q1143" s="4">
        <f t="shared" si="52"/>
        <v>16</v>
      </c>
      <c r="R1143" s="4">
        <f t="shared" si="53"/>
        <v>30000</v>
      </c>
    </row>
    <row r="1144" spans="1:18" hidden="1">
      <c r="A1144" s="1">
        <v>2</v>
      </c>
      <c r="B1144" s="1" t="str">
        <f>"قطعات و لوازم يدكي"</f>
        <v>قطعات و لوازم يدكي</v>
      </c>
      <c r="C1144" s="1">
        <v>120</v>
      </c>
      <c r="D1144" s="1" t="str">
        <f>"انبار قطعات و لوازم يدكي بشکه سازي اصفهان"</f>
        <v>انبار قطعات و لوازم يدكي بشکه سازي اصفهان</v>
      </c>
      <c r="E1144" s="1" t="str">
        <f>"4311700116"</f>
        <v>4311700116</v>
      </c>
      <c r="F1144" s="1" t="str">
        <f>"پيچ سايز 5"</f>
        <v>پيچ سايز 5</v>
      </c>
      <c r="G1144" s="1" t="str">
        <f>"عدد"</f>
        <v>عدد</v>
      </c>
      <c r="H1144" s="1">
        <v>0</v>
      </c>
      <c r="I1144" s="1">
        <v>0</v>
      </c>
      <c r="J1144" s="1">
        <v>57</v>
      </c>
      <c r="K1144" s="1">
        <v>199500</v>
      </c>
      <c r="L1144" s="1">
        <v>57</v>
      </c>
      <c r="M1144" s="1">
        <v>199500</v>
      </c>
      <c r="O1144" s="1">
        <v>97</v>
      </c>
      <c r="P1144" s="1">
        <f t="shared" si="51"/>
        <v>0</v>
      </c>
      <c r="Q1144" s="1">
        <f t="shared" si="52"/>
        <v>0</v>
      </c>
      <c r="R1144" s="1" t="e">
        <f t="shared" si="53"/>
        <v>#DIV/0!</v>
      </c>
    </row>
    <row r="1145" spans="1:18">
      <c r="A1145" s="1">
        <v>2</v>
      </c>
      <c r="B1145" s="1" t="str">
        <f>"قطعات و لوازم يدكي"</f>
        <v>قطعات و لوازم يدكي</v>
      </c>
      <c r="C1145" s="1">
        <v>120</v>
      </c>
      <c r="D1145" s="1" t="str">
        <f>"انبار قطعات و لوازم يدكي بشکه سازي اصفهان"</f>
        <v>انبار قطعات و لوازم يدكي بشکه سازي اصفهان</v>
      </c>
      <c r="E1145" s="1" t="str">
        <f>"4311700126"</f>
        <v>4311700126</v>
      </c>
      <c r="F1145" s="1" t="str">
        <f>"پيچ 3*M8"</f>
        <v>پيچ 3*M8</v>
      </c>
      <c r="G1145" s="1" t="str">
        <f>"عدد"</f>
        <v>عدد</v>
      </c>
      <c r="H1145" s="1">
        <v>0</v>
      </c>
      <c r="I1145" s="1">
        <v>0</v>
      </c>
      <c r="J1145" s="1">
        <v>31</v>
      </c>
      <c r="K1145" s="1">
        <v>46500</v>
      </c>
      <c r="L1145" s="1">
        <v>0</v>
      </c>
      <c r="M1145" s="1">
        <v>0</v>
      </c>
      <c r="O1145" s="1">
        <v>97</v>
      </c>
      <c r="P1145" s="4">
        <f t="shared" si="51"/>
        <v>46500</v>
      </c>
      <c r="Q1145" s="4">
        <f t="shared" si="52"/>
        <v>31</v>
      </c>
      <c r="R1145" s="4">
        <f t="shared" si="53"/>
        <v>1500</v>
      </c>
    </row>
    <row r="1146" spans="1:18">
      <c r="A1146" s="1">
        <v>2</v>
      </c>
      <c r="B1146" s="1" t="str">
        <f>"قطعات و لوازم يدكي"</f>
        <v>قطعات و لوازم يدكي</v>
      </c>
      <c r="C1146" s="1">
        <v>120</v>
      </c>
      <c r="D1146" s="1" t="str">
        <f>"انبار قطعات و لوازم يدكي بشکه سازي اصفهان"</f>
        <v>انبار قطعات و لوازم يدكي بشکه سازي اصفهان</v>
      </c>
      <c r="E1146" s="1" t="str">
        <f>"4311700127"</f>
        <v>4311700127</v>
      </c>
      <c r="F1146" s="1" t="str">
        <f>"پيچ 7*M18"</f>
        <v>پيچ 7*M18</v>
      </c>
      <c r="G1146" s="1" t="str">
        <f>"عدد"</f>
        <v>عدد</v>
      </c>
      <c r="H1146" s="1">
        <v>0</v>
      </c>
      <c r="I1146" s="1">
        <v>0</v>
      </c>
      <c r="J1146" s="1">
        <v>11</v>
      </c>
      <c r="K1146" s="1">
        <v>27500</v>
      </c>
      <c r="L1146" s="1">
        <v>0</v>
      </c>
      <c r="M1146" s="1">
        <v>0</v>
      </c>
      <c r="O1146" s="1">
        <v>97</v>
      </c>
      <c r="P1146" s="4">
        <f t="shared" si="51"/>
        <v>27500</v>
      </c>
      <c r="Q1146" s="4">
        <f t="shared" si="52"/>
        <v>11</v>
      </c>
      <c r="R1146" s="4">
        <f t="shared" si="53"/>
        <v>2500</v>
      </c>
    </row>
    <row r="1147" spans="1:18">
      <c r="A1147" s="1">
        <v>2</v>
      </c>
      <c r="B1147" s="1" t="str">
        <f>"قطعات و لوازم يدكي"</f>
        <v>قطعات و لوازم يدكي</v>
      </c>
      <c r="C1147" s="1">
        <v>120</v>
      </c>
      <c r="D1147" s="1" t="str">
        <f>"انبار قطعات و لوازم يدكي بشکه سازي اصفهان"</f>
        <v>انبار قطعات و لوازم يدكي بشکه سازي اصفهان</v>
      </c>
      <c r="E1147" s="1" t="str">
        <f>"4311700128"</f>
        <v>4311700128</v>
      </c>
      <c r="F1147" s="1" t="str">
        <f>"پيچ 10 * M 22"</f>
        <v>پيچ 10 * M 22</v>
      </c>
      <c r="G1147" s="1" t="str">
        <f>"عدد"</f>
        <v>عدد</v>
      </c>
      <c r="H1147" s="1">
        <v>0</v>
      </c>
      <c r="I1147" s="1">
        <v>0</v>
      </c>
      <c r="J1147" s="1">
        <v>17</v>
      </c>
      <c r="K1147" s="1">
        <v>544000</v>
      </c>
      <c r="L1147" s="1">
        <v>0</v>
      </c>
      <c r="M1147" s="1">
        <v>0</v>
      </c>
      <c r="O1147" s="1">
        <v>97</v>
      </c>
      <c r="P1147" s="4">
        <f t="shared" si="51"/>
        <v>544000</v>
      </c>
      <c r="Q1147" s="4">
        <f t="shared" si="52"/>
        <v>17</v>
      </c>
      <c r="R1147" s="4">
        <f t="shared" si="53"/>
        <v>32000</v>
      </c>
    </row>
    <row r="1148" spans="1:18">
      <c r="A1148" s="1">
        <v>2</v>
      </c>
      <c r="B1148" s="1" t="str">
        <f>"قطعات و لوازم يدكي"</f>
        <v>قطعات و لوازم يدكي</v>
      </c>
      <c r="C1148" s="1">
        <v>120</v>
      </c>
      <c r="D1148" s="1" t="str">
        <f>"انبار قطعات و لوازم يدكي بشکه سازي اصفهان"</f>
        <v>انبار قطعات و لوازم يدكي بشکه سازي اصفهان</v>
      </c>
      <c r="E1148" s="1" t="str">
        <f>"4311700131"</f>
        <v>4311700131</v>
      </c>
      <c r="F1148" s="1" t="str">
        <f>"پيچ 10 * M 20"</f>
        <v>پيچ 10 * M 20</v>
      </c>
      <c r="G1148" s="1" t="str">
        <f>"عدد"</f>
        <v>عدد</v>
      </c>
      <c r="H1148" s="1">
        <v>0</v>
      </c>
      <c r="I1148" s="1">
        <v>0</v>
      </c>
      <c r="J1148" s="1">
        <v>18</v>
      </c>
      <c r="K1148" s="1">
        <v>468000</v>
      </c>
      <c r="L1148" s="1">
        <v>1</v>
      </c>
      <c r="M1148" s="1">
        <v>26000</v>
      </c>
      <c r="O1148" s="1">
        <v>97</v>
      </c>
      <c r="P1148" s="4">
        <f t="shared" si="51"/>
        <v>442000</v>
      </c>
      <c r="Q1148" s="4">
        <f t="shared" si="52"/>
        <v>17</v>
      </c>
      <c r="R1148" s="4">
        <f t="shared" si="53"/>
        <v>26000</v>
      </c>
    </row>
    <row r="1149" spans="1:18">
      <c r="A1149" s="1">
        <v>2</v>
      </c>
      <c r="B1149" s="1" t="str">
        <f>"قطعات و لوازم يدكي"</f>
        <v>قطعات و لوازم يدكي</v>
      </c>
      <c r="C1149" s="1">
        <v>120</v>
      </c>
      <c r="D1149" s="1" t="str">
        <f>"انبار قطعات و لوازم يدكي بشکه سازي اصفهان"</f>
        <v>انبار قطعات و لوازم يدكي بشکه سازي اصفهان</v>
      </c>
      <c r="E1149" s="1" t="str">
        <f>"4311700135"</f>
        <v>4311700135</v>
      </c>
      <c r="F1149" s="1" t="str">
        <f>"پيچ 7 * M 16"</f>
        <v>پيچ 7 * M 16</v>
      </c>
      <c r="G1149" s="1" t="str">
        <f>"عدد"</f>
        <v>عدد</v>
      </c>
      <c r="H1149" s="1">
        <v>0</v>
      </c>
      <c r="I1149" s="1">
        <v>0</v>
      </c>
      <c r="J1149" s="1">
        <v>16</v>
      </c>
      <c r="K1149" s="1">
        <v>40000</v>
      </c>
      <c r="L1149" s="1">
        <v>0</v>
      </c>
      <c r="M1149" s="1">
        <v>0</v>
      </c>
      <c r="O1149" s="1">
        <v>97</v>
      </c>
      <c r="P1149" s="4">
        <f t="shared" si="51"/>
        <v>40000</v>
      </c>
      <c r="Q1149" s="4">
        <f t="shared" si="52"/>
        <v>16</v>
      </c>
      <c r="R1149" s="4">
        <f t="shared" si="53"/>
        <v>2500</v>
      </c>
    </row>
    <row r="1150" spans="1:18">
      <c r="A1150" s="1">
        <v>2</v>
      </c>
      <c r="B1150" s="1" t="str">
        <f>"قطعات و لوازم يدكي"</f>
        <v>قطعات و لوازم يدكي</v>
      </c>
      <c r="C1150" s="1">
        <v>120</v>
      </c>
      <c r="D1150" s="1" t="str">
        <f>"انبار قطعات و لوازم يدكي بشکه سازي اصفهان"</f>
        <v>انبار قطعات و لوازم يدكي بشکه سازي اصفهان</v>
      </c>
      <c r="E1150" s="1" t="str">
        <f>"4311700151"</f>
        <v>4311700151</v>
      </c>
      <c r="F1150" s="1" t="str">
        <f>"پيچ 8*M20"</f>
        <v>پيچ 8*M20</v>
      </c>
      <c r="G1150" s="1" t="str">
        <f>"عدد"</f>
        <v>عدد</v>
      </c>
      <c r="H1150" s="1">
        <v>0</v>
      </c>
      <c r="I1150" s="1">
        <v>0</v>
      </c>
      <c r="J1150" s="1">
        <v>4</v>
      </c>
      <c r="K1150" s="1">
        <v>10000</v>
      </c>
      <c r="L1150" s="1">
        <v>0</v>
      </c>
      <c r="M1150" s="1">
        <v>0</v>
      </c>
      <c r="O1150" s="1">
        <v>97</v>
      </c>
      <c r="P1150" s="4">
        <f t="shared" si="51"/>
        <v>10000</v>
      </c>
      <c r="Q1150" s="4">
        <f t="shared" si="52"/>
        <v>4</v>
      </c>
      <c r="R1150" s="4">
        <f t="shared" si="53"/>
        <v>2500</v>
      </c>
    </row>
    <row r="1151" spans="1:18">
      <c r="A1151" s="1">
        <v>2</v>
      </c>
      <c r="B1151" s="1" t="str">
        <f>"قطعات و لوازم يدكي"</f>
        <v>قطعات و لوازم يدكي</v>
      </c>
      <c r="C1151" s="1">
        <v>120</v>
      </c>
      <c r="D1151" s="1" t="str">
        <f>"انبار قطعات و لوازم يدكي بشکه سازي اصفهان"</f>
        <v>انبار قطعات و لوازم يدكي بشکه سازي اصفهان</v>
      </c>
      <c r="E1151" s="1" t="str">
        <f>"4311700176"</f>
        <v>4311700176</v>
      </c>
      <c r="F1151" s="1" t="str">
        <f>"مهره M18"</f>
        <v>مهره M18</v>
      </c>
      <c r="G1151" s="1" t="str">
        <f>"عدد"</f>
        <v>عدد</v>
      </c>
      <c r="H1151" s="1">
        <v>0</v>
      </c>
      <c r="I1151" s="1">
        <v>0</v>
      </c>
      <c r="J1151" s="1">
        <v>44</v>
      </c>
      <c r="K1151" s="1">
        <v>118800</v>
      </c>
      <c r="L1151" s="1">
        <v>4</v>
      </c>
      <c r="M1151" s="1">
        <v>10800</v>
      </c>
      <c r="O1151" s="1">
        <v>97</v>
      </c>
      <c r="P1151" s="4">
        <f t="shared" si="51"/>
        <v>108000</v>
      </c>
      <c r="Q1151" s="4">
        <f t="shared" si="52"/>
        <v>40</v>
      </c>
      <c r="R1151" s="4">
        <f t="shared" si="53"/>
        <v>2700</v>
      </c>
    </row>
    <row r="1152" spans="1:18">
      <c r="A1152" s="1">
        <v>2</v>
      </c>
      <c r="B1152" s="1" t="str">
        <f>"قطعات و لوازم يدكي"</f>
        <v>قطعات و لوازم يدكي</v>
      </c>
      <c r="C1152" s="1">
        <v>120</v>
      </c>
      <c r="D1152" s="1" t="str">
        <f>"انبار قطعات و لوازم يدكي بشکه سازي اصفهان"</f>
        <v>انبار قطعات و لوازم يدكي بشکه سازي اصفهان</v>
      </c>
      <c r="E1152" s="1" t="str">
        <f>"4311700185"</f>
        <v>4311700185</v>
      </c>
      <c r="F1152" s="1" t="str">
        <f>"پيچ خودکار 7 سانتي"</f>
        <v>پيچ خودکار 7 سانتي</v>
      </c>
      <c r="G1152" s="1" t="str">
        <f>"عدد"</f>
        <v>عدد</v>
      </c>
      <c r="H1152" s="1">
        <v>0</v>
      </c>
      <c r="I1152" s="1">
        <v>0</v>
      </c>
      <c r="J1152" s="1">
        <v>475</v>
      </c>
      <c r="K1152" s="1">
        <v>237500</v>
      </c>
      <c r="L1152" s="1">
        <v>58</v>
      </c>
      <c r="M1152" s="1">
        <v>29000</v>
      </c>
      <c r="O1152" s="1">
        <v>97</v>
      </c>
      <c r="P1152" s="4">
        <f t="shared" si="51"/>
        <v>208500</v>
      </c>
      <c r="Q1152" s="4">
        <f t="shared" si="52"/>
        <v>417</v>
      </c>
      <c r="R1152" s="4">
        <f t="shared" si="53"/>
        <v>500</v>
      </c>
    </row>
    <row r="1153" spans="1:18">
      <c r="A1153" s="1">
        <v>2</v>
      </c>
      <c r="B1153" s="1" t="str">
        <f>"قطعات و لوازم يدكي"</f>
        <v>قطعات و لوازم يدكي</v>
      </c>
      <c r="C1153" s="1">
        <v>120</v>
      </c>
      <c r="D1153" s="1" t="str">
        <f>"انبار قطعات و لوازم يدكي بشکه سازي اصفهان"</f>
        <v>انبار قطعات و لوازم يدكي بشکه سازي اصفهان</v>
      </c>
      <c r="E1153" s="1" t="str">
        <f>"4311700189"</f>
        <v>4311700189</v>
      </c>
      <c r="F1153" s="1" t="str">
        <f>"ميخ 8 سانتي"</f>
        <v>ميخ 8 سانتي</v>
      </c>
      <c r="G1153" s="1" t="str">
        <f>"عدد"</f>
        <v>عدد</v>
      </c>
      <c r="H1153" s="1">
        <v>0</v>
      </c>
      <c r="I1153" s="1">
        <v>0</v>
      </c>
      <c r="J1153" s="1">
        <v>109</v>
      </c>
      <c r="K1153" s="1">
        <v>218000</v>
      </c>
      <c r="L1153" s="1">
        <v>0</v>
      </c>
      <c r="M1153" s="1">
        <v>0</v>
      </c>
      <c r="O1153" s="1">
        <v>97</v>
      </c>
      <c r="P1153" s="4">
        <f t="shared" si="51"/>
        <v>218000</v>
      </c>
      <c r="Q1153" s="4">
        <f t="shared" si="52"/>
        <v>109</v>
      </c>
      <c r="R1153" s="4">
        <f t="shared" si="53"/>
        <v>2000</v>
      </c>
    </row>
    <row r="1154" spans="1:18">
      <c r="A1154" s="1">
        <v>2</v>
      </c>
      <c r="B1154" s="1" t="str">
        <f>"قطعات و لوازم يدكي"</f>
        <v>قطعات و لوازم يدكي</v>
      </c>
      <c r="C1154" s="1">
        <v>120</v>
      </c>
      <c r="D1154" s="1" t="str">
        <f>"انبار قطعات و لوازم يدكي بشکه سازي اصفهان"</f>
        <v>انبار قطعات و لوازم يدكي بشکه سازي اصفهان</v>
      </c>
      <c r="E1154" s="1" t="str">
        <f>"4311700196"</f>
        <v>4311700196</v>
      </c>
      <c r="F1154" s="1" t="str">
        <f>"بوشن 1 و 1/2 اينچ"</f>
        <v>بوشن 1 و 1/2 اينچ</v>
      </c>
      <c r="G1154" s="1" t="str">
        <f>"عدد"</f>
        <v>عدد</v>
      </c>
      <c r="H1154" s="1">
        <v>0</v>
      </c>
      <c r="I1154" s="1">
        <v>0</v>
      </c>
      <c r="J1154" s="1">
        <v>5</v>
      </c>
      <c r="K1154" s="1">
        <v>250000</v>
      </c>
      <c r="L1154" s="1">
        <v>0</v>
      </c>
      <c r="M1154" s="1">
        <v>0</v>
      </c>
      <c r="O1154" s="1">
        <v>97</v>
      </c>
      <c r="P1154" s="4">
        <f t="shared" si="51"/>
        <v>250000</v>
      </c>
      <c r="Q1154" s="4">
        <f t="shared" si="52"/>
        <v>5</v>
      </c>
      <c r="R1154" s="4">
        <f t="shared" si="53"/>
        <v>50000</v>
      </c>
    </row>
    <row r="1155" spans="1:18">
      <c r="A1155" s="1">
        <v>2</v>
      </c>
      <c r="B1155" s="1" t="str">
        <f>"قطعات و لوازم يدكي"</f>
        <v>قطعات و لوازم يدكي</v>
      </c>
      <c r="C1155" s="1">
        <v>120</v>
      </c>
      <c r="D1155" s="1" t="str">
        <f>"انبار قطعات و لوازم يدكي بشکه سازي اصفهان"</f>
        <v>انبار قطعات و لوازم يدكي بشکه سازي اصفهان</v>
      </c>
      <c r="E1155" s="1" t="str">
        <f>"4311700204"</f>
        <v>4311700204</v>
      </c>
      <c r="F1155" s="1" t="str">
        <f>"مهره و واشر سايز 2"</f>
        <v>مهره و واشر سايز 2</v>
      </c>
      <c r="G1155" s="1" t="str">
        <f>"عدد"</f>
        <v>عدد</v>
      </c>
      <c r="H1155" s="1">
        <v>0</v>
      </c>
      <c r="I1155" s="1">
        <v>0</v>
      </c>
      <c r="J1155" s="1">
        <v>99</v>
      </c>
      <c r="K1155" s="1">
        <v>4653000</v>
      </c>
      <c r="L1155" s="1">
        <v>4</v>
      </c>
      <c r="M1155" s="1">
        <v>188000</v>
      </c>
      <c r="O1155" s="1">
        <v>97</v>
      </c>
      <c r="P1155" s="4">
        <f t="shared" ref="P1155:P1218" si="54">I1155+K1155-M1155</f>
        <v>4465000</v>
      </c>
      <c r="Q1155" s="4">
        <f t="shared" ref="Q1155:Q1218" si="55">H1155+J1155-L1155</f>
        <v>95</v>
      </c>
      <c r="R1155" s="4">
        <f t="shared" ref="R1155:R1218" si="56">P1155/Q1155</f>
        <v>47000</v>
      </c>
    </row>
    <row r="1156" spans="1:18">
      <c r="A1156" s="1">
        <v>2</v>
      </c>
      <c r="B1156" s="1" t="str">
        <f>"قطعات و لوازم يدكي"</f>
        <v>قطعات و لوازم يدكي</v>
      </c>
      <c r="C1156" s="1">
        <v>120</v>
      </c>
      <c r="D1156" s="1" t="str">
        <f>"انبار قطعات و لوازم يدكي بشکه سازي اصفهان"</f>
        <v>انبار قطعات و لوازم يدكي بشکه سازي اصفهان</v>
      </c>
      <c r="E1156" s="1" t="str">
        <f>"4311700209"</f>
        <v>4311700209</v>
      </c>
      <c r="F1156" s="1" t="str">
        <f>"زانو پنوماتيک 8*8"</f>
        <v>زانو پنوماتيک 8*8</v>
      </c>
      <c r="G1156" s="1" t="str">
        <f>"عدد"</f>
        <v>عدد</v>
      </c>
      <c r="H1156" s="1">
        <v>0</v>
      </c>
      <c r="I1156" s="1">
        <v>0</v>
      </c>
      <c r="J1156" s="1">
        <v>8</v>
      </c>
      <c r="K1156" s="1">
        <v>1440000</v>
      </c>
      <c r="L1156" s="1">
        <v>0</v>
      </c>
      <c r="M1156" s="1">
        <v>0</v>
      </c>
      <c r="O1156" s="1">
        <v>97</v>
      </c>
      <c r="P1156" s="4">
        <f t="shared" si="54"/>
        <v>1440000</v>
      </c>
      <c r="Q1156" s="4">
        <f t="shared" si="55"/>
        <v>8</v>
      </c>
      <c r="R1156" s="4">
        <f t="shared" si="56"/>
        <v>180000</v>
      </c>
    </row>
    <row r="1157" spans="1:18">
      <c r="A1157" s="1">
        <v>2</v>
      </c>
      <c r="B1157" s="1" t="str">
        <f>"قطعات و لوازم يدكي"</f>
        <v>قطعات و لوازم يدكي</v>
      </c>
      <c r="C1157" s="1">
        <v>120</v>
      </c>
      <c r="D1157" s="1" t="str">
        <f>"انبار قطعات و لوازم يدكي بشکه سازي اصفهان"</f>
        <v>انبار قطعات و لوازم يدكي بشکه سازي اصفهان</v>
      </c>
      <c r="E1157" s="1" t="str">
        <f>"4311700215"</f>
        <v>4311700215</v>
      </c>
      <c r="F1157" s="1" t="str">
        <f>"تبديل فيتينگي 8*1/8"</f>
        <v>تبديل فيتينگي 8*1/8</v>
      </c>
      <c r="G1157" s="1" t="str">
        <f>"عدد"</f>
        <v>عدد</v>
      </c>
      <c r="H1157" s="1">
        <v>0</v>
      </c>
      <c r="I1157" s="1">
        <v>0</v>
      </c>
      <c r="J1157" s="1">
        <v>13</v>
      </c>
      <c r="K1157" s="1">
        <v>845000</v>
      </c>
      <c r="L1157" s="1">
        <v>1</v>
      </c>
      <c r="M1157" s="1">
        <v>65000</v>
      </c>
      <c r="O1157" s="1">
        <v>97</v>
      </c>
      <c r="P1157" s="4">
        <f t="shared" si="54"/>
        <v>780000</v>
      </c>
      <c r="Q1157" s="4">
        <f t="shared" si="55"/>
        <v>12</v>
      </c>
      <c r="R1157" s="4">
        <f t="shared" si="56"/>
        <v>65000</v>
      </c>
    </row>
    <row r="1158" spans="1:18">
      <c r="A1158" s="1">
        <v>2</v>
      </c>
      <c r="B1158" s="1" t="str">
        <f>"قطعات و لوازم يدكي"</f>
        <v>قطعات و لوازم يدكي</v>
      </c>
      <c r="C1158" s="1">
        <v>120</v>
      </c>
      <c r="D1158" s="1" t="str">
        <f>"انبار قطعات و لوازم يدكي بشکه سازي اصفهان"</f>
        <v>انبار قطعات و لوازم يدكي بشکه سازي اصفهان</v>
      </c>
      <c r="E1158" s="1" t="str">
        <f>"4311700222"</f>
        <v>4311700222</v>
      </c>
      <c r="F1158" s="1" t="str">
        <f>"خار سايز 50"</f>
        <v>خار سايز 50</v>
      </c>
      <c r="G1158" s="1" t="str">
        <f>"عدد"</f>
        <v>عدد</v>
      </c>
      <c r="H1158" s="1">
        <v>0</v>
      </c>
      <c r="I1158" s="1">
        <v>0</v>
      </c>
      <c r="J1158" s="1">
        <v>24</v>
      </c>
      <c r="K1158" s="1">
        <v>120000</v>
      </c>
      <c r="L1158" s="1">
        <v>3</v>
      </c>
      <c r="M1158" s="1">
        <v>15000</v>
      </c>
      <c r="O1158" s="1">
        <v>97</v>
      </c>
      <c r="P1158" s="4">
        <f t="shared" si="54"/>
        <v>105000</v>
      </c>
      <c r="Q1158" s="4">
        <f t="shared" si="55"/>
        <v>21</v>
      </c>
      <c r="R1158" s="4">
        <f t="shared" si="56"/>
        <v>5000</v>
      </c>
    </row>
    <row r="1159" spans="1:18">
      <c r="A1159" s="1">
        <v>2</v>
      </c>
      <c r="B1159" s="1" t="str">
        <f>"قطعات و لوازم يدكي"</f>
        <v>قطعات و لوازم يدكي</v>
      </c>
      <c r="C1159" s="1">
        <v>120</v>
      </c>
      <c r="D1159" s="1" t="str">
        <f>"انبار قطعات و لوازم يدكي بشکه سازي اصفهان"</f>
        <v>انبار قطعات و لوازم يدكي بشکه سازي اصفهان</v>
      </c>
      <c r="E1159" s="1" t="str">
        <f>"4311700224"</f>
        <v>4311700224</v>
      </c>
      <c r="F1159" s="1" t="str">
        <f>"خار سايز 60"</f>
        <v>خار سايز 60</v>
      </c>
      <c r="G1159" s="1" t="str">
        <f>"عدد"</f>
        <v>عدد</v>
      </c>
      <c r="H1159" s="1">
        <v>0</v>
      </c>
      <c r="I1159" s="1">
        <v>0</v>
      </c>
      <c r="J1159" s="1">
        <v>1</v>
      </c>
      <c r="K1159" s="1">
        <v>5000</v>
      </c>
      <c r="L1159" s="1">
        <v>0</v>
      </c>
      <c r="M1159" s="1">
        <v>0</v>
      </c>
      <c r="O1159" s="1">
        <v>97</v>
      </c>
      <c r="P1159" s="4">
        <f t="shared" si="54"/>
        <v>5000</v>
      </c>
      <c r="Q1159" s="4">
        <f t="shared" si="55"/>
        <v>1</v>
      </c>
      <c r="R1159" s="4">
        <f t="shared" si="56"/>
        <v>5000</v>
      </c>
    </row>
    <row r="1160" spans="1:18">
      <c r="A1160" s="1">
        <v>2</v>
      </c>
      <c r="B1160" s="1" t="str">
        <f>"قطعات و لوازم يدكي"</f>
        <v>قطعات و لوازم يدكي</v>
      </c>
      <c r="C1160" s="1">
        <v>120</v>
      </c>
      <c r="D1160" s="1" t="str">
        <f>"انبار قطعات و لوازم يدكي بشکه سازي اصفهان"</f>
        <v>انبار قطعات و لوازم يدكي بشکه سازي اصفهان</v>
      </c>
      <c r="E1160" s="1" t="str">
        <f>"4311700231"</f>
        <v>4311700231</v>
      </c>
      <c r="F1160" s="1" t="str">
        <f>"مغزي 1 اينچ"</f>
        <v>مغزي 1 اينچ</v>
      </c>
      <c r="G1160" s="1" t="str">
        <f>"عدد"</f>
        <v>عدد</v>
      </c>
      <c r="H1160" s="1">
        <v>0</v>
      </c>
      <c r="I1160" s="1">
        <v>0</v>
      </c>
      <c r="J1160" s="1">
        <v>19</v>
      </c>
      <c r="K1160" s="1">
        <v>1520000</v>
      </c>
      <c r="L1160" s="1">
        <v>0</v>
      </c>
      <c r="M1160" s="1">
        <v>0</v>
      </c>
      <c r="O1160" s="1">
        <v>97</v>
      </c>
      <c r="P1160" s="4">
        <f t="shared" si="54"/>
        <v>1520000</v>
      </c>
      <c r="Q1160" s="4">
        <f t="shared" si="55"/>
        <v>19</v>
      </c>
      <c r="R1160" s="4">
        <f t="shared" si="56"/>
        <v>80000</v>
      </c>
    </row>
    <row r="1161" spans="1:18">
      <c r="A1161" s="1">
        <v>2</v>
      </c>
      <c r="B1161" s="1" t="str">
        <f>"قطعات و لوازم يدكي"</f>
        <v>قطعات و لوازم يدكي</v>
      </c>
      <c r="C1161" s="1">
        <v>120</v>
      </c>
      <c r="D1161" s="1" t="str">
        <f>"انبار قطعات و لوازم يدكي بشکه سازي اصفهان"</f>
        <v>انبار قطعات و لوازم يدكي بشکه سازي اصفهان</v>
      </c>
      <c r="E1161" s="1" t="str">
        <f>"4311700234"</f>
        <v>4311700234</v>
      </c>
      <c r="F1161" s="1" t="str">
        <f>"سه راهي 1*1/2 جوشي"</f>
        <v>سه راهي 1*1/2 جوشي</v>
      </c>
      <c r="G1161" s="1" t="str">
        <f>"عدد"</f>
        <v>عدد</v>
      </c>
      <c r="H1161" s="1">
        <v>0</v>
      </c>
      <c r="I1161" s="1">
        <v>0</v>
      </c>
      <c r="J1161" s="1">
        <v>3</v>
      </c>
      <c r="K1161" s="1">
        <v>150000</v>
      </c>
      <c r="L1161" s="1">
        <v>0</v>
      </c>
      <c r="M1161" s="1">
        <v>0</v>
      </c>
      <c r="O1161" s="1">
        <v>97</v>
      </c>
      <c r="P1161" s="4">
        <f t="shared" si="54"/>
        <v>150000</v>
      </c>
      <c r="Q1161" s="4">
        <f t="shared" si="55"/>
        <v>3</v>
      </c>
      <c r="R1161" s="4">
        <f t="shared" si="56"/>
        <v>50000</v>
      </c>
    </row>
    <row r="1162" spans="1:18">
      <c r="A1162" s="1">
        <v>2</v>
      </c>
      <c r="B1162" s="1" t="str">
        <f>"قطعات و لوازم يدكي"</f>
        <v>قطعات و لوازم يدكي</v>
      </c>
      <c r="C1162" s="1">
        <v>120</v>
      </c>
      <c r="D1162" s="1" t="str">
        <f>"انبار قطعات و لوازم يدكي بشکه سازي اصفهان"</f>
        <v>انبار قطعات و لوازم يدكي بشکه سازي اصفهان</v>
      </c>
      <c r="E1162" s="1" t="str">
        <f>"4311700246"</f>
        <v>4311700246</v>
      </c>
      <c r="F1162" s="1" t="str">
        <f>"قرقره مسي سايز 200"</f>
        <v>قرقره مسي سايز 200</v>
      </c>
      <c r="G1162" s="1" t="str">
        <f>"عدد"</f>
        <v>عدد</v>
      </c>
      <c r="H1162" s="1">
        <v>0</v>
      </c>
      <c r="I1162" s="1">
        <v>0</v>
      </c>
      <c r="J1162" s="1">
        <v>3</v>
      </c>
      <c r="K1162" s="1">
        <v>24560000</v>
      </c>
      <c r="L1162" s="1">
        <v>2</v>
      </c>
      <c r="M1162" s="1">
        <v>15560000</v>
      </c>
      <c r="O1162" s="1">
        <v>97</v>
      </c>
      <c r="P1162" s="4">
        <f t="shared" si="54"/>
        <v>9000000</v>
      </c>
      <c r="Q1162" s="4">
        <f t="shared" si="55"/>
        <v>1</v>
      </c>
      <c r="R1162" s="4">
        <f t="shared" si="56"/>
        <v>9000000</v>
      </c>
    </row>
    <row r="1163" spans="1:18">
      <c r="A1163" s="1">
        <v>2</v>
      </c>
      <c r="B1163" s="1" t="str">
        <f>"قطعات و لوازم يدكي"</f>
        <v>قطعات و لوازم يدكي</v>
      </c>
      <c r="C1163" s="1">
        <v>120</v>
      </c>
      <c r="D1163" s="1" t="str">
        <f>"انبار قطعات و لوازم يدكي بشکه سازي اصفهان"</f>
        <v>انبار قطعات و لوازم يدكي بشکه سازي اصفهان</v>
      </c>
      <c r="E1163" s="1" t="str">
        <f>"4311700248"</f>
        <v>4311700248</v>
      </c>
      <c r="F1163" s="1" t="str">
        <f>"قرقره مسي سايز 300"</f>
        <v>قرقره مسي سايز 300</v>
      </c>
      <c r="G1163" s="1" t="str">
        <f>"عدد"</f>
        <v>عدد</v>
      </c>
      <c r="H1163" s="1">
        <v>0</v>
      </c>
      <c r="I1163" s="1">
        <v>0</v>
      </c>
      <c r="J1163" s="1">
        <v>3</v>
      </c>
      <c r="K1163" s="1">
        <v>60000000</v>
      </c>
      <c r="L1163" s="1">
        <v>1</v>
      </c>
      <c r="M1163" s="1">
        <v>20000000</v>
      </c>
      <c r="O1163" s="1">
        <v>97</v>
      </c>
      <c r="P1163" s="4">
        <f t="shared" si="54"/>
        <v>40000000</v>
      </c>
      <c r="Q1163" s="4">
        <f t="shared" si="55"/>
        <v>2</v>
      </c>
      <c r="R1163" s="4">
        <f t="shared" si="56"/>
        <v>20000000</v>
      </c>
    </row>
    <row r="1164" spans="1:18">
      <c r="A1164" s="1">
        <v>2</v>
      </c>
      <c r="B1164" s="1" t="str">
        <f>"قطعات و لوازم يدكي"</f>
        <v>قطعات و لوازم يدكي</v>
      </c>
      <c r="C1164" s="1">
        <v>120</v>
      </c>
      <c r="D1164" s="1" t="str">
        <f>"انبار قطعات و لوازم يدكي بشکه سازي اصفهان"</f>
        <v>انبار قطعات و لوازم يدكي بشکه سازي اصفهان</v>
      </c>
      <c r="E1164" s="1" t="str">
        <f>"4311700273"</f>
        <v>4311700273</v>
      </c>
      <c r="F1164" s="1" t="str">
        <f>"کفي قفسه"</f>
        <v>کفي قفسه</v>
      </c>
      <c r="G1164" s="1" t="str">
        <f>"عدد"</f>
        <v>عدد</v>
      </c>
      <c r="H1164" s="1">
        <v>0</v>
      </c>
      <c r="I1164" s="1">
        <v>0</v>
      </c>
      <c r="J1164" s="1">
        <v>32</v>
      </c>
      <c r="K1164" s="1">
        <v>1600000</v>
      </c>
      <c r="L1164" s="1">
        <v>23</v>
      </c>
      <c r="M1164" s="1">
        <v>1150000</v>
      </c>
      <c r="O1164" s="1">
        <v>97</v>
      </c>
      <c r="P1164" s="4">
        <f t="shared" si="54"/>
        <v>450000</v>
      </c>
      <c r="Q1164" s="4">
        <f t="shared" si="55"/>
        <v>9</v>
      </c>
      <c r="R1164" s="4">
        <f t="shared" si="56"/>
        <v>50000</v>
      </c>
    </row>
    <row r="1165" spans="1:18">
      <c r="A1165" s="1">
        <v>2</v>
      </c>
      <c r="B1165" s="1" t="str">
        <f>"قطعات و لوازم يدكي"</f>
        <v>قطعات و لوازم يدكي</v>
      </c>
      <c r="C1165" s="1">
        <v>120</v>
      </c>
      <c r="D1165" s="1" t="str">
        <f>"انبار قطعات و لوازم يدكي بشکه سازي اصفهان"</f>
        <v>انبار قطعات و لوازم يدكي بشکه سازي اصفهان</v>
      </c>
      <c r="E1165" s="1" t="str">
        <f>"4311700277"</f>
        <v>4311700277</v>
      </c>
      <c r="F1165" s="1" t="str">
        <f>"گسکت سايز 10*6m"</f>
        <v>گسکت سايز 10*6m</v>
      </c>
      <c r="G1165" s="1" t="str">
        <f>"عدد"</f>
        <v>عدد</v>
      </c>
      <c r="H1165" s="1">
        <v>0</v>
      </c>
      <c r="I1165" s="1">
        <v>0</v>
      </c>
      <c r="J1165" s="1">
        <v>13</v>
      </c>
      <c r="K1165" s="1">
        <v>845000</v>
      </c>
      <c r="L1165" s="1">
        <v>0</v>
      </c>
      <c r="M1165" s="1">
        <v>0</v>
      </c>
      <c r="O1165" s="1">
        <v>97</v>
      </c>
      <c r="P1165" s="4">
        <f t="shared" si="54"/>
        <v>845000</v>
      </c>
      <c r="Q1165" s="4">
        <f t="shared" si="55"/>
        <v>13</v>
      </c>
      <c r="R1165" s="4">
        <f t="shared" si="56"/>
        <v>65000</v>
      </c>
    </row>
    <row r="1166" spans="1:18">
      <c r="A1166" s="1">
        <v>2</v>
      </c>
      <c r="B1166" s="1" t="str">
        <f>"قطعات و لوازم يدكي"</f>
        <v>قطعات و لوازم يدكي</v>
      </c>
      <c r="C1166" s="1">
        <v>120</v>
      </c>
      <c r="D1166" s="1" t="str">
        <f>"انبار قطعات و لوازم يدكي بشکه سازي اصفهان"</f>
        <v>انبار قطعات و لوازم يدكي بشکه سازي اصفهان</v>
      </c>
      <c r="E1166" s="1" t="str">
        <f>"4311700278"</f>
        <v>4311700278</v>
      </c>
      <c r="F1166" s="1" t="str">
        <f>"گسکت سايز 19"</f>
        <v>گسکت سايز 19</v>
      </c>
      <c r="G1166" s="1" t="str">
        <f>"عدد"</f>
        <v>عدد</v>
      </c>
      <c r="H1166" s="1">
        <v>0</v>
      </c>
      <c r="I1166" s="1">
        <v>0</v>
      </c>
      <c r="J1166" s="1">
        <v>8</v>
      </c>
      <c r="K1166" s="1">
        <v>988000</v>
      </c>
      <c r="L1166" s="1">
        <v>0</v>
      </c>
      <c r="M1166" s="1">
        <v>0</v>
      </c>
      <c r="O1166" s="1">
        <v>97</v>
      </c>
      <c r="P1166" s="4">
        <f t="shared" si="54"/>
        <v>988000</v>
      </c>
      <c r="Q1166" s="4">
        <f t="shared" si="55"/>
        <v>8</v>
      </c>
      <c r="R1166" s="4">
        <f t="shared" si="56"/>
        <v>123500</v>
      </c>
    </row>
    <row r="1167" spans="1:18">
      <c r="A1167" s="1">
        <v>2</v>
      </c>
      <c r="B1167" s="1" t="str">
        <f>"قطعات و لوازم يدكي"</f>
        <v>قطعات و لوازم يدكي</v>
      </c>
      <c r="C1167" s="1">
        <v>120</v>
      </c>
      <c r="D1167" s="1" t="str">
        <f>"انبار قطعات و لوازم يدكي بشکه سازي اصفهان"</f>
        <v>انبار قطعات و لوازم يدكي بشکه سازي اصفهان</v>
      </c>
      <c r="E1167" s="1" t="str">
        <f>"4311700281"</f>
        <v>4311700281</v>
      </c>
      <c r="F1167" s="1" t="str">
        <f>"گسکت سايز 7"</f>
        <v>گسکت سايز 7</v>
      </c>
      <c r="G1167" s="1" t="str">
        <f>"عدد"</f>
        <v>عدد</v>
      </c>
      <c r="H1167" s="1">
        <v>0</v>
      </c>
      <c r="I1167" s="1">
        <v>0</v>
      </c>
      <c r="J1167" s="1">
        <v>34</v>
      </c>
      <c r="K1167" s="1">
        <v>1547000</v>
      </c>
      <c r="L1167" s="1">
        <v>0</v>
      </c>
      <c r="M1167" s="1">
        <v>0</v>
      </c>
      <c r="O1167" s="1">
        <v>97</v>
      </c>
      <c r="P1167" s="4">
        <f t="shared" si="54"/>
        <v>1547000</v>
      </c>
      <c r="Q1167" s="4">
        <f t="shared" si="55"/>
        <v>34</v>
      </c>
      <c r="R1167" s="4">
        <f t="shared" si="56"/>
        <v>45500</v>
      </c>
    </row>
    <row r="1168" spans="1:18">
      <c r="A1168" s="1">
        <v>2</v>
      </c>
      <c r="B1168" s="1" t="str">
        <f>"قطعات و لوازم يدكي"</f>
        <v>قطعات و لوازم يدكي</v>
      </c>
      <c r="C1168" s="1">
        <v>120</v>
      </c>
      <c r="D1168" s="1" t="str">
        <f>"انبار قطعات و لوازم يدكي بشکه سازي اصفهان"</f>
        <v>انبار قطعات و لوازم يدكي بشکه سازي اصفهان</v>
      </c>
      <c r="E1168" s="1" t="str">
        <f>"4311700313"</f>
        <v>4311700313</v>
      </c>
      <c r="F1168" s="1" t="str">
        <f>"درپوش 1/2."</f>
        <v>درپوش 1/2.</v>
      </c>
      <c r="G1168" s="1" t="str">
        <f>"عدد"</f>
        <v>عدد</v>
      </c>
      <c r="H1168" s="1">
        <v>0</v>
      </c>
      <c r="I1168" s="1">
        <v>0</v>
      </c>
      <c r="J1168" s="1">
        <v>3</v>
      </c>
      <c r="K1168" s="1">
        <v>15000</v>
      </c>
      <c r="L1168" s="1">
        <v>0</v>
      </c>
      <c r="M1168" s="1">
        <v>0</v>
      </c>
      <c r="O1168" s="1">
        <v>97</v>
      </c>
      <c r="P1168" s="4">
        <f t="shared" si="54"/>
        <v>15000</v>
      </c>
      <c r="Q1168" s="4">
        <f t="shared" si="55"/>
        <v>3</v>
      </c>
      <c r="R1168" s="4">
        <f t="shared" si="56"/>
        <v>5000</v>
      </c>
    </row>
    <row r="1169" spans="1:18">
      <c r="A1169" s="1">
        <v>2</v>
      </c>
      <c r="B1169" s="1" t="str">
        <f>"قطعات و لوازم يدكي"</f>
        <v>قطعات و لوازم يدكي</v>
      </c>
      <c r="C1169" s="1">
        <v>120</v>
      </c>
      <c r="D1169" s="1" t="str">
        <f>"انبار قطعات و لوازم يدكي بشکه سازي اصفهان"</f>
        <v>انبار قطعات و لوازم يدكي بشکه سازي اصفهان</v>
      </c>
      <c r="E1169" s="1" t="str">
        <f>"4311700335"</f>
        <v>4311700335</v>
      </c>
      <c r="F1169" s="1" t="str">
        <f>"المنت ميله اي"</f>
        <v>المنت ميله اي</v>
      </c>
      <c r="G1169" s="1" t="str">
        <f>"عدد"</f>
        <v>عدد</v>
      </c>
      <c r="H1169" s="1">
        <v>0</v>
      </c>
      <c r="I1169" s="1">
        <v>0</v>
      </c>
      <c r="J1169" s="1">
        <v>3</v>
      </c>
      <c r="K1169" s="1">
        <v>3420000</v>
      </c>
      <c r="L1169" s="1">
        <v>0</v>
      </c>
      <c r="M1169" s="1">
        <v>0</v>
      </c>
      <c r="O1169" s="1">
        <v>97</v>
      </c>
      <c r="P1169" s="4">
        <f t="shared" si="54"/>
        <v>3420000</v>
      </c>
      <c r="Q1169" s="4">
        <f t="shared" si="55"/>
        <v>3</v>
      </c>
      <c r="R1169" s="4">
        <f t="shared" si="56"/>
        <v>1140000</v>
      </c>
    </row>
    <row r="1170" spans="1:18">
      <c r="A1170" s="1">
        <v>2</v>
      </c>
      <c r="B1170" s="1" t="str">
        <f>"قطعات و لوازم يدكي"</f>
        <v>قطعات و لوازم يدكي</v>
      </c>
      <c r="C1170" s="1">
        <v>101</v>
      </c>
      <c r="D1170" s="1" t="str">
        <f>"انبار قطعات و لوازم يدكي اصفهان"</f>
        <v>انبار قطعات و لوازم يدكي اصفهان</v>
      </c>
      <c r="E1170" s="1" t="str">
        <f>"7640390102"</f>
        <v>7640390102</v>
      </c>
      <c r="F1170" s="1" t="str">
        <f>"استد البو 1/4*1/4 (MAEL)"</f>
        <v>استد البو 1/4*1/4 (MAEL)</v>
      </c>
      <c r="G1170" s="1" t="str">
        <f>"عدد"</f>
        <v>عدد</v>
      </c>
      <c r="H1170" s="1">
        <v>34</v>
      </c>
      <c r="I1170" s="1">
        <v>4808571</v>
      </c>
      <c r="J1170" s="1">
        <v>1</v>
      </c>
      <c r="K1170" s="1">
        <v>141429</v>
      </c>
      <c r="L1170" s="1">
        <v>4</v>
      </c>
      <c r="M1170" s="1">
        <v>565715</v>
      </c>
      <c r="O1170" s="1">
        <v>97</v>
      </c>
      <c r="P1170" s="4">
        <f t="shared" si="54"/>
        <v>4384285</v>
      </c>
      <c r="Q1170" s="4">
        <f t="shared" si="55"/>
        <v>31</v>
      </c>
      <c r="R1170" s="4">
        <f t="shared" si="56"/>
        <v>141428.54838709679</v>
      </c>
    </row>
    <row r="1171" spans="1:18">
      <c r="A1171" s="1">
        <v>2</v>
      </c>
      <c r="B1171" s="1" t="str">
        <f>"قطعات و لوازم يدكي"</f>
        <v>قطعات و لوازم يدكي</v>
      </c>
      <c r="C1171" s="1">
        <v>101</v>
      </c>
      <c r="D1171" s="1" t="str">
        <f>"انبار قطعات و لوازم يدكي اصفهان"</f>
        <v>انبار قطعات و لوازم يدكي اصفهان</v>
      </c>
      <c r="E1171" s="1" t="str">
        <f>"7640390302"</f>
        <v>7640390302</v>
      </c>
      <c r="F1171" s="1" t="str">
        <f>"استد البو 3/4*3/4 (MAEL)"</f>
        <v>استد البو 3/4*3/4 (MAEL)</v>
      </c>
      <c r="G1171" s="1" t="str">
        <f>"عدد"</f>
        <v>عدد</v>
      </c>
      <c r="H1171" s="1">
        <v>10</v>
      </c>
      <c r="I1171" s="1">
        <v>5650000</v>
      </c>
      <c r="J1171" s="1">
        <v>15</v>
      </c>
      <c r="K1171" s="1">
        <v>21450000</v>
      </c>
      <c r="L1171" s="1">
        <v>11</v>
      </c>
      <c r="M1171" s="1">
        <v>10933182</v>
      </c>
      <c r="O1171" s="1">
        <v>97</v>
      </c>
      <c r="P1171" s="4">
        <f t="shared" si="54"/>
        <v>16166818</v>
      </c>
      <c r="Q1171" s="4">
        <f t="shared" si="55"/>
        <v>14</v>
      </c>
      <c r="R1171" s="4">
        <f t="shared" si="56"/>
        <v>1154772.7142857143</v>
      </c>
    </row>
    <row r="1172" spans="1:18">
      <c r="A1172" s="1">
        <v>2</v>
      </c>
      <c r="B1172" s="1" t="str">
        <f>"قطعات و لوازم يدكي"</f>
        <v>قطعات و لوازم يدكي</v>
      </c>
      <c r="C1172" s="1">
        <v>101</v>
      </c>
      <c r="D1172" s="1" t="str">
        <f>"انبار قطعات و لوازم يدكي اصفهان"</f>
        <v>انبار قطعات و لوازم يدكي اصفهان</v>
      </c>
      <c r="E1172" s="1" t="str">
        <f>"7640490042"</f>
        <v>7640490042</v>
      </c>
      <c r="F1172" s="1" t="str">
        <f>"FROL BACK FROL 1/4"</f>
        <v>FROL BACK FROL 1/4</v>
      </c>
      <c r="G1172" s="1" t="str">
        <f>"عدد"</f>
        <v>عدد</v>
      </c>
      <c r="H1172" s="1">
        <v>116</v>
      </c>
      <c r="I1172" s="1">
        <v>2958000</v>
      </c>
      <c r="J1172" s="1">
        <v>150</v>
      </c>
      <c r="K1172" s="1">
        <v>12375000</v>
      </c>
      <c r="L1172" s="1">
        <v>25</v>
      </c>
      <c r="M1172" s="1">
        <v>811280</v>
      </c>
      <c r="O1172" s="1">
        <v>97</v>
      </c>
      <c r="P1172" s="4">
        <f t="shared" si="54"/>
        <v>14521720</v>
      </c>
      <c r="Q1172" s="4">
        <f t="shared" si="55"/>
        <v>241</v>
      </c>
      <c r="R1172" s="4">
        <f t="shared" si="56"/>
        <v>60256.099585062242</v>
      </c>
    </row>
    <row r="1173" spans="1:18">
      <c r="A1173" s="1">
        <v>2</v>
      </c>
      <c r="B1173" s="1" t="str">
        <f>"قطعات و لوازم يدكي"</f>
        <v>قطعات و لوازم يدكي</v>
      </c>
      <c r="C1173" s="1">
        <v>101</v>
      </c>
      <c r="D1173" s="1" t="str">
        <f>"انبار قطعات و لوازم يدكي اصفهان"</f>
        <v>انبار قطعات و لوازم يدكي اصفهان</v>
      </c>
      <c r="E1173" s="1" t="str">
        <f>"7640840062"</f>
        <v>7640840062</v>
      </c>
      <c r="F1173" s="1" t="str">
        <f>"TEE EQAL 3/8 TUBE*TUBE"</f>
        <v>TEE EQAL 3/8 TUBE*TUBE</v>
      </c>
      <c r="G1173" s="1" t="str">
        <f>"عدد"</f>
        <v>عدد</v>
      </c>
      <c r="H1173" s="1">
        <v>10</v>
      </c>
      <c r="I1173" s="1">
        <v>5865000</v>
      </c>
      <c r="J1173" s="1">
        <v>20</v>
      </c>
      <c r="K1173" s="1">
        <v>21706000</v>
      </c>
      <c r="L1173" s="1">
        <v>11</v>
      </c>
      <c r="M1173" s="1">
        <v>7075000</v>
      </c>
      <c r="O1173" s="1">
        <v>97</v>
      </c>
      <c r="P1173" s="4">
        <f t="shared" si="54"/>
        <v>20496000</v>
      </c>
      <c r="Q1173" s="4">
        <f t="shared" si="55"/>
        <v>19</v>
      </c>
      <c r="R1173" s="4">
        <f t="shared" si="56"/>
        <v>1078736.8421052631</v>
      </c>
    </row>
    <row r="1174" spans="1:18">
      <c r="A1174" s="1">
        <v>2</v>
      </c>
      <c r="B1174" s="1" t="str">
        <f>"قطعات و لوازم يدكي"</f>
        <v>قطعات و لوازم يدكي</v>
      </c>
      <c r="C1174" s="1">
        <v>101</v>
      </c>
      <c r="D1174" s="1" t="str">
        <f>"انبار قطعات و لوازم يدكي اصفهان"</f>
        <v>انبار قطعات و لوازم يدكي اصفهان</v>
      </c>
      <c r="E1174" s="1" t="str">
        <f>"7662100742"</f>
        <v>7662100742</v>
      </c>
      <c r="F1174" s="1" t="s">
        <v>83</v>
      </c>
      <c r="G1174" s="1" t="str">
        <f>"عدد"</f>
        <v>عدد</v>
      </c>
      <c r="H1174" s="1">
        <v>7</v>
      </c>
      <c r="I1174" s="1">
        <v>3696856</v>
      </c>
      <c r="J1174" s="1">
        <v>0</v>
      </c>
      <c r="K1174" s="1">
        <v>0</v>
      </c>
      <c r="L1174" s="1">
        <v>2</v>
      </c>
      <c r="M1174" s="1">
        <v>1056245</v>
      </c>
      <c r="O1174" s="1">
        <v>97</v>
      </c>
      <c r="P1174" s="4">
        <f t="shared" si="54"/>
        <v>2640611</v>
      </c>
      <c r="Q1174" s="4">
        <f t="shared" si="55"/>
        <v>5</v>
      </c>
      <c r="R1174" s="4">
        <f t="shared" si="56"/>
        <v>528122.19999999995</v>
      </c>
    </row>
    <row r="1175" spans="1:18">
      <c r="A1175" s="1">
        <v>2</v>
      </c>
      <c r="B1175" s="1" t="str">
        <f>"قطعات و لوازم يدكي"</f>
        <v>قطعات و لوازم يدكي</v>
      </c>
      <c r="C1175" s="1">
        <v>101</v>
      </c>
      <c r="D1175" s="1" t="str">
        <f>"انبار قطعات و لوازم يدكي اصفهان"</f>
        <v>انبار قطعات و لوازم يدكي اصفهان</v>
      </c>
      <c r="E1175" s="1" t="str">
        <f>"7662100762"</f>
        <v>7662100762</v>
      </c>
      <c r="F1175" s="1" t="s">
        <v>84</v>
      </c>
      <c r="G1175" s="1" t="str">
        <f>"عدد"</f>
        <v>عدد</v>
      </c>
      <c r="H1175" s="1">
        <v>2</v>
      </c>
      <c r="I1175" s="1">
        <v>1350000</v>
      </c>
      <c r="J1175" s="1">
        <v>2</v>
      </c>
      <c r="K1175" s="1">
        <v>1400000</v>
      </c>
      <c r="L1175" s="1">
        <v>1</v>
      </c>
      <c r="M1175" s="1">
        <v>687500</v>
      </c>
      <c r="O1175" s="1">
        <v>97</v>
      </c>
      <c r="P1175" s="4">
        <f t="shared" si="54"/>
        <v>2062500</v>
      </c>
      <c r="Q1175" s="4">
        <f t="shared" si="55"/>
        <v>3</v>
      </c>
      <c r="R1175" s="4">
        <f t="shared" si="56"/>
        <v>687500</v>
      </c>
    </row>
    <row r="1176" spans="1:18" hidden="1">
      <c r="A1176" s="1">
        <v>2</v>
      </c>
      <c r="B1176" s="1" t="str">
        <f>"قطعات و لوازم يدكي"</f>
        <v>قطعات و لوازم يدكي</v>
      </c>
      <c r="C1176" s="1">
        <v>101</v>
      </c>
      <c r="D1176" s="1" t="str">
        <f>"انبار قطعات و لوازم يدكي اصفهان"</f>
        <v>انبار قطعات و لوازم يدكي اصفهان</v>
      </c>
      <c r="E1176" s="1" t="str">
        <f>"7662100782"</f>
        <v>7662100782</v>
      </c>
      <c r="F1176" s="1" t="s">
        <v>85</v>
      </c>
      <c r="G1176" s="1" t="str">
        <f>"عدد"</f>
        <v>عدد</v>
      </c>
      <c r="H1176" s="1">
        <v>0</v>
      </c>
      <c r="I1176" s="1">
        <v>0</v>
      </c>
      <c r="J1176" s="1">
        <v>2</v>
      </c>
      <c r="K1176" s="1">
        <v>2400000</v>
      </c>
      <c r="L1176" s="1">
        <v>2</v>
      </c>
      <c r="M1176" s="1">
        <v>2400000</v>
      </c>
      <c r="O1176" s="1">
        <v>97</v>
      </c>
      <c r="P1176" s="1">
        <f t="shared" si="54"/>
        <v>0</v>
      </c>
      <c r="Q1176" s="1">
        <f t="shared" si="55"/>
        <v>0</v>
      </c>
      <c r="R1176" s="1" t="e">
        <f t="shared" si="56"/>
        <v>#DIV/0!</v>
      </c>
    </row>
    <row r="1177" spans="1:18" hidden="1">
      <c r="A1177" s="1">
        <v>2</v>
      </c>
      <c r="B1177" s="1" t="str">
        <f>"قطعات و لوازم يدكي"</f>
        <v>قطعات و لوازم يدكي</v>
      </c>
      <c r="C1177" s="1">
        <v>101</v>
      </c>
      <c r="D1177" s="1" t="str">
        <f>"انبار قطعات و لوازم يدكي اصفهان"</f>
        <v>انبار قطعات و لوازم يدكي اصفهان</v>
      </c>
      <c r="E1177" s="1" t="str">
        <f>"7662300682"</f>
        <v>7662300682</v>
      </c>
      <c r="F1177" s="1" t="str">
        <f>"فلنج سيليپون 3 کلاس 150"</f>
        <v>فلنج سيليپون 3 کلاس 150</v>
      </c>
      <c r="G1177" s="1" t="str">
        <f>"عدد"</f>
        <v>عدد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O1177" s="1">
        <v>97</v>
      </c>
      <c r="P1177" s="1">
        <f t="shared" si="54"/>
        <v>0</v>
      </c>
      <c r="Q1177" s="1">
        <f t="shared" si="55"/>
        <v>0</v>
      </c>
      <c r="R1177" s="1" t="e">
        <f t="shared" si="56"/>
        <v>#DIV/0!</v>
      </c>
    </row>
    <row r="1178" spans="1:18" hidden="1">
      <c r="A1178" s="1">
        <v>2</v>
      </c>
      <c r="B1178" s="1" t="str">
        <f>"قطعات و لوازم يدكي"</f>
        <v>قطعات و لوازم يدكي</v>
      </c>
      <c r="C1178" s="1">
        <v>101</v>
      </c>
      <c r="D1178" s="1" t="str">
        <f>"انبار قطعات و لوازم يدكي اصفهان"</f>
        <v>انبار قطعات و لوازم يدكي اصفهان</v>
      </c>
      <c r="E1178" s="1" t="str">
        <f>"7662301122"</f>
        <v>7662301122</v>
      </c>
      <c r="F1178" s="1" t="s">
        <v>86</v>
      </c>
      <c r="G1178" s="1" t="str">
        <f>"عدد"</f>
        <v>عدد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O1178" s="1">
        <v>97</v>
      </c>
      <c r="P1178" s="1">
        <f t="shared" si="54"/>
        <v>0</v>
      </c>
      <c r="Q1178" s="1">
        <f t="shared" si="55"/>
        <v>0</v>
      </c>
      <c r="R1178" s="1" t="e">
        <f t="shared" si="56"/>
        <v>#DIV/0!</v>
      </c>
    </row>
    <row r="1179" spans="1:18" hidden="1">
      <c r="A1179" s="1">
        <v>2</v>
      </c>
      <c r="B1179" s="1" t="str">
        <f>"قطعات و لوازم يدكي"</f>
        <v>قطعات و لوازم يدكي</v>
      </c>
      <c r="C1179" s="1">
        <v>101</v>
      </c>
      <c r="D1179" s="1" t="str">
        <f>"انبار قطعات و لوازم يدكي اصفهان"</f>
        <v>انبار قطعات و لوازم يدكي اصفهان</v>
      </c>
      <c r="E1179" s="1" t="str">
        <f>"7662400822"</f>
        <v>7662400822</v>
      </c>
      <c r="F1179" s="1" t="str">
        <f>"رديوس فلنج 12*10 كلاس 150"</f>
        <v>رديوس فلنج 12*10 كلاس 150</v>
      </c>
      <c r="G1179" s="1" t="str">
        <f>"عدد"</f>
        <v>عدد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O1179" s="1">
        <v>97</v>
      </c>
      <c r="P1179" s="1">
        <f t="shared" si="54"/>
        <v>0</v>
      </c>
      <c r="Q1179" s="1">
        <f t="shared" si="55"/>
        <v>0</v>
      </c>
      <c r="R1179" s="1" t="e">
        <f t="shared" si="56"/>
        <v>#DIV/0!</v>
      </c>
    </row>
    <row r="1180" spans="1:18">
      <c r="A1180" s="1">
        <v>2</v>
      </c>
      <c r="B1180" s="1" t="str">
        <f>"قطعات و لوازم يدكي"</f>
        <v>قطعات و لوازم يدكي</v>
      </c>
      <c r="C1180" s="1">
        <v>101</v>
      </c>
      <c r="D1180" s="1" t="str">
        <f>"انبار قطعات و لوازم يدكي اصفهان"</f>
        <v>انبار قطعات و لوازم يدكي اصفهان</v>
      </c>
      <c r="E1180" s="1" t="str">
        <f>"7662700082"</f>
        <v>7662700082</v>
      </c>
      <c r="F1180" s="1" t="s">
        <v>87</v>
      </c>
      <c r="G1180" s="1" t="str">
        <f>"عدد"</f>
        <v>عدد</v>
      </c>
      <c r="H1180" s="1">
        <v>4</v>
      </c>
      <c r="I1180" s="1">
        <v>368000</v>
      </c>
      <c r="J1180" s="1">
        <v>0</v>
      </c>
      <c r="K1180" s="1">
        <v>0</v>
      </c>
      <c r="L1180" s="1">
        <v>0</v>
      </c>
      <c r="M1180" s="1">
        <v>0</v>
      </c>
      <c r="O1180" s="1">
        <v>97</v>
      </c>
      <c r="P1180" s="4">
        <f t="shared" si="54"/>
        <v>368000</v>
      </c>
      <c r="Q1180" s="4">
        <f t="shared" si="55"/>
        <v>4</v>
      </c>
      <c r="R1180" s="4">
        <f t="shared" si="56"/>
        <v>92000</v>
      </c>
    </row>
    <row r="1181" spans="1:18">
      <c r="A1181" s="1">
        <v>2</v>
      </c>
      <c r="B1181" s="1" t="str">
        <f>"قطعات و لوازم يدكي"</f>
        <v>قطعات و لوازم يدكي</v>
      </c>
      <c r="C1181" s="1">
        <v>101</v>
      </c>
      <c r="D1181" s="1" t="str">
        <f>"انبار قطعات و لوازم يدكي اصفهان"</f>
        <v>انبار قطعات و لوازم يدكي اصفهان</v>
      </c>
      <c r="E1181" s="1" t="str">
        <f>"7662792482"</f>
        <v>7662792482</v>
      </c>
      <c r="F1181" s="1" t="s">
        <v>88</v>
      </c>
      <c r="G1181" s="1" t="str">
        <f>"عدد"</f>
        <v>عدد</v>
      </c>
      <c r="H1181" s="1">
        <v>4</v>
      </c>
      <c r="I1181" s="1">
        <v>729458</v>
      </c>
      <c r="J1181" s="1">
        <v>0</v>
      </c>
      <c r="K1181" s="1">
        <v>0</v>
      </c>
      <c r="L1181" s="1">
        <v>0</v>
      </c>
      <c r="M1181" s="1">
        <v>0</v>
      </c>
      <c r="O1181" s="1">
        <v>97</v>
      </c>
      <c r="P1181" s="4">
        <f t="shared" si="54"/>
        <v>729458</v>
      </c>
      <c r="Q1181" s="4">
        <f t="shared" si="55"/>
        <v>4</v>
      </c>
      <c r="R1181" s="4">
        <f t="shared" si="56"/>
        <v>182364.5</v>
      </c>
    </row>
    <row r="1182" spans="1:18">
      <c r="A1182" s="1">
        <v>2</v>
      </c>
      <c r="B1182" s="1" t="str">
        <f>"قطعات و لوازم يدكي"</f>
        <v>قطعات و لوازم يدكي</v>
      </c>
      <c r="C1182" s="1">
        <v>101</v>
      </c>
      <c r="D1182" s="1" t="str">
        <f>"انبار قطعات و لوازم يدكي اصفهان"</f>
        <v>انبار قطعات و لوازم يدكي اصفهان</v>
      </c>
      <c r="E1182" s="1" t="str">
        <f>"7662792602"</f>
        <v>7662792602</v>
      </c>
      <c r="F1182" s="1" t="str">
        <f>"فلنج 10 اينچ 150 W.N"</f>
        <v>فلنج 10 اينچ 150 W.N</v>
      </c>
      <c r="G1182" s="1" t="str">
        <f>"عدد"</f>
        <v>عدد</v>
      </c>
      <c r="H1182" s="1">
        <v>5</v>
      </c>
      <c r="I1182" s="1">
        <v>7420856</v>
      </c>
      <c r="J1182" s="1">
        <v>0</v>
      </c>
      <c r="K1182" s="1">
        <v>0</v>
      </c>
      <c r="L1182" s="1">
        <v>0</v>
      </c>
      <c r="M1182" s="1">
        <v>0</v>
      </c>
      <c r="O1182" s="1">
        <v>97</v>
      </c>
      <c r="P1182" s="4">
        <f t="shared" si="54"/>
        <v>7420856</v>
      </c>
      <c r="Q1182" s="4">
        <f t="shared" si="55"/>
        <v>5</v>
      </c>
      <c r="R1182" s="4">
        <f t="shared" si="56"/>
        <v>1484171.2</v>
      </c>
    </row>
    <row r="1183" spans="1:18">
      <c r="A1183" s="1">
        <v>2</v>
      </c>
      <c r="B1183" s="1" t="str">
        <f>"قطعات و لوازم يدكي"</f>
        <v>قطعات و لوازم يدكي</v>
      </c>
      <c r="C1183" s="1">
        <v>101</v>
      </c>
      <c r="D1183" s="1" t="str">
        <f>"انبار قطعات و لوازم يدكي اصفهان"</f>
        <v>انبار قطعات و لوازم يدكي اصفهان</v>
      </c>
      <c r="E1183" s="1" t="str">
        <f>"7662795822"</f>
        <v>7662795822</v>
      </c>
      <c r="F1183" s="1" t="str">
        <f>"فلنج 3اينچ wnكلاس 300"</f>
        <v>فلنج 3اينچ wnكلاس 300</v>
      </c>
      <c r="G1183" s="1" t="str">
        <f>"عدد"</f>
        <v>عدد</v>
      </c>
      <c r="H1183" s="1">
        <v>3</v>
      </c>
      <c r="I1183" s="1">
        <v>1671500</v>
      </c>
      <c r="J1183" s="1">
        <v>11</v>
      </c>
      <c r="K1183" s="1">
        <v>27400000</v>
      </c>
      <c r="L1183" s="1">
        <v>2</v>
      </c>
      <c r="M1183" s="1">
        <v>1267875</v>
      </c>
      <c r="O1183" s="1">
        <v>97</v>
      </c>
      <c r="P1183" s="4">
        <f t="shared" si="54"/>
        <v>27803625</v>
      </c>
      <c r="Q1183" s="4">
        <f t="shared" si="55"/>
        <v>12</v>
      </c>
      <c r="R1183" s="4">
        <f t="shared" si="56"/>
        <v>2316968.75</v>
      </c>
    </row>
    <row r="1184" spans="1:18" hidden="1">
      <c r="A1184" s="1">
        <v>2</v>
      </c>
      <c r="B1184" s="1" t="str">
        <f>"قطعات و لوازم يدكي"</f>
        <v>قطعات و لوازم يدكي</v>
      </c>
      <c r="C1184" s="1">
        <v>101</v>
      </c>
      <c r="D1184" s="1" t="str">
        <f>"انبار قطعات و لوازم يدكي اصفهان"</f>
        <v>انبار قطعات و لوازم يدكي اصفهان</v>
      </c>
      <c r="E1184" s="1" t="str">
        <f>"7688062252"</f>
        <v>7688062252</v>
      </c>
      <c r="F1184" s="1" t="str">
        <f>"فلنج عينکي 5 اينچ کلاس 150"</f>
        <v>فلنج عينکي 5 اينچ کلاس 150</v>
      </c>
      <c r="G1184" s="1" t="str">
        <f>"عدد"</f>
        <v>عدد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O1184" s="1">
        <v>97</v>
      </c>
      <c r="P1184" s="1">
        <f t="shared" si="54"/>
        <v>0</v>
      </c>
      <c r="Q1184" s="1">
        <f t="shared" si="55"/>
        <v>0</v>
      </c>
      <c r="R1184" s="1" t="e">
        <f t="shared" si="56"/>
        <v>#DIV/0!</v>
      </c>
    </row>
    <row r="1185" spans="1:18">
      <c r="A1185" s="1">
        <v>2</v>
      </c>
      <c r="B1185" s="1" t="str">
        <f>"قطعات و لوازم يدكي"</f>
        <v>قطعات و لوازم يدكي</v>
      </c>
      <c r="C1185" s="1">
        <v>101</v>
      </c>
      <c r="D1185" s="1" t="str">
        <f>"انبار قطعات و لوازم يدكي اصفهان"</f>
        <v>انبار قطعات و لوازم يدكي اصفهان</v>
      </c>
      <c r="E1185" s="1" t="str">
        <f>"7688062282"</f>
        <v>7688062282</v>
      </c>
      <c r="F1185" s="1" t="str">
        <f>"فلنج عينکي 8 اينچ کلاس 150"</f>
        <v>فلنج عينکي 8 اينچ کلاس 150</v>
      </c>
      <c r="G1185" s="1" t="str">
        <f>"عدد"</f>
        <v>عدد</v>
      </c>
      <c r="H1185" s="1">
        <v>6</v>
      </c>
      <c r="I1185" s="1">
        <v>18000000</v>
      </c>
      <c r="J1185" s="1">
        <v>1</v>
      </c>
      <c r="K1185" s="1">
        <v>3000000</v>
      </c>
      <c r="L1185" s="1">
        <v>3</v>
      </c>
      <c r="M1185" s="1">
        <v>9000000</v>
      </c>
      <c r="O1185" s="1">
        <v>97</v>
      </c>
      <c r="P1185" s="4">
        <f t="shared" si="54"/>
        <v>12000000</v>
      </c>
      <c r="Q1185" s="4">
        <f t="shared" si="55"/>
        <v>4</v>
      </c>
      <c r="R1185" s="4">
        <f t="shared" si="56"/>
        <v>3000000</v>
      </c>
    </row>
    <row r="1186" spans="1:18" hidden="1">
      <c r="A1186" s="1">
        <v>2</v>
      </c>
      <c r="B1186" s="1" t="str">
        <f>"قطعات و لوازم يدكي"</f>
        <v>قطعات و لوازم يدكي</v>
      </c>
      <c r="C1186" s="1">
        <v>101</v>
      </c>
      <c r="D1186" s="1" t="str">
        <f>"انبار قطعات و لوازم يدكي اصفهان"</f>
        <v>انبار قطعات و لوازم يدكي اصفهان</v>
      </c>
      <c r="E1186" s="1" t="str">
        <f>"8100000182"</f>
        <v>8100000182</v>
      </c>
      <c r="F1186" s="1" t="str">
        <f>"پيج و مهره 3*8"</f>
        <v>پيج و مهره 3*8</v>
      </c>
      <c r="G1186" s="1" t="str">
        <f>"عدد"</f>
        <v>عدد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O1186" s="1">
        <v>97</v>
      </c>
      <c r="P1186" s="1">
        <f t="shared" si="54"/>
        <v>0</v>
      </c>
      <c r="Q1186" s="1">
        <f t="shared" si="55"/>
        <v>0</v>
      </c>
      <c r="R1186" s="1" t="e">
        <f t="shared" si="56"/>
        <v>#DIV/0!</v>
      </c>
    </row>
    <row r="1187" spans="1:18" hidden="1">
      <c r="A1187" s="1">
        <v>2</v>
      </c>
      <c r="B1187" s="1" t="str">
        <f>"قطعات و لوازم يدكي"</f>
        <v>قطعات و لوازم يدكي</v>
      </c>
      <c r="C1187" s="1">
        <v>101</v>
      </c>
      <c r="D1187" s="1" t="str">
        <f>"انبار قطعات و لوازم يدكي اصفهان"</f>
        <v>انبار قطعات و لوازم يدكي اصفهان</v>
      </c>
      <c r="E1187" s="1" t="str">
        <f>"8100000202"</f>
        <v>8100000202</v>
      </c>
      <c r="F1187" s="1" t="str">
        <f>"پيچ و واشر خورشيدي 3*5116"</f>
        <v>پيچ و واشر خورشيدي 3*5116</v>
      </c>
      <c r="G1187" s="1" t="str">
        <f>"عدد"</f>
        <v>عدد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O1187" s="1">
        <v>97</v>
      </c>
      <c r="P1187" s="1">
        <f t="shared" si="54"/>
        <v>0</v>
      </c>
      <c r="Q1187" s="1">
        <f t="shared" si="55"/>
        <v>0</v>
      </c>
      <c r="R1187" s="1" t="e">
        <f t="shared" si="56"/>
        <v>#DIV/0!</v>
      </c>
    </row>
    <row r="1188" spans="1:18" hidden="1">
      <c r="A1188" s="1">
        <v>2</v>
      </c>
      <c r="B1188" s="1" t="str">
        <f>"قطعات و لوازم يدكي"</f>
        <v>قطعات و لوازم يدكي</v>
      </c>
      <c r="C1188" s="1">
        <v>101</v>
      </c>
      <c r="D1188" s="1" t="str">
        <f>"انبار قطعات و لوازم يدكي اصفهان"</f>
        <v>انبار قطعات و لوازم يدكي اصفهان</v>
      </c>
      <c r="E1188" s="1" t="str">
        <f>"8100000222"</f>
        <v>8100000222</v>
      </c>
      <c r="F1188" s="1" t="str">
        <f>"پيچ و مهره 5*12"</f>
        <v>پيچ و مهره 5*12</v>
      </c>
      <c r="G1188" s="1" t="str">
        <f>"عدد"</f>
        <v>عدد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O1188" s="1">
        <v>97</v>
      </c>
      <c r="P1188" s="1">
        <f t="shared" si="54"/>
        <v>0</v>
      </c>
      <c r="Q1188" s="1">
        <f t="shared" si="55"/>
        <v>0</v>
      </c>
      <c r="R1188" s="1" t="e">
        <f t="shared" si="56"/>
        <v>#DIV/0!</v>
      </c>
    </row>
    <row r="1189" spans="1:18">
      <c r="A1189" s="1">
        <v>2</v>
      </c>
      <c r="B1189" s="1" t="str">
        <f>"قطعات و لوازم يدكي"</f>
        <v>قطعات و لوازم يدكي</v>
      </c>
      <c r="C1189" s="1">
        <v>101</v>
      </c>
      <c r="D1189" s="1" t="str">
        <f>"انبار قطعات و لوازم يدكي اصفهان"</f>
        <v>انبار قطعات و لوازم يدكي اصفهان</v>
      </c>
      <c r="E1189" s="1" t="str">
        <f>"8101016902"</f>
        <v>8101016902</v>
      </c>
      <c r="F1189" s="1" t="str">
        <f>"پيچ و مهره 7/8*100"</f>
        <v>پيچ و مهره 7/8*100</v>
      </c>
      <c r="G1189" s="1" t="str">
        <f>"عدد"</f>
        <v>عدد</v>
      </c>
      <c r="H1189" s="1">
        <v>9</v>
      </c>
      <c r="I1189" s="1">
        <v>8653</v>
      </c>
      <c r="J1189" s="1">
        <v>0</v>
      </c>
      <c r="K1189" s="1">
        <v>0</v>
      </c>
      <c r="L1189" s="1">
        <v>0</v>
      </c>
      <c r="M1189" s="1">
        <v>0</v>
      </c>
      <c r="O1189" s="1">
        <v>97</v>
      </c>
      <c r="P1189" s="4">
        <f t="shared" si="54"/>
        <v>8653</v>
      </c>
      <c r="Q1189" s="4">
        <f t="shared" si="55"/>
        <v>9</v>
      </c>
      <c r="R1189" s="4">
        <f t="shared" si="56"/>
        <v>961.44444444444446</v>
      </c>
    </row>
    <row r="1190" spans="1:18">
      <c r="A1190" s="1">
        <v>2</v>
      </c>
      <c r="B1190" s="1" t="str">
        <f>"قطعات و لوازم يدكي"</f>
        <v>قطعات و لوازم يدكي</v>
      </c>
      <c r="C1190" s="1">
        <v>101</v>
      </c>
      <c r="D1190" s="1" t="str">
        <f>"انبار قطعات و لوازم يدكي اصفهان"</f>
        <v>انبار قطعات و لوازم يدكي اصفهان</v>
      </c>
      <c r="E1190" s="1" t="str">
        <f>"8101016962"</f>
        <v>8101016962</v>
      </c>
      <c r="F1190" s="1" t="str">
        <f>"پيچ و مهره 7/8*150"</f>
        <v>پيچ و مهره 7/8*150</v>
      </c>
      <c r="G1190" s="1" t="str">
        <f>"عدد"</f>
        <v>عدد</v>
      </c>
      <c r="H1190" s="1">
        <v>10</v>
      </c>
      <c r="I1190" s="1">
        <v>1569</v>
      </c>
      <c r="J1190" s="1">
        <v>0</v>
      </c>
      <c r="K1190" s="1">
        <v>0</v>
      </c>
      <c r="L1190" s="1">
        <v>0</v>
      </c>
      <c r="M1190" s="1">
        <v>0</v>
      </c>
      <c r="O1190" s="1">
        <v>97</v>
      </c>
      <c r="P1190" s="4">
        <f t="shared" si="54"/>
        <v>1569</v>
      </c>
      <c r="Q1190" s="4">
        <f t="shared" si="55"/>
        <v>10</v>
      </c>
      <c r="R1190" s="4">
        <f t="shared" si="56"/>
        <v>156.9</v>
      </c>
    </row>
    <row r="1191" spans="1:18">
      <c r="A1191" s="1">
        <v>2</v>
      </c>
      <c r="B1191" s="1" t="str">
        <f>"قطعات و لوازم يدكي"</f>
        <v>قطعات و لوازم يدكي</v>
      </c>
      <c r="C1191" s="1">
        <v>101</v>
      </c>
      <c r="D1191" s="1" t="str">
        <f>"انبار قطعات و لوازم يدكي اصفهان"</f>
        <v>انبار قطعات و لوازم يدكي اصفهان</v>
      </c>
      <c r="E1191" s="1" t="str">
        <f>"8138613332"</f>
        <v>8138613332</v>
      </c>
      <c r="F1191" s="1" t="str">
        <f>"پيچ نگهدارنده 80 *5/8"</f>
        <v>پيچ نگهدارنده 80 *5/8</v>
      </c>
      <c r="G1191" s="1" t="str">
        <f>"عدد"</f>
        <v>عدد</v>
      </c>
      <c r="H1191" s="1">
        <v>100</v>
      </c>
      <c r="I1191" s="1">
        <v>2450000</v>
      </c>
      <c r="J1191" s="1">
        <v>350</v>
      </c>
      <c r="K1191" s="1">
        <v>21000000</v>
      </c>
      <c r="L1191" s="1">
        <v>231</v>
      </c>
      <c r="M1191" s="1">
        <v>9506947</v>
      </c>
      <c r="O1191" s="1">
        <v>97</v>
      </c>
      <c r="P1191" s="4">
        <f t="shared" si="54"/>
        <v>13943053</v>
      </c>
      <c r="Q1191" s="4">
        <f t="shared" si="55"/>
        <v>219</v>
      </c>
      <c r="R1191" s="4">
        <f t="shared" si="56"/>
        <v>63666.908675799088</v>
      </c>
    </row>
    <row r="1192" spans="1:18">
      <c r="A1192" s="1">
        <v>2</v>
      </c>
      <c r="B1192" s="1" t="str">
        <f>"قطعات و لوازم يدكي"</f>
        <v>قطعات و لوازم يدكي</v>
      </c>
      <c r="C1192" s="1">
        <v>101</v>
      </c>
      <c r="D1192" s="1" t="str">
        <f>"انبار قطعات و لوازم يدكي اصفهان"</f>
        <v>انبار قطعات و لوازم يدكي اصفهان</v>
      </c>
      <c r="E1192" s="1" t="str">
        <f>"8138613362"</f>
        <v>8138613362</v>
      </c>
      <c r="F1192" s="1" t="str">
        <f>"پيچ نگهدارنده 5/8 اينچ 90 ميليمتر"</f>
        <v>پيچ نگهدارنده 5/8 اينچ 90 ميليمتر</v>
      </c>
      <c r="G1192" s="1" t="str">
        <f>"عدد"</f>
        <v>عدد</v>
      </c>
      <c r="H1192" s="1">
        <v>185</v>
      </c>
      <c r="I1192" s="1">
        <v>4814734</v>
      </c>
      <c r="J1192" s="1">
        <v>276</v>
      </c>
      <c r="K1192" s="1">
        <v>18921552</v>
      </c>
      <c r="L1192" s="1">
        <v>286</v>
      </c>
      <c r="M1192" s="1">
        <v>11166856</v>
      </c>
      <c r="O1192" s="1">
        <v>97</v>
      </c>
      <c r="P1192" s="4">
        <f t="shared" si="54"/>
        <v>12569430</v>
      </c>
      <c r="Q1192" s="4">
        <f t="shared" si="55"/>
        <v>175</v>
      </c>
      <c r="R1192" s="4">
        <f t="shared" si="56"/>
        <v>71825.314285714281</v>
      </c>
    </row>
    <row r="1193" spans="1:18">
      <c r="A1193" s="1">
        <v>2</v>
      </c>
      <c r="B1193" s="1" t="str">
        <f>"قطعات و لوازم يدكي"</f>
        <v>قطعات و لوازم يدكي</v>
      </c>
      <c r="C1193" s="1">
        <v>101</v>
      </c>
      <c r="D1193" s="1" t="str">
        <f>"انبار قطعات و لوازم يدكي اصفهان"</f>
        <v>انبار قطعات و لوازم يدكي اصفهان</v>
      </c>
      <c r="E1193" s="1" t="str">
        <f>"8138621082"</f>
        <v>8138621082</v>
      </c>
      <c r="F1193" s="1" t="str">
        <f>"پيچ نگهدارنده 1/4-1 اينچ *180 ميليمتر"</f>
        <v>پيچ نگهدارنده 1/4-1 اينچ *180 ميليمتر</v>
      </c>
      <c r="G1193" s="1" t="str">
        <f>"عدد"</f>
        <v>عدد</v>
      </c>
      <c r="H1193" s="1">
        <v>60</v>
      </c>
      <c r="I1193" s="1">
        <v>6366942</v>
      </c>
      <c r="J1193" s="1">
        <v>3</v>
      </c>
      <c r="K1193" s="1">
        <v>318347</v>
      </c>
      <c r="L1193" s="1">
        <v>11</v>
      </c>
      <c r="M1193" s="1">
        <v>1167273</v>
      </c>
      <c r="O1193" s="1">
        <v>97</v>
      </c>
      <c r="P1193" s="4">
        <f t="shared" si="54"/>
        <v>5518016</v>
      </c>
      <c r="Q1193" s="4">
        <f t="shared" si="55"/>
        <v>52</v>
      </c>
      <c r="R1193" s="4">
        <f t="shared" si="56"/>
        <v>106115.69230769231</v>
      </c>
    </row>
    <row r="1194" spans="1:18" hidden="1">
      <c r="A1194" s="1">
        <v>2</v>
      </c>
      <c r="B1194" s="1" t="str">
        <f>"قطعات و لوازم يدكي"</f>
        <v>قطعات و لوازم يدكي</v>
      </c>
      <c r="C1194" s="1">
        <v>101</v>
      </c>
      <c r="D1194" s="1" t="str">
        <f>"انبار قطعات و لوازم يدكي اصفهان"</f>
        <v>انبار قطعات و لوازم يدكي اصفهان</v>
      </c>
      <c r="E1194" s="1" t="str">
        <f>"8300000062"</f>
        <v>8300000062</v>
      </c>
      <c r="F1194" s="1" t="str">
        <f>"fine filter 10660"</f>
        <v>fine filter 10660</v>
      </c>
      <c r="G1194" s="1" t="str">
        <f>"عدد"</f>
        <v>عدد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O1194" s="1">
        <v>97</v>
      </c>
      <c r="P1194" s="1">
        <f t="shared" si="54"/>
        <v>0</v>
      </c>
      <c r="Q1194" s="1">
        <f t="shared" si="55"/>
        <v>0</v>
      </c>
      <c r="R1194" s="1" t="e">
        <f t="shared" si="56"/>
        <v>#DIV/0!</v>
      </c>
    </row>
    <row r="1195" spans="1:18">
      <c r="A1195" s="1">
        <v>2</v>
      </c>
      <c r="B1195" s="1" t="str">
        <f>"قطعات و لوازم يدكي"</f>
        <v>قطعات و لوازم يدكي</v>
      </c>
      <c r="C1195" s="1">
        <v>101</v>
      </c>
      <c r="D1195" s="1" t="str">
        <f>"انبار قطعات و لوازم يدكي اصفهان"</f>
        <v>انبار قطعات و لوازم يدكي اصفهان</v>
      </c>
      <c r="E1195" s="1" t="str">
        <f>"8301010082"</f>
        <v>8301010082</v>
      </c>
      <c r="F1195" s="1" t="str">
        <f>"صفحه سنگ ساب بزرگ"</f>
        <v>صفحه سنگ ساب بزرگ</v>
      </c>
      <c r="G1195" s="1" t="str">
        <f>"عدد"</f>
        <v>عدد</v>
      </c>
      <c r="H1195" s="1">
        <v>40</v>
      </c>
      <c r="I1195" s="1">
        <v>2870968</v>
      </c>
      <c r="J1195" s="1">
        <v>0</v>
      </c>
      <c r="K1195" s="1">
        <v>0</v>
      </c>
      <c r="L1195" s="1">
        <v>0</v>
      </c>
      <c r="M1195" s="1">
        <v>0</v>
      </c>
      <c r="O1195" s="1">
        <v>97</v>
      </c>
      <c r="P1195" s="4">
        <f t="shared" si="54"/>
        <v>2870968</v>
      </c>
      <c r="Q1195" s="4">
        <f t="shared" si="55"/>
        <v>40</v>
      </c>
      <c r="R1195" s="4">
        <f t="shared" si="56"/>
        <v>71774.2</v>
      </c>
    </row>
    <row r="1196" spans="1:18" hidden="1">
      <c r="A1196" s="1">
        <v>2</v>
      </c>
      <c r="B1196" s="1" t="str">
        <f>"قطعات و لوازم يدكي"</f>
        <v>قطعات و لوازم يدكي</v>
      </c>
      <c r="C1196" s="1">
        <v>101</v>
      </c>
      <c r="D1196" s="1" t="str">
        <f>"انبار قطعات و لوازم يدكي اصفهان"</f>
        <v>انبار قطعات و لوازم يدكي اصفهان</v>
      </c>
      <c r="E1196" s="1" t="str">
        <f>"8301010092"</f>
        <v>8301010092</v>
      </c>
      <c r="F1196" s="1" t="str">
        <f>"روغن موتور ديزل"</f>
        <v>روغن موتور ديزل</v>
      </c>
      <c r="G1196" s="1" t="str">
        <f>"عدد"</f>
        <v>عدد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O1196" s="1">
        <v>97</v>
      </c>
      <c r="P1196" s="1">
        <f t="shared" si="54"/>
        <v>0</v>
      </c>
      <c r="Q1196" s="1">
        <f t="shared" si="55"/>
        <v>0</v>
      </c>
      <c r="R1196" s="1" t="e">
        <f t="shared" si="56"/>
        <v>#DIV/0!</v>
      </c>
    </row>
    <row r="1197" spans="1:18" hidden="1">
      <c r="A1197" s="1">
        <v>2</v>
      </c>
      <c r="B1197" s="1" t="str">
        <f>"قطعات و لوازم يدكي"</f>
        <v>قطعات و لوازم يدكي</v>
      </c>
      <c r="C1197" s="1">
        <v>101</v>
      </c>
      <c r="D1197" s="1" t="str">
        <f>"انبار قطعات و لوازم يدكي اصفهان"</f>
        <v>انبار قطعات و لوازم يدكي اصفهان</v>
      </c>
      <c r="E1197" s="1" t="str">
        <f>"8301010112"</f>
        <v>8301010112</v>
      </c>
      <c r="F1197" s="1" t="str">
        <f>"کاغذ سمباده  1000"</f>
        <v>کاغذ سمباده  1000</v>
      </c>
      <c r="G1197" s="1" t="str">
        <f>"عدد"</f>
        <v>عدد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O1197" s="1">
        <v>97</v>
      </c>
      <c r="P1197" s="1">
        <f t="shared" si="54"/>
        <v>0</v>
      </c>
      <c r="Q1197" s="1">
        <f t="shared" si="55"/>
        <v>0</v>
      </c>
      <c r="R1197" s="1" t="e">
        <f t="shared" si="56"/>
        <v>#DIV/0!</v>
      </c>
    </row>
    <row r="1198" spans="1:18">
      <c r="A1198" s="1">
        <v>2</v>
      </c>
      <c r="B1198" s="1" t="str">
        <f>"قطعات و لوازم يدكي"</f>
        <v>قطعات و لوازم يدكي</v>
      </c>
      <c r="C1198" s="1">
        <v>101</v>
      </c>
      <c r="D1198" s="1" t="str">
        <f>"انبار قطعات و لوازم يدكي اصفهان"</f>
        <v>انبار قطعات و لوازم يدكي اصفهان</v>
      </c>
      <c r="E1198" s="1" t="str">
        <f>"8362824502"</f>
        <v>8362824502</v>
      </c>
      <c r="F1198" s="1" t="str">
        <f>"ارتفاع سنج 15متري"</f>
        <v>ارتفاع سنج 15متري</v>
      </c>
      <c r="G1198" s="1" t="str">
        <f>"عدد"</f>
        <v>عدد</v>
      </c>
      <c r="H1198" s="1">
        <v>15</v>
      </c>
      <c r="I1198" s="1">
        <v>43681508</v>
      </c>
      <c r="J1198" s="1">
        <v>0</v>
      </c>
      <c r="K1198" s="1">
        <v>0</v>
      </c>
      <c r="L1198" s="1">
        <v>4</v>
      </c>
      <c r="M1198" s="1">
        <v>11648402</v>
      </c>
      <c r="O1198" s="1">
        <v>97</v>
      </c>
      <c r="P1198" s="4">
        <f t="shared" si="54"/>
        <v>32033106</v>
      </c>
      <c r="Q1198" s="4">
        <f t="shared" si="55"/>
        <v>11</v>
      </c>
      <c r="R1198" s="4">
        <f t="shared" si="56"/>
        <v>2912100.5454545454</v>
      </c>
    </row>
    <row r="1199" spans="1:18">
      <c r="A1199" s="1">
        <v>2</v>
      </c>
      <c r="B1199" s="1" t="str">
        <f>"قطعات و لوازم يدكي"</f>
        <v>قطعات و لوازم يدكي</v>
      </c>
      <c r="C1199" s="1">
        <v>101</v>
      </c>
      <c r="D1199" s="1" t="str">
        <f>"انبار قطعات و لوازم يدكي اصفهان"</f>
        <v>انبار قطعات و لوازم يدكي اصفهان</v>
      </c>
      <c r="E1199" s="1" t="str">
        <f>"8501135632"</f>
        <v>8501135632</v>
      </c>
      <c r="F1199" s="1" t="str">
        <f>"PACKING 1/8"</f>
        <v>PACKING 1/8</v>
      </c>
      <c r="G1199" s="1" t="str">
        <f>"كيلوگرم"</f>
        <v>كيلوگرم</v>
      </c>
      <c r="H1199" s="1">
        <v>5</v>
      </c>
      <c r="I1199" s="1">
        <v>4400000</v>
      </c>
      <c r="J1199" s="1">
        <v>0</v>
      </c>
      <c r="K1199" s="1">
        <v>0</v>
      </c>
      <c r="L1199" s="1">
        <v>0</v>
      </c>
      <c r="M1199" s="1">
        <v>0</v>
      </c>
      <c r="O1199" s="1">
        <v>97</v>
      </c>
      <c r="P1199" s="4">
        <f t="shared" si="54"/>
        <v>4400000</v>
      </c>
      <c r="Q1199" s="4">
        <f t="shared" si="55"/>
        <v>5</v>
      </c>
      <c r="R1199" s="4">
        <f t="shared" si="56"/>
        <v>880000</v>
      </c>
    </row>
    <row r="1200" spans="1:18">
      <c r="A1200" s="1">
        <v>2</v>
      </c>
      <c r="B1200" s="1" t="str">
        <f>"قطعات و لوازم يدكي"</f>
        <v>قطعات و لوازم يدكي</v>
      </c>
      <c r="C1200" s="1">
        <v>101</v>
      </c>
      <c r="D1200" s="1" t="str">
        <f>"انبار قطعات و لوازم يدكي اصفهان"</f>
        <v>انبار قطعات و لوازم يدكي اصفهان</v>
      </c>
      <c r="E1200" s="1" t="str">
        <f>"8541200102"</f>
        <v>8541200102</v>
      </c>
      <c r="F1200" s="1" t="str">
        <f>"واشر يونيون 1/2-1"</f>
        <v>واشر يونيون 1/2-1</v>
      </c>
      <c r="G1200" s="1" t="str">
        <f>"عدد"</f>
        <v>عدد</v>
      </c>
      <c r="H1200" s="1">
        <v>15</v>
      </c>
      <c r="I1200" s="1">
        <v>55275</v>
      </c>
      <c r="J1200" s="1">
        <v>50</v>
      </c>
      <c r="K1200" s="1">
        <v>6318000</v>
      </c>
      <c r="L1200" s="1">
        <v>0</v>
      </c>
      <c r="M1200" s="1">
        <v>0</v>
      </c>
      <c r="O1200" s="1">
        <v>97</v>
      </c>
      <c r="P1200" s="4">
        <f t="shared" si="54"/>
        <v>6373275</v>
      </c>
      <c r="Q1200" s="4">
        <f t="shared" si="55"/>
        <v>65</v>
      </c>
      <c r="R1200" s="4">
        <f t="shared" si="56"/>
        <v>98050.38461538461</v>
      </c>
    </row>
    <row r="1201" spans="1:18">
      <c r="A1201" s="1">
        <v>2</v>
      </c>
      <c r="B1201" s="1" t="str">
        <f>"قطعات و لوازم يدكي"</f>
        <v>قطعات و لوازم يدكي</v>
      </c>
      <c r="C1201" s="1">
        <v>101</v>
      </c>
      <c r="D1201" s="1" t="str">
        <f>"انبار قطعات و لوازم يدكي اصفهان"</f>
        <v>انبار قطعات و لوازم يدكي اصفهان</v>
      </c>
      <c r="E1201" s="1" t="str">
        <f>"8541330122"</f>
        <v>8541330122</v>
      </c>
      <c r="F1201" s="1" t="s">
        <v>89</v>
      </c>
      <c r="G1201" s="1" t="str">
        <f>"عدد"</f>
        <v>عدد</v>
      </c>
      <c r="H1201" s="1">
        <v>175</v>
      </c>
      <c r="I1201" s="1">
        <v>4570409</v>
      </c>
      <c r="J1201" s="1">
        <v>0</v>
      </c>
      <c r="K1201" s="1">
        <v>0</v>
      </c>
      <c r="L1201" s="1">
        <v>61</v>
      </c>
      <c r="M1201" s="1">
        <v>1593115</v>
      </c>
      <c r="O1201" s="1">
        <v>97</v>
      </c>
      <c r="P1201" s="4">
        <f t="shared" si="54"/>
        <v>2977294</v>
      </c>
      <c r="Q1201" s="4">
        <f t="shared" si="55"/>
        <v>114</v>
      </c>
      <c r="R1201" s="4">
        <f t="shared" si="56"/>
        <v>26116.614035087718</v>
      </c>
    </row>
    <row r="1202" spans="1:18">
      <c r="A1202" s="1">
        <v>2</v>
      </c>
      <c r="B1202" s="1" t="str">
        <f>"قطعات و لوازم يدكي"</f>
        <v>قطعات و لوازم يدكي</v>
      </c>
      <c r="C1202" s="1">
        <v>101</v>
      </c>
      <c r="D1202" s="1" t="str">
        <f>"انبار قطعات و لوازم يدكي اصفهان"</f>
        <v>انبار قطعات و لوازم يدكي اصفهان</v>
      </c>
      <c r="E1202" s="1" t="str">
        <f>"8541330202"</f>
        <v>8541330202</v>
      </c>
      <c r="F1202" s="1" t="s">
        <v>90</v>
      </c>
      <c r="G1202" s="1" t="str">
        <f>"عدد"</f>
        <v>عدد</v>
      </c>
      <c r="H1202" s="1">
        <v>107</v>
      </c>
      <c r="I1202" s="1">
        <v>3369270</v>
      </c>
      <c r="J1202" s="1">
        <v>123</v>
      </c>
      <c r="K1202" s="1">
        <v>14476000</v>
      </c>
      <c r="L1202" s="1">
        <v>96</v>
      </c>
      <c r="M1202" s="1">
        <v>7109668</v>
      </c>
      <c r="O1202" s="1">
        <v>97</v>
      </c>
      <c r="P1202" s="4">
        <f t="shared" si="54"/>
        <v>10735602</v>
      </c>
      <c r="Q1202" s="4">
        <f t="shared" si="55"/>
        <v>134</v>
      </c>
      <c r="R1202" s="4">
        <f t="shared" si="56"/>
        <v>80116.432835820902</v>
      </c>
    </row>
    <row r="1203" spans="1:18">
      <c r="A1203" s="1">
        <v>2</v>
      </c>
      <c r="B1203" s="1" t="str">
        <f>"قطعات و لوازم يدكي"</f>
        <v>قطعات و لوازم يدكي</v>
      </c>
      <c r="C1203" s="1">
        <v>101</v>
      </c>
      <c r="D1203" s="1" t="str">
        <f>"انبار قطعات و لوازم يدكي اصفهان"</f>
        <v>انبار قطعات و لوازم يدكي اصفهان</v>
      </c>
      <c r="E1203" s="1" t="str">
        <f>"8541330322"</f>
        <v>8541330322</v>
      </c>
      <c r="F1203" s="1" t="s">
        <v>91</v>
      </c>
      <c r="G1203" s="1" t="str">
        <f>"عدد"</f>
        <v>عدد</v>
      </c>
      <c r="H1203" s="1">
        <v>18</v>
      </c>
      <c r="I1203" s="1">
        <v>602973</v>
      </c>
      <c r="J1203" s="1">
        <v>79</v>
      </c>
      <c r="K1203" s="1">
        <v>9817200</v>
      </c>
      <c r="L1203" s="1">
        <v>23</v>
      </c>
      <c r="M1203" s="1">
        <v>2469409</v>
      </c>
      <c r="O1203" s="1">
        <v>97</v>
      </c>
      <c r="P1203" s="4">
        <f t="shared" si="54"/>
        <v>7950764</v>
      </c>
      <c r="Q1203" s="4">
        <f t="shared" si="55"/>
        <v>74</v>
      </c>
      <c r="R1203" s="4">
        <f t="shared" si="56"/>
        <v>107442.75675675676</v>
      </c>
    </row>
    <row r="1204" spans="1:18">
      <c r="A1204" s="1">
        <v>2</v>
      </c>
      <c r="B1204" s="1" t="str">
        <f>"قطعات و لوازم يدكي"</f>
        <v>قطعات و لوازم يدكي</v>
      </c>
      <c r="C1204" s="1">
        <v>101</v>
      </c>
      <c r="D1204" s="1" t="str">
        <f>"انبار قطعات و لوازم يدكي اصفهان"</f>
        <v>انبار قطعات و لوازم يدكي اصفهان</v>
      </c>
      <c r="E1204" s="1" t="str">
        <f>"8541331042"</f>
        <v>8541331042</v>
      </c>
      <c r="F1204" s="1" t="s">
        <v>92</v>
      </c>
      <c r="G1204" s="1" t="str">
        <f>"عدد"</f>
        <v>عدد</v>
      </c>
      <c r="H1204" s="1">
        <v>188</v>
      </c>
      <c r="I1204" s="1">
        <v>7167850</v>
      </c>
      <c r="J1204" s="1">
        <v>69</v>
      </c>
      <c r="K1204" s="1">
        <v>5779800</v>
      </c>
      <c r="L1204" s="1">
        <v>40</v>
      </c>
      <c r="M1204" s="1">
        <v>1873636</v>
      </c>
      <c r="O1204" s="1">
        <v>97</v>
      </c>
      <c r="P1204" s="4">
        <f t="shared" si="54"/>
        <v>11074014</v>
      </c>
      <c r="Q1204" s="4">
        <f t="shared" si="55"/>
        <v>217</v>
      </c>
      <c r="R1204" s="4">
        <f t="shared" si="56"/>
        <v>51032.322580645159</v>
      </c>
    </row>
    <row r="1205" spans="1:18">
      <c r="A1205" s="1">
        <v>2</v>
      </c>
      <c r="B1205" s="1" t="str">
        <f>"قطعات و لوازم يدكي"</f>
        <v>قطعات و لوازم يدكي</v>
      </c>
      <c r="C1205" s="1">
        <v>101</v>
      </c>
      <c r="D1205" s="1" t="str">
        <f>"انبار قطعات و لوازم يدكي اصفهان"</f>
        <v>انبار قطعات و لوازم يدكي اصفهان</v>
      </c>
      <c r="E1205" s="1" t="str">
        <f>"8541331182"</f>
        <v>8541331182</v>
      </c>
      <c r="F1205" s="1" t="s">
        <v>93</v>
      </c>
      <c r="G1205" s="1" t="str">
        <f>"عدد"</f>
        <v>عدد</v>
      </c>
      <c r="H1205" s="1">
        <v>78</v>
      </c>
      <c r="I1205" s="1">
        <v>1460436</v>
      </c>
      <c r="J1205" s="1">
        <v>200</v>
      </c>
      <c r="K1205" s="1">
        <v>18136000</v>
      </c>
      <c r="L1205" s="1">
        <v>61</v>
      </c>
      <c r="M1205" s="1">
        <v>4157904</v>
      </c>
      <c r="O1205" s="1">
        <v>97</v>
      </c>
      <c r="P1205" s="4">
        <f t="shared" si="54"/>
        <v>15438532</v>
      </c>
      <c r="Q1205" s="4">
        <f t="shared" si="55"/>
        <v>217</v>
      </c>
      <c r="R1205" s="4">
        <f t="shared" si="56"/>
        <v>71145.308755760372</v>
      </c>
    </row>
    <row r="1206" spans="1:18">
      <c r="A1206" s="1">
        <v>2</v>
      </c>
      <c r="B1206" s="1" t="str">
        <f>"قطعات و لوازم يدكي"</f>
        <v>قطعات و لوازم يدكي</v>
      </c>
      <c r="C1206" s="1">
        <v>120</v>
      </c>
      <c r="D1206" s="1" t="str">
        <f>"انبار قطعات و لوازم يدكي بشکه سازي اصفهان"</f>
        <v>انبار قطعات و لوازم يدكي بشکه سازي اصفهان</v>
      </c>
      <c r="E1206" s="1" t="str">
        <f>"4311700338"</f>
        <v>4311700338</v>
      </c>
      <c r="F1206" s="1" t="str">
        <f>"فيتينگي 6*1/8"</f>
        <v>فيتينگي 6*1/8</v>
      </c>
      <c r="G1206" s="1" t="str">
        <f>"عدد"</f>
        <v>عدد</v>
      </c>
      <c r="H1206" s="1">
        <v>0</v>
      </c>
      <c r="I1206" s="1">
        <v>0</v>
      </c>
      <c r="J1206" s="1">
        <v>5</v>
      </c>
      <c r="K1206" s="1">
        <v>80000</v>
      </c>
      <c r="L1206" s="1">
        <v>0</v>
      </c>
      <c r="M1206" s="1">
        <v>0</v>
      </c>
      <c r="O1206" s="1">
        <v>97</v>
      </c>
      <c r="P1206" s="4">
        <f t="shared" si="54"/>
        <v>80000</v>
      </c>
      <c r="Q1206" s="4">
        <f t="shared" si="55"/>
        <v>5</v>
      </c>
      <c r="R1206" s="4">
        <f t="shared" si="56"/>
        <v>16000</v>
      </c>
    </row>
    <row r="1207" spans="1:18">
      <c r="A1207" s="1">
        <v>2</v>
      </c>
      <c r="B1207" s="1" t="str">
        <f>"قطعات و لوازم يدكي"</f>
        <v>قطعات و لوازم يدكي</v>
      </c>
      <c r="C1207" s="1">
        <v>120</v>
      </c>
      <c r="D1207" s="1" t="str">
        <f>"انبار قطعات و لوازم يدكي بشکه سازي اصفهان"</f>
        <v>انبار قطعات و لوازم يدكي بشکه سازي اصفهان</v>
      </c>
      <c r="E1207" s="1" t="str">
        <f>"4311700345"</f>
        <v>4311700345</v>
      </c>
      <c r="F1207" s="1" t="str">
        <f>"کاسه نمد 10-90-75"</f>
        <v>کاسه نمد 10-90-75</v>
      </c>
      <c r="G1207" s="1" t="str">
        <f>"عدد"</f>
        <v>عدد</v>
      </c>
      <c r="H1207" s="1">
        <v>0</v>
      </c>
      <c r="I1207" s="1">
        <v>0</v>
      </c>
      <c r="J1207" s="1">
        <v>2</v>
      </c>
      <c r="K1207" s="1">
        <v>200000</v>
      </c>
      <c r="L1207" s="1">
        <v>0</v>
      </c>
      <c r="M1207" s="1">
        <v>0</v>
      </c>
      <c r="O1207" s="1">
        <v>97</v>
      </c>
      <c r="P1207" s="4">
        <f t="shared" si="54"/>
        <v>200000</v>
      </c>
      <c r="Q1207" s="4">
        <f t="shared" si="55"/>
        <v>2</v>
      </c>
      <c r="R1207" s="4">
        <f t="shared" si="56"/>
        <v>100000</v>
      </c>
    </row>
    <row r="1208" spans="1:18">
      <c r="A1208" s="1">
        <v>2</v>
      </c>
      <c r="B1208" s="1" t="str">
        <f>"قطعات و لوازم يدكي"</f>
        <v>قطعات و لوازم يدكي</v>
      </c>
      <c r="C1208" s="1">
        <v>120</v>
      </c>
      <c r="D1208" s="1" t="str">
        <f>"انبار قطعات و لوازم يدكي بشکه سازي اصفهان"</f>
        <v>انبار قطعات و لوازم يدكي بشکه سازي اصفهان</v>
      </c>
      <c r="E1208" s="1" t="str">
        <f>"4311700346"</f>
        <v>4311700346</v>
      </c>
      <c r="F1208" s="1" t="str">
        <f>"کاسه نمد 10-72-55"</f>
        <v>کاسه نمد 10-72-55</v>
      </c>
      <c r="G1208" s="1" t="str">
        <f>"عدد"</f>
        <v>عدد</v>
      </c>
      <c r="H1208" s="1">
        <v>0</v>
      </c>
      <c r="I1208" s="1">
        <v>0</v>
      </c>
      <c r="J1208" s="1">
        <v>2</v>
      </c>
      <c r="K1208" s="1">
        <v>180000</v>
      </c>
      <c r="L1208" s="1">
        <v>0</v>
      </c>
      <c r="M1208" s="1">
        <v>0</v>
      </c>
      <c r="O1208" s="1">
        <v>97</v>
      </c>
      <c r="P1208" s="4">
        <f t="shared" si="54"/>
        <v>180000</v>
      </c>
      <c r="Q1208" s="4">
        <f t="shared" si="55"/>
        <v>2</v>
      </c>
      <c r="R1208" s="4">
        <f t="shared" si="56"/>
        <v>90000</v>
      </c>
    </row>
    <row r="1209" spans="1:18" hidden="1">
      <c r="A1209" s="1">
        <v>2</v>
      </c>
      <c r="B1209" s="1" t="str">
        <f>"قطعات و لوازم يدكي"</f>
        <v>قطعات و لوازم يدكي</v>
      </c>
      <c r="C1209" s="1">
        <v>120</v>
      </c>
      <c r="D1209" s="1" t="str">
        <f>"انبار قطعات و لوازم يدكي بشکه سازي اصفهان"</f>
        <v>انبار قطعات و لوازم يدكي بشکه سازي اصفهان</v>
      </c>
      <c r="E1209" s="1" t="str">
        <f>"4311700349"</f>
        <v>4311700349</v>
      </c>
      <c r="F1209" s="1" t="str">
        <f>"چارشاخ مفصلي 20"</f>
        <v>چارشاخ مفصلي 20</v>
      </c>
      <c r="G1209" s="1" t="str">
        <f>"عدد"</f>
        <v>عدد</v>
      </c>
      <c r="H1209" s="1">
        <v>0</v>
      </c>
      <c r="I1209" s="1">
        <v>0</v>
      </c>
      <c r="J1209" s="1">
        <v>2</v>
      </c>
      <c r="K1209" s="1">
        <v>2400000</v>
      </c>
      <c r="L1209" s="1">
        <v>2</v>
      </c>
      <c r="M1209" s="1">
        <v>2400000</v>
      </c>
      <c r="O1209" s="1">
        <v>97</v>
      </c>
      <c r="P1209" s="1">
        <f t="shared" si="54"/>
        <v>0</v>
      </c>
      <c r="Q1209" s="1">
        <f t="shared" si="55"/>
        <v>0</v>
      </c>
      <c r="R1209" s="1" t="e">
        <f t="shared" si="56"/>
        <v>#DIV/0!</v>
      </c>
    </row>
    <row r="1210" spans="1:18">
      <c r="A1210" s="1">
        <v>2</v>
      </c>
      <c r="B1210" s="1" t="str">
        <f>"قطعات و لوازم يدكي"</f>
        <v>قطعات و لوازم يدكي</v>
      </c>
      <c r="C1210" s="1">
        <v>120</v>
      </c>
      <c r="D1210" s="1" t="str">
        <f>"انبار قطعات و لوازم يدكي بشکه سازي اصفهان"</f>
        <v>انبار قطعات و لوازم يدكي بشکه سازي اصفهان</v>
      </c>
      <c r="E1210" s="1" t="str">
        <f>"4311700374"</f>
        <v>4311700374</v>
      </c>
      <c r="F1210" s="1" t="str">
        <f>"سيم بکسل 24*3/5 ( واحد کالا عدد مي باشد )"</f>
        <v>سيم بکسل 24*3/5 ( واحد کالا عدد مي باشد )</v>
      </c>
      <c r="G1210" s="1" t="str">
        <f>"متر"</f>
        <v>متر</v>
      </c>
      <c r="H1210" s="1">
        <v>0</v>
      </c>
      <c r="I1210" s="1">
        <v>0</v>
      </c>
      <c r="J1210" s="1">
        <v>3</v>
      </c>
      <c r="K1210" s="1">
        <v>4510000</v>
      </c>
      <c r="L1210" s="1">
        <v>0</v>
      </c>
      <c r="M1210" s="1">
        <v>0</v>
      </c>
      <c r="O1210" s="1">
        <v>97</v>
      </c>
      <c r="P1210" s="4">
        <f t="shared" si="54"/>
        <v>4510000</v>
      </c>
      <c r="Q1210" s="4">
        <f t="shared" si="55"/>
        <v>3</v>
      </c>
      <c r="R1210" s="4">
        <f t="shared" si="56"/>
        <v>1503333.3333333333</v>
      </c>
    </row>
    <row r="1211" spans="1:18" hidden="1">
      <c r="A1211" s="1">
        <v>2</v>
      </c>
      <c r="B1211" s="1" t="str">
        <f>"قطعات و لوازم يدكي"</f>
        <v>قطعات و لوازم يدكي</v>
      </c>
      <c r="C1211" s="1">
        <v>120</v>
      </c>
      <c r="D1211" s="1" t="str">
        <f>"انبار قطعات و لوازم يدكي بشکه سازي اصفهان"</f>
        <v>انبار قطعات و لوازم يدكي بشکه سازي اصفهان</v>
      </c>
      <c r="E1211" s="1" t="str">
        <f>"5211700019"</f>
        <v>5211700019</v>
      </c>
      <c r="F1211" s="1" t="str">
        <f>"سوهان تخت."</f>
        <v>سوهان تخت.</v>
      </c>
      <c r="G1211" s="1" t="str">
        <f>"عدد"</f>
        <v>عدد</v>
      </c>
      <c r="H1211" s="1">
        <v>0</v>
      </c>
      <c r="I1211" s="1">
        <v>0</v>
      </c>
      <c r="J1211" s="1">
        <v>1</v>
      </c>
      <c r="K1211" s="1">
        <v>1600000</v>
      </c>
      <c r="L1211" s="1">
        <v>1</v>
      </c>
      <c r="M1211" s="1">
        <v>1600000</v>
      </c>
      <c r="O1211" s="1">
        <v>97</v>
      </c>
      <c r="P1211" s="1">
        <f t="shared" si="54"/>
        <v>0</v>
      </c>
      <c r="Q1211" s="1">
        <f t="shared" si="55"/>
        <v>0</v>
      </c>
      <c r="R1211" s="1" t="e">
        <f t="shared" si="56"/>
        <v>#DIV/0!</v>
      </c>
    </row>
    <row r="1212" spans="1:18" hidden="1">
      <c r="A1212" s="1">
        <v>2</v>
      </c>
      <c r="B1212" s="1" t="str">
        <f>"قطعات و لوازم يدكي"</f>
        <v>قطعات و لوازم يدكي</v>
      </c>
      <c r="C1212" s="1">
        <v>120</v>
      </c>
      <c r="D1212" s="1" t="str">
        <f>"انبار قطعات و لوازم يدكي بشکه سازي اصفهان"</f>
        <v>انبار قطعات و لوازم يدكي بشکه سازي اصفهان</v>
      </c>
      <c r="E1212" s="1" t="str">
        <f>"6211700002"</f>
        <v>6211700002</v>
      </c>
      <c r="F1212" s="1" t="str">
        <f>"گاز استريل."</f>
        <v>گاز استريل.</v>
      </c>
      <c r="G1212" s="1" t="str">
        <f>"عدد"</f>
        <v>عدد</v>
      </c>
      <c r="H1212" s="1">
        <v>0</v>
      </c>
      <c r="I1212" s="1">
        <v>0</v>
      </c>
      <c r="J1212" s="1">
        <v>98</v>
      </c>
      <c r="K1212" s="1">
        <v>122500</v>
      </c>
      <c r="L1212" s="1">
        <v>98</v>
      </c>
      <c r="M1212" s="1">
        <v>122500</v>
      </c>
      <c r="O1212" s="1">
        <v>97</v>
      </c>
      <c r="P1212" s="1">
        <f t="shared" si="54"/>
        <v>0</v>
      </c>
      <c r="Q1212" s="1">
        <f t="shared" si="55"/>
        <v>0</v>
      </c>
      <c r="R1212" s="1" t="e">
        <f t="shared" si="56"/>
        <v>#DIV/0!</v>
      </c>
    </row>
    <row r="1213" spans="1:18" hidden="1">
      <c r="A1213" s="1">
        <v>2</v>
      </c>
      <c r="B1213" s="1" t="str">
        <f>"قطعات و لوازم يدكي"</f>
        <v>قطعات و لوازم يدكي</v>
      </c>
      <c r="C1213" s="1">
        <v>120</v>
      </c>
      <c r="D1213" s="1" t="str">
        <f>"انبار قطعات و لوازم يدكي بشکه سازي اصفهان"</f>
        <v>انبار قطعات و لوازم يدكي بشکه سازي اصفهان</v>
      </c>
      <c r="E1213" s="1" t="str">
        <f>"6211700006"</f>
        <v>6211700006</v>
      </c>
      <c r="F1213" s="1" t="str">
        <f>"باند کشي"</f>
        <v>باند کشي</v>
      </c>
      <c r="G1213" s="1" t="str">
        <f>"عدد"</f>
        <v>عدد</v>
      </c>
      <c r="H1213" s="1">
        <v>0</v>
      </c>
      <c r="I1213" s="1">
        <v>0</v>
      </c>
      <c r="J1213" s="1">
        <v>1</v>
      </c>
      <c r="K1213" s="1">
        <v>11000</v>
      </c>
      <c r="L1213" s="1">
        <v>1</v>
      </c>
      <c r="M1213" s="1">
        <v>11000</v>
      </c>
      <c r="O1213" s="1">
        <v>97</v>
      </c>
      <c r="P1213" s="1">
        <f t="shared" si="54"/>
        <v>0</v>
      </c>
      <c r="Q1213" s="1">
        <f t="shared" si="55"/>
        <v>0</v>
      </c>
      <c r="R1213" s="1" t="e">
        <f t="shared" si="56"/>
        <v>#DIV/0!</v>
      </c>
    </row>
    <row r="1214" spans="1:18" hidden="1">
      <c r="A1214" s="1">
        <v>2</v>
      </c>
      <c r="B1214" s="1" t="str">
        <f>"قطعات و لوازم يدكي"</f>
        <v>قطعات و لوازم يدكي</v>
      </c>
      <c r="C1214" s="1">
        <v>120</v>
      </c>
      <c r="D1214" s="1" t="str">
        <f>"انبار قطعات و لوازم يدكي بشکه سازي اصفهان"</f>
        <v>انبار قطعات و لوازم يدكي بشکه سازي اصفهان</v>
      </c>
      <c r="E1214" s="1" t="str">
        <f>"6211700015"</f>
        <v>6211700015</v>
      </c>
      <c r="F1214" s="1" t="str">
        <f>"چسب کاغذي"</f>
        <v>چسب کاغذي</v>
      </c>
      <c r="G1214" s="1" t="str">
        <f>"عدد"</f>
        <v>عدد</v>
      </c>
      <c r="H1214" s="1">
        <v>0</v>
      </c>
      <c r="I1214" s="1">
        <v>0</v>
      </c>
      <c r="J1214" s="1">
        <v>3</v>
      </c>
      <c r="K1214" s="1">
        <v>105000</v>
      </c>
      <c r="L1214" s="1">
        <v>3</v>
      </c>
      <c r="M1214" s="1">
        <v>105000</v>
      </c>
      <c r="O1214" s="1">
        <v>97</v>
      </c>
      <c r="P1214" s="1">
        <f t="shared" si="54"/>
        <v>0</v>
      </c>
      <c r="Q1214" s="1">
        <f t="shared" si="55"/>
        <v>0</v>
      </c>
      <c r="R1214" s="1" t="e">
        <f t="shared" si="56"/>
        <v>#DIV/0!</v>
      </c>
    </row>
    <row r="1215" spans="1:18" hidden="1">
      <c r="A1215" s="1">
        <v>2</v>
      </c>
      <c r="B1215" s="1" t="str">
        <f>"قطعات و لوازم يدكي"</f>
        <v>قطعات و لوازم يدكي</v>
      </c>
      <c r="C1215" s="1">
        <v>120</v>
      </c>
      <c r="D1215" s="1" t="str">
        <f>"انبار قطعات و لوازم يدكي بشکه سازي اصفهان"</f>
        <v>انبار قطعات و لوازم يدكي بشکه سازي اصفهان</v>
      </c>
      <c r="E1215" s="1" t="str">
        <f>"7111700037"</f>
        <v>7111700037</v>
      </c>
      <c r="F1215" s="1" t="str">
        <f>"چاه بست"</f>
        <v>چاه بست</v>
      </c>
      <c r="G1215" s="1" t="str">
        <f>"عدد"</f>
        <v>عدد</v>
      </c>
      <c r="H1215" s="1">
        <v>0</v>
      </c>
      <c r="I1215" s="1">
        <v>0</v>
      </c>
      <c r="J1215" s="1">
        <v>7</v>
      </c>
      <c r="K1215" s="1">
        <v>350000</v>
      </c>
      <c r="L1215" s="1">
        <v>7</v>
      </c>
      <c r="M1215" s="1">
        <v>350000</v>
      </c>
      <c r="O1215" s="1">
        <v>97</v>
      </c>
      <c r="P1215" s="1">
        <f t="shared" si="54"/>
        <v>0</v>
      </c>
      <c r="Q1215" s="1">
        <f t="shared" si="55"/>
        <v>0</v>
      </c>
      <c r="R1215" s="1" t="e">
        <f t="shared" si="56"/>
        <v>#DIV/0!</v>
      </c>
    </row>
    <row r="1216" spans="1:18" hidden="1">
      <c r="A1216" s="1">
        <v>2</v>
      </c>
      <c r="B1216" s="1" t="str">
        <f>"قطعات و لوازم يدكي"</f>
        <v>قطعات و لوازم يدكي</v>
      </c>
      <c r="C1216" s="1">
        <v>120</v>
      </c>
      <c r="D1216" s="1" t="str">
        <f>"انبار قطعات و لوازم يدكي بشکه سازي اصفهان"</f>
        <v>انبار قطعات و لوازم يدكي بشکه سازي اصفهان</v>
      </c>
      <c r="E1216" s="1" t="str">
        <f>"7111700063"</f>
        <v>7111700063</v>
      </c>
      <c r="F1216" s="1" t="str">
        <f>"دمپايي."</f>
        <v>دمپايي.</v>
      </c>
      <c r="G1216" s="1" t="str">
        <f>"جفت"</f>
        <v>جفت</v>
      </c>
      <c r="H1216" s="1">
        <v>0</v>
      </c>
      <c r="I1216" s="1">
        <v>0</v>
      </c>
      <c r="J1216" s="1">
        <v>1</v>
      </c>
      <c r="K1216" s="1">
        <v>80000</v>
      </c>
      <c r="L1216" s="1">
        <v>1</v>
      </c>
      <c r="M1216" s="1">
        <v>80000</v>
      </c>
      <c r="O1216" s="1">
        <v>97</v>
      </c>
      <c r="P1216" s="1">
        <f t="shared" si="54"/>
        <v>0</v>
      </c>
      <c r="Q1216" s="1">
        <f t="shared" si="55"/>
        <v>0</v>
      </c>
      <c r="R1216" s="1" t="e">
        <f t="shared" si="56"/>
        <v>#DIV/0!</v>
      </c>
    </row>
    <row r="1217" spans="1:18" hidden="1">
      <c r="A1217" s="1">
        <v>2</v>
      </c>
      <c r="B1217" s="1" t="str">
        <f>"قطعات و لوازم يدكي"</f>
        <v>قطعات و لوازم يدكي</v>
      </c>
      <c r="C1217" s="1">
        <v>120</v>
      </c>
      <c r="D1217" s="1" t="str">
        <f>"انبار قطعات و لوازم يدكي بشکه سازي اصفهان"</f>
        <v>انبار قطعات و لوازم يدكي بشکه سازي اصفهان</v>
      </c>
      <c r="E1217" s="1" t="str">
        <f>"7111700072"</f>
        <v>7111700072</v>
      </c>
      <c r="F1217" s="1" t="str">
        <f>"مداد مشکي."</f>
        <v>مداد مشکي.</v>
      </c>
      <c r="G1217" s="1" t="str">
        <f>"عدد"</f>
        <v>عدد</v>
      </c>
      <c r="H1217" s="1">
        <v>0</v>
      </c>
      <c r="I1217" s="1">
        <v>0</v>
      </c>
      <c r="J1217" s="1">
        <v>2</v>
      </c>
      <c r="K1217" s="1">
        <v>10000</v>
      </c>
      <c r="L1217" s="1">
        <v>2</v>
      </c>
      <c r="M1217" s="1">
        <v>10000</v>
      </c>
      <c r="O1217" s="1">
        <v>97</v>
      </c>
      <c r="P1217" s="1">
        <f t="shared" si="54"/>
        <v>0</v>
      </c>
      <c r="Q1217" s="1">
        <f t="shared" si="55"/>
        <v>0</v>
      </c>
      <c r="R1217" s="1" t="e">
        <f t="shared" si="56"/>
        <v>#DIV/0!</v>
      </c>
    </row>
    <row r="1218" spans="1:18">
      <c r="A1218" s="1">
        <v>2</v>
      </c>
      <c r="B1218" s="1" t="str">
        <f>"قطعات و لوازم يدكي"</f>
        <v>قطعات و لوازم يدكي</v>
      </c>
      <c r="C1218" s="1">
        <v>205</v>
      </c>
      <c r="D1218" s="1" t="str">
        <f>"انبار قطعات و لوازم يدكي بندرعباس"</f>
        <v>انبار قطعات و لوازم يدكي بندرعباس</v>
      </c>
      <c r="E1218" s="1" t="str">
        <f>"1800000018"</f>
        <v>1800000018</v>
      </c>
      <c r="F1218" s="1" t="str">
        <f>"کپ3/4"</f>
        <v>کپ3/4</v>
      </c>
      <c r="G1218" s="1" t="str">
        <f>"عدد"</f>
        <v>عدد</v>
      </c>
      <c r="H1218" s="1">
        <v>4</v>
      </c>
      <c r="I1218" s="1">
        <v>172000</v>
      </c>
      <c r="J1218" s="1">
        <v>0</v>
      </c>
      <c r="K1218" s="1">
        <v>0</v>
      </c>
      <c r="L1218" s="1">
        <v>0</v>
      </c>
      <c r="M1218" s="1">
        <v>0</v>
      </c>
      <c r="O1218" s="1">
        <v>97</v>
      </c>
      <c r="P1218" s="4">
        <f t="shared" si="54"/>
        <v>172000</v>
      </c>
      <c r="Q1218" s="4">
        <f t="shared" si="55"/>
        <v>4</v>
      </c>
      <c r="R1218" s="4">
        <f t="shared" si="56"/>
        <v>43000</v>
      </c>
    </row>
    <row r="1219" spans="1:18">
      <c r="A1219" s="1">
        <v>2</v>
      </c>
      <c r="B1219" s="1" t="str">
        <f>"قطعات و لوازم يدكي"</f>
        <v>قطعات و لوازم يدكي</v>
      </c>
      <c r="C1219" s="1">
        <v>205</v>
      </c>
      <c r="D1219" s="1" t="str">
        <f>"انبار قطعات و لوازم يدكي بندرعباس"</f>
        <v>انبار قطعات و لوازم يدكي بندرعباس</v>
      </c>
      <c r="E1219" s="1" t="str">
        <f>"1800000020"</f>
        <v>1800000020</v>
      </c>
      <c r="F1219" s="1" t="str">
        <f>"کپ 3/4"</f>
        <v>کپ 3/4</v>
      </c>
      <c r="G1219" s="1" t="str">
        <f>"عدد"</f>
        <v>عدد</v>
      </c>
      <c r="H1219" s="1">
        <v>3</v>
      </c>
      <c r="I1219" s="1">
        <v>129000</v>
      </c>
      <c r="J1219" s="1">
        <v>0</v>
      </c>
      <c r="K1219" s="1">
        <v>0</v>
      </c>
      <c r="L1219" s="1">
        <v>0</v>
      </c>
      <c r="M1219" s="1">
        <v>0</v>
      </c>
      <c r="O1219" s="1">
        <v>97</v>
      </c>
      <c r="P1219" s="4">
        <f t="shared" ref="P1219:P1282" si="57">I1219+K1219-M1219</f>
        <v>129000</v>
      </c>
      <c r="Q1219" s="4">
        <f t="shared" ref="Q1219:Q1282" si="58">H1219+J1219-L1219</f>
        <v>3</v>
      </c>
      <c r="R1219" s="4">
        <f t="shared" ref="R1219:R1282" si="59">P1219/Q1219</f>
        <v>43000</v>
      </c>
    </row>
    <row r="1220" spans="1:18">
      <c r="A1220" s="1">
        <v>2</v>
      </c>
      <c r="B1220" s="1" t="str">
        <f>"قطعات و لوازم يدكي"</f>
        <v>قطعات و لوازم يدكي</v>
      </c>
      <c r="C1220" s="1">
        <v>205</v>
      </c>
      <c r="D1220" s="1" t="str">
        <f>"انبار قطعات و لوازم يدكي بندرعباس"</f>
        <v>انبار قطعات و لوازم يدكي بندرعباس</v>
      </c>
      <c r="E1220" s="1" t="str">
        <f>"1800000023"</f>
        <v>1800000023</v>
      </c>
      <c r="F1220" s="1" t="str">
        <f>"چک ولو 2"</f>
        <v>چک ولو 2</v>
      </c>
      <c r="G1220" s="1" t="str">
        <f>"عدد"</f>
        <v>عدد</v>
      </c>
      <c r="H1220" s="1">
        <v>1</v>
      </c>
      <c r="I1220" s="1">
        <v>4060000</v>
      </c>
      <c r="J1220" s="1">
        <v>0</v>
      </c>
      <c r="K1220" s="1">
        <v>0</v>
      </c>
      <c r="L1220" s="1">
        <v>0</v>
      </c>
      <c r="M1220" s="1">
        <v>0</v>
      </c>
      <c r="O1220" s="1">
        <v>97</v>
      </c>
      <c r="P1220" s="4">
        <f t="shared" si="57"/>
        <v>4060000</v>
      </c>
      <c r="Q1220" s="4">
        <f t="shared" si="58"/>
        <v>1</v>
      </c>
      <c r="R1220" s="4">
        <f t="shared" si="59"/>
        <v>4060000</v>
      </c>
    </row>
    <row r="1221" spans="1:18">
      <c r="A1221" s="1">
        <v>2</v>
      </c>
      <c r="B1221" s="1" t="str">
        <f>"قطعات و لوازم يدكي"</f>
        <v>قطعات و لوازم يدكي</v>
      </c>
      <c r="C1221" s="1">
        <v>205</v>
      </c>
      <c r="D1221" s="1" t="str">
        <f>"انبار قطعات و لوازم يدكي بندرعباس"</f>
        <v>انبار قطعات و لوازم يدكي بندرعباس</v>
      </c>
      <c r="E1221" s="1" t="str">
        <f>"1800000031"</f>
        <v>1800000031</v>
      </c>
      <c r="F1221" s="1" t="str">
        <f>"فلنج 1/2*2"</f>
        <v>فلنج 1/2*2</v>
      </c>
      <c r="G1221" s="1" t="str">
        <f>"عدد"</f>
        <v>عدد</v>
      </c>
      <c r="H1221" s="1">
        <v>6</v>
      </c>
      <c r="I1221" s="1">
        <v>3792000</v>
      </c>
      <c r="J1221" s="1">
        <v>0</v>
      </c>
      <c r="K1221" s="1">
        <v>0</v>
      </c>
      <c r="L1221" s="1">
        <v>0</v>
      </c>
      <c r="M1221" s="1">
        <v>0</v>
      </c>
      <c r="O1221" s="1">
        <v>97</v>
      </c>
      <c r="P1221" s="4">
        <f t="shared" si="57"/>
        <v>3792000</v>
      </c>
      <c r="Q1221" s="4">
        <f t="shared" si="58"/>
        <v>6</v>
      </c>
      <c r="R1221" s="4">
        <f t="shared" si="59"/>
        <v>632000</v>
      </c>
    </row>
    <row r="1222" spans="1:18" hidden="1">
      <c r="A1222" s="1">
        <v>2</v>
      </c>
      <c r="B1222" s="1" t="str">
        <f>"قطعات و لوازم يدكي"</f>
        <v>قطعات و لوازم يدكي</v>
      </c>
      <c r="C1222" s="1">
        <v>205</v>
      </c>
      <c r="D1222" s="1" t="str">
        <f>"انبار قطعات و لوازم يدكي بندرعباس"</f>
        <v>انبار قطعات و لوازم يدكي بندرعباس</v>
      </c>
      <c r="E1222" s="1" t="str">
        <f>"1800000047"</f>
        <v>1800000047</v>
      </c>
      <c r="F1222" s="1" t="str">
        <f>"فلنج 8"</f>
        <v>فلنج 8</v>
      </c>
      <c r="G1222" s="1" t="str">
        <f>"عدد"</f>
        <v>عدد</v>
      </c>
      <c r="H1222" s="1">
        <v>10</v>
      </c>
      <c r="I1222" s="1">
        <v>27010000</v>
      </c>
      <c r="J1222" s="1">
        <v>0</v>
      </c>
      <c r="K1222" s="1">
        <v>0</v>
      </c>
      <c r="L1222" s="1">
        <v>10</v>
      </c>
      <c r="M1222" s="1">
        <v>27010000</v>
      </c>
      <c r="O1222" s="1">
        <v>97</v>
      </c>
      <c r="P1222" s="1">
        <f t="shared" si="57"/>
        <v>0</v>
      </c>
      <c r="Q1222" s="1">
        <f t="shared" si="58"/>
        <v>0</v>
      </c>
      <c r="R1222" s="1" t="e">
        <f t="shared" si="59"/>
        <v>#DIV/0!</v>
      </c>
    </row>
    <row r="1223" spans="1:18">
      <c r="A1223" s="1">
        <v>2</v>
      </c>
      <c r="B1223" s="1" t="str">
        <f>"قطعات و لوازم يدكي"</f>
        <v>قطعات و لوازم يدكي</v>
      </c>
      <c r="C1223" s="1">
        <v>205</v>
      </c>
      <c r="D1223" s="1" t="str">
        <f>"انبار قطعات و لوازم يدكي بندرعباس"</f>
        <v>انبار قطعات و لوازم يدكي بندرعباس</v>
      </c>
      <c r="E1223" s="1" t="str">
        <f>"1800000068"</f>
        <v>1800000068</v>
      </c>
      <c r="F1223" s="1" t="str">
        <f>"زانو4"</f>
        <v>زانو4</v>
      </c>
      <c r="G1223" s="1" t="str">
        <f>"عدد"</f>
        <v>عدد</v>
      </c>
      <c r="H1223" s="1">
        <v>2</v>
      </c>
      <c r="I1223" s="1">
        <v>864000</v>
      </c>
      <c r="J1223" s="1">
        <v>0</v>
      </c>
      <c r="K1223" s="1">
        <v>0</v>
      </c>
      <c r="L1223" s="1">
        <v>0</v>
      </c>
      <c r="M1223" s="1">
        <v>0</v>
      </c>
      <c r="O1223" s="1">
        <v>97</v>
      </c>
      <c r="P1223" s="4">
        <f t="shared" si="57"/>
        <v>864000</v>
      </c>
      <c r="Q1223" s="4">
        <f t="shared" si="58"/>
        <v>2</v>
      </c>
      <c r="R1223" s="4">
        <f t="shared" si="59"/>
        <v>432000</v>
      </c>
    </row>
    <row r="1224" spans="1:18">
      <c r="A1224" s="1">
        <v>2</v>
      </c>
      <c r="B1224" s="1" t="str">
        <f>"قطعات و لوازم يدكي"</f>
        <v>قطعات و لوازم يدكي</v>
      </c>
      <c r="C1224" s="1">
        <v>205</v>
      </c>
      <c r="D1224" s="1" t="str">
        <f>"انبار قطعات و لوازم يدكي بندرعباس"</f>
        <v>انبار قطعات و لوازم يدكي بندرعباس</v>
      </c>
      <c r="E1224" s="1" t="str">
        <f>"1800000078"</f>
        <v>1800000078</v>
      </c>
      <c r="F1224" s="1" t="str">
        <f>"زانو10"</f>
        <v>زانو10</v>
      </c>
      <c r="G1224" s="1" t="str">
        <f>"عدد"</f>
        <v>عدد</v>
      </c>
      <c r="H1224" s="1">
        <v>3</v>
      </c>
      <c r="I1224" s="1">
        <v>4863000</v>
      </c>
      <c r="J1224" s="1">
        <v>0</v>
      </c>
      <c r="K1224" s="1">
        <v>0</v>
      </c>
      <c r="L1224" s="1">
        <v>0</v>
      </c>
      <c r="M1224" s="1">
        <v>0</v>
      </c>
      <c r="O1224" s="1">
        <v>97</v>
      </c>
      <c r="P1224" s="4">
        <f t="shared" si="57"/>
        <v>4863000</v>
      </c>
      <c r="Q1224" s="4">
        <f t="shared" si="58"/>
        <v>3</v>
      </c>
      <c r="R1224" s="4">
        <f t="shared" si="59"/>
        <v>1621000</v>
      </c>
    </row>
    <row r="1225" spans="1:18">
      <c r="A1225" s="1">
        <v>2</v>
      </c>
      <c r="B1225" s="1" t="str">
        <f>"قطعات و لوازم يدكي"</f>
        <v>قطعات و لوازم يدكي</v>
      </c>
      <c r="C1225" s="1">
        <v>205</v>
      </c>
      <c r="D1225" s="1" t="str">
        <f>"انبار قطعات و لوازم يدكي بندرعباس"</f>
        <v>انبار قطعات و لوازم يدكي بندرعباس</v>
      </c>
      <c r="E1225" s="1" t="str">
        <f>"1800000087"</f>
        <v>1800000087</v>
      </c>
      <c r="F1225" s="1" t="str">
        <f>"زانو 4 اينچ"</f>
        <v>زانو 4 اينچ</v>
      </c>
      <c r="G1225" s="1" t="str">
        <f>"عدد"</f>
        <v>عدد</v>
      </c>
      <c r="H1225" s="1">
        <v>4</v>
      </c>
      <c r="I1225" s="1">
        <v>1728000</v>
      </c>
      <c r="J1225" s="1">
        <v>0</v>
      </c>
      <c r="K1225" s="1">
        <v>0</v>
      </c>
      <c r="L1225" s="1">
        <v>0</v>
      </c>
      <c r="M1225" s="1">
        <v>0</v>
      </c>
      <c r="O1225" s="1">
        <v>97</v>
      </c>
      <c r="P1225" s="4">
        <f t="shared" si="57"/>
        <v>1728000</v>
      </c>
      <c r="Q1225" s="4">
        <f t="shared" si="58"/>
        <v>4</v>
      </c>
      <c r="R1225" s="4">
        <f t="shared" si="59"/>
        <v>432000</v>
      </c>
    </row>
    <row r="1226" spans="1:18">
      <c r="A1226" s="1">
        <v>2</v>
      </c>
      <c r="B1226" s="1" t="str">
        <f>"قطعات و لوازم يدكي"</f>
        <v>قطعات و لوازم يدكي</v>
      </c>
      <c r="C1226" s="1">
        <v>205</v>
      </c>
      <c r="D1226" s="1" t="str">
        <f>"انبار قطعات و لوازم يدكي بندرعباس"</f>
        <v>انبار قطعات و لوازم يدكي بندرعباس</v>
      </c>
      <c r="E1226" s="1" t="str">
        <f>"1800000102"</f>
        <v>1800000102</v>
      </c>
      <c r="F1226" s="1" t="str">
        <f>"تي 8"</f>
        <v>تي 8</v>
      </c>
      <c r="G1226" s="1" t="str">
        <f>"عدد"</f>
        <v>عدد</v>
      </c>
      <c r="H1226" s="1">
        <v>1</v>
      </c>
      <c r="I1226" s="1">
        <v>1426000</v>
      </c>
      <c r="J1226" s="1">
        <v>0</v>
      </c>
      <c r="K1226" s="1">
        <v>0</v>
      </c>
      <c r="L1226" s="1">
        <v>0</v>
      </c>
      <c r="M1226" s="1">
        <v>0</v>
      </c>
      <c r="O1226" s="1">
        <v>97</v>
      </c>
      <c r="P1226" s="4">
        <f t="shared" si="57"/>
        <v>1426000</v>
      </c>
      <c r="Q1226" s="4">
        <f t="shared" si="58"/>
        <v>1</v>
      </c>
      <c r="R1226" s="4">
        <f t="shared" si="59"/>
        <v>1426000</v>
      </c>
    </row>
    <row r="1227" spans="1:18">
      <c r="A1227" s="1">
        <v>2</v>
      </c>
      <c r="B1227" s="1" t="str">
        <f>"قطعات و لوازم يدكي"</f>
        <v>قطعات و لوازم يدكي</v>
      </c>
      <c r="C1227" s="1">
        <v>205</v>
      </c>
      <c r="D1227" s="1" t="str">
        <f>"انبار قطعات و لوازم يدكي بندرعباس"</f>
        <v>انبار قطعات و لوازم يدكي بندرعباس</v>
      </c>
      <c r="E1227" s="1" t="str">
        <f>"1800000108"</f>
        <v>1800000108</v>
      </c>
      <c r="F1227" s="1" t="str">
        <f>"تي10"</f>
        <v>تي10</v>
      </c>
      <c r="G1227" s="1" t="str">
        <f>"عدد"</f>
        <v>عدد</v>
      </c>
      <c r="H1227" s="1">
        <v>3</v>
      </c>
      <c r="I1227" s="1">
        <v>7779000</v>
      </c>
      <c r="J1227" s="1">
        <v>0</v>
      </c>
      <c r="K1227" s="1">
        <v>0</v>
      </c>
      <c r="L1227" s="1">
        <v>0</v>
      </c>
      <c r="M1227" s="1">
        <v>0</v>
      </c>
      <c r="O1227" s="1">
        <v>97</v>
      </c>
      <c r="P1227" s="4">
        <f t="shared" si="57"/>
        <v>7779000</v>
      </c>
      <c r="Q1227" s="4">
        <f t="shared" si="58"/>
        <v>3</v>
      </c>
      <c r="R1227" s="4">
        <f t="shared" si="59"/>
        <v>2593000</v>
      </c>
    </row>
    <row r="1228" spans="1:18">
      <c r="A1228" s="1">
        <v>2</v>
      </c>
      <c r="B1228" s="1" t="str">
        <f>"قطعات و لوازم يدكي"</f>
        <v>قطعات و لوازم يدكي</v>
      </c>
      <c r="C1228" s="1">
        <v>205</v>
      </c>
      <c r="D1228" s="1" t="str">
        <f>"انبار قطعات و لوازم يدكي بندرعباس"</f>
        <v>انبار قطعات و لوازم يدكي بندرعباس</v>
      </c>
      <c r="E1228" s="1" t="str">
        <f>"1800000111"</f>
        <v>1800000111</v>
      </c>
      <c r="F1228" s="1" t="str">
        <f>"تي20"</f>
        <v>تي20</v>
      </c>
      <c r="G1228" s="1" t="str">
        <f>"عدد"</f>
        <v>عدد</v>
      </c>
      <c r="H1228" s="1">
        <v>3</v>
      </c>
      <c r="I1228" s="1">
        <v>16328850</v>
      </c>
      <c r="J1228" s="1">
        <v>0</v>
      </c>
      <c r="K1228" s="1">
        <v>0</v>
      </c>
      <c r="L1228" s="1">
        <v>0</v>
      </c>
      <c r="M1228" s="1">
        <v>0</v>
      </c>
      <c r="O1228" s="1">
        <v>97</v>
      </c>
      <c r="P1228" s="4">
        <f t="shared" si="57"/>
        <v>16328850</v>
      </c>
      <c r="Q1228" s="4">
        <f t="shared" si="58"/>
        <v>3</v>
      </c>
      <c r="R1228" s="4">
        <f t="shared" si="59"/>
        <v>5442950</v>
      </c>
    </row>
    <row r="1229" spans="1:18">
      <c r="A1229" s="1">
        <v>2</v>
      </c>
      <c r="B1229" s="1" t="str">
        <f>"قطعات و لوازم يدكي"</f>
        <v>قطعات و لوازم يدكي</v>
      </c>
      <c r="C1229" s="1">
        <v>205</v>
      </c>
      <c r="D1229" s="1" t="str">
        <f>"انبار قطعات و لوازم يدكي بندرعباس"</f>
        <v>انبار قطعات و لوازم يدكي بندرعباس</v>
      </c>
      <c r="E1229" s="1" t="str">
        <f>"1800000112"</f>
        <v>1800000112</v>
      </c>
      <c r="F1229" s="1" t="str">
        <f>"تي تبديل 10-6"</f>
        <v>تي تبديل 10-6</v>
      </c>
      <c r="G1229" s="1" t="str">
        <f>"عدد"</f>
        <v>عدد</v>
      </c>
      <c r="H1229" s="1">
        <v>2</v>
      </c>
      <c r="I1229" s="1">
        <v>4668000</v>
      </c>
      <c r="J1229" s="1">
        <v>0</v>
      </c>
      <c r="K1229" s="1">
        <v>0</v>
      </c>
      <c r="L1229" s="1">
        <v>0</v>
      </c>
      <c r="M1229" s="1">
        <v>0</v>
      </c>
      <c r="O1229" s="1">
        <v>97</v>
      </c>
      <c r="P1229" s="4">
        <f t="shared" si="57"/>
        <v>4668000</v>
      </c>
      <c r="Q1229" s="4">
        <f t="shared" si="58"/>
        <v>2</v>
      </c>
      <c r="R1229" s="4">
        <f t="shared" si="59"/>
        <v>2334000</v>
      </c>
    </row>
    <row r="1230" spans="1:18" hidden="1">
      <c r="A1230" s="1">
        <v>2</v>
      </c>
      <c r="B1230" s="1" t="str">
        <f>"قطعات و لوازم يدكي"</f>
        <v>قطعات و لوازم يدكي</v>
      </c>
      <c r="C1230" s="1">
        <v>205</v>
      </c>
      <c r="D1230" s="1" t="str">
        <f>"انبار قطعات و لوازم يدكي بندرعباس"</f>
        <v>انبار قطعات و لوازم يدكي بندرعباس</v>
      </c>
      <c r="E1230" s="1" t="str">
        <f>"1800000146"</f>
        <v>1800000146</v>
      </c>
      <c r="F1230" s="1" t="str">
        <f>"الکترود جوشکاري 1"</f>
        <v>الکترود جوشکاري 1</v>
      </c>
      <c r="G1230" s="1" t="str">
        <f>"بسته"</f>
        <v>بسته</v>
      </c>
      <c r="H1230" s="1">
        <v>2</v>
      </c>
      <c r="I1230" s="1">
        <v>600000</v>
      </c>
      <c r="J1230" s="1">
        <v>4</v>
      </c>
      <c r="K1230" s="1">
        <v>5540000</v>
      </c>
      <c r="L1230" s="1">
        <v>6</v>
      </c>
      <c r="M1230" s="1">
        <v>6140000</v>
      </c>
      <c r="O1230" s="1">
        <v>97</v>
      </c>
      <c r="P1230" s="1">
        <f t="shared" si="57"/>
        <v>0</v>
      </c>
      <c r="Q1230" s="1">
        <f t="shared" si="58"/>
        <v>0</v>
      </c>
      <c r="R1230" s="1" t="e">
        <f t="shared" si="59"/>
        <v>#DIV/0!</v>
      </c>
    </row>
    <row r="1231" spans="1:18" hidden="1">
      <c r="A1231" s="1">
        <v>2</v>
      </c>
      <c r="B1231" s="1" t="str">
        <f>"قطعات و لوازم يدكي"</f>
        <v>قطعات و لوازم يدكي</v>
      </c>
      <c r="C1231" s="1">
        <v>205</v>
      </c>
      <c r="D1231" s="1" t="str">
        <f>"انبار قطعات و لوازم يدكي بندرعباس"</f>
        <v>انبار قطعات و لوازم يدكي بندرعباس</v>
      </c>
      <c r="E1231" s="1" t="str">
        <f>"1800000147"</f>
        <v>1800000147</v>
      </c>
      <c r="F1231" s="1" t="str">
        <f>"الکترود جوشکاري 2"</f>
        <v>الکترود جوشکاري 2</v>
      </c>
      <c r="G1231" s="1" t="str">
        <f>"بسته"</f>
        <v>بسته</v>
      </c>
      <c r="H1231" s="1">
        <v>3</v>
      </c>
      <c r="I1231" s="1">
        <v>900000</v>
      </c>
      <c r="J1231" s="1">
        <v>0</v>
      </c>
      <c r="K1231" s="1">
        <v>0</v>
      </c>
      <c r="L1231" s="1">
        <v>3</v>
      </c>
      <c r="M1231" s="1">
        <v>900000</v>
      </c>
      <c r="O1231" s="1">
        <v>97</v>
      </c>
      <c r="P1231" s="1">
        <f t="shared" si="57"/>
        <v>0</v>
      </c>
      <c r="Q1231" s="1">
        <f t="shared" si="58"/>
        <v>0</v>
      </c>
      <c r="R1231" s="1" t="e">
        <f t="shared" si="59"/>
        <v>#DIV/0!</v>
      </c>
    </row>
    <row r="1232" spans="1:18">
      <c r="A1232" s="1">
        <v>2</v>
      </c>
      <c r="B1232" s="1" t="str">
        <f>"قطعات و لوازم يدكي"</f>
        <v>قطعات و لوازم يدكي</v>
      </c>
      <c r="C1232" s="1">
        <v>205</v>
      </c>
      <c r="D1232" s="1" t="str">
        <f>"انبار قطعات و لوازم يدكي بندرعباس"</f>
        <v>انبار قطعات و لوازم يدكي بندرعباس</v>
      </c>
      <c r="E1232" s="1" t="str">
        <f>"1800000149"</f>
        <v>1800000149</v>
      </c>
      <c r="F1232" s="1" t="str">
        <f>"الکل صنعتي"</f>
        <v>الکل صنعتي</v>
      </c>
      <c r="G1232" s="1" t="str">
        <f>"عدد"</f>
        <v>عدد</v>
      </c>
      <c r="H1232" s="1">
        <v>17</v>
      </c>
      <c r="I1232" s="1">
        <v>340000</v>
      </c>
      <c r="J1232" s="1">
        <v>10</v>
      </c>
      <c r="K1232" s="1">
        <v>200000</v>
      </c>
      <c r="L1232" s="1">
        <v>8</v>
      </c>
      <c r="M1232" s="1">
        <v>160000</v>
      </c>
      <c r="O1232" s="1">
        <v>97</v>
      </c>
      <c r="P1232" s="4">
        <f t="shared" si="57"/>
        <v>380000</v>
      </c>
      <c r="Q1232" s="4">
        <f t="shared" si="58"/>
        <v>19</v>
      </c>
      <c r="R1232" s="4">
        <f t="shared" si="59"/>
        <v>20000</v>
      </c>
    </row>
    <row r="1233" spans="1:18">
      <c r="A1233" s="1">
        <v>2</v>
      </c>
      <c r="B1233" s="1" t="str">
        <f>"قطعات و لوازم يدكي"</f>
        <v>قطعات و لوازم يدكي</v>
      </c>
      <c r="C1233" s="1">
        <v>205</v>
      </c>
      <c r="D1233" s="1" t="str">
        <f>"انبار قطعات و لوازم يدكي بندرعباس"</f>
        <v>انبار قطعات و لوازم يدكي بندرعباس</v>
      </c>
      <c r="E1233" s="1" t="str">
        <f>"1800000161"</f>
        <v>1800000161</v>
      </c>
      <c r="F1233" s="1" t="str">
        <f>"اورينگ وايتون گلند"</f>
        <v>اورينگ وايتون گلند</v>
      </c>
      <c r="G1233" s="1" t="str">
        <f>"عدد"</f>
        <v>عدد</v>
      </c>
      <c r="H1233" s="1">
        <v>19</v>
      </c>
      <c r="I1233" s="1">
        <v>7125000</v>
      </c>
      <c r="J1233" s="1">
        <v>0</v>
      </c>
      <c r="K1233" s="1">
        <v>0</v>
      </c>
      <c r="L1233" s="1">
        <v>11</v>
      </c>
      <c r="M1233" s="1">
        <v>4125000</v>
      </c>
      <c r="O1233" s="1">
        <v>97</v>
      </c>
      <c r="P1233" s="4">
        <f t="shared" si="57"/>
        <v>3000000</v>
      </c>
      <c r="Q1233" s="4">
        <f t="shared" si="58"/>
        <v>8</v>
      </c>
      <c r="R1233" s="4">
        <f t="shared" si="59"/>
        <v>375000</v>
      </c>
    </row>
    <row r="1234" spans="1:18" hidden="1">
      <c r="A1234" s="1">
        <v>2</v>
      </c>
      <c r="B1234" s="1" t="str">
        <f>"قطعات و لوازم يدكي"</f>
        <v>قطعات و لوازم يدكي</v>
      </c>
      <c r="C1234" s="1">
        <v>205</v>
      </c>
      <c r="D1234" s="1" t="str">
        <f>"انبار قطعات و لوازم يدكي بندرعباس"</f>
        <v>انبار قطعات و لوازم يدكي بندرعباس</v>
      </c>
      <c r="E1234" s="1" t="str">
        <f>"1800000162"</f>
        <v>1800000162</v>
      </c>
      <c r="F1234" s="1" t="str">
        <f>"اير پلاک"</f>
        <v>اير پلاک</v>
      </c>
      <c r="G1234" s="1" t="str">
        <f>"عدد"</f>
        <v>عدد</v>
      </c>
      <c r="H1234" s="1">
        <v>20</v>
      </c>
      <c r="I1234" s="1">
        <v>2000000</v>
      </c>
      <c r="J1234" s="1">
        <v>0</v>
      </c>
      <c r="K1234" s="1">
        <v>0</v>
      </c>
      <c r="L1234" s="1">
        <v>20</v>
      </c>
      <c r="M1234" s="1">
        <v>2000000</v>
      </c>
      <c r="O1234" s="1">
        <v>97</v>
      </c>
      <c r="P1234" s="1">
        <f t="shared" si="57"/>
        <v>0</v>
      </c>
      <c r="Q1234" s="1">
        <f t="shared" si="58"/>
        <v>0</v>
      </c>
      <c r="R1234" s="1" t="e">
        <f t="shared" si="59"/>
        <v>#DIV/0!</v>
      </c>
    </row>
    <row r="1235" spans="1:18">
      <c r="A1235" s="1">
        <v>2</v>
      </c>
      <c r="B1235" s="1" t="str">
        <f>"قطعات و لوازم يدكي"</f>
        <v>قطعات و لوازم يدكي</v>
      </c>
      <c r="C1235" s="1">
        <v>205</v>
      </c>
      <c r="D1235" s="1" t="str">
        <f>"انبار قطعات و لوازم يدكي بندرعباس"</f>
        <v>انبار قطعات و لوازم يدكي بندرعباس</v>
      </c>
      <c r="E1235" s="1" t="str">
        <f>"1800000172"</f>
        <v>1800000172</v>
      </c>
      <c r="F1235" s="1" t="str">
        <f>"بريکر اشنايدر 250"</f>
        <v>بريکر اشنايدر 250</v>
      </c>
      <c r="G1235" s="1" t="str">
        <f>"عدد"</f>
        <v>عدد</v>
      </c>
      <c r="H1235" s="1">
        <v>1</v>
      </c>
      <c r="I1235" s="1">
        <v>1800000</v>
      </c>
      <c r="J1235" s="1">
        <v>0</v>
      </c>
      <c r="K1235" s="1">
        <v>0</v>
      </c>
      <c r="L1235" s="1">
        <v>0</v>
      </c>
      <c r="M1235" s="1">
        <v>0</v>
      </c>
      <c r="O1235" s="1">
        <v>97</v>
      </c>
      <c r="P1235" s="4">
        <f t="shared" si="57"/>
        <v>1800000</v>
      </c>
      <c r="Q1235" s="4">
        <f t="shared" si="58"/>
        <v>1</v>
      </c>
      <c r="R1235" s="4">
        <f t="shared" si="59"/>
        <v>1800000</v>
      </c>
    </row>
    <row r="1236" spans="1:18">
      <c r="A1236" s="1">
        <v>2</v>
      </c>
      <c r="B1236" s="1" t="str">
        <f>"قطعات و لوازم يدكي"</f>
        <v>قطعات و لوازم يدكي</v>
      </c>
      <c r="C1236" s="1">
        <v>205</v>
      </c>
      <c r="D1236" s="1" t="str">
        <f>"انبار قطعات و لوازم يدكي بندرعباس"</f>
        <v>انبار قطعات و لوازم يدكي بندرعباس</v>
      </c>
      <c r="E1236" s="1" t="str">
        <f>"1800000181"</f>
        <v>1800000181</v>
      </c>
      <c r="F1236" s="1" t="str">
        <f>"بست فلزي 26-19"</f>
        <v>بست فلزي 26-19</v>
      </c>
      <c r="G1236" s="1" t="str">
        <f>"عدد"</f>
        <v>عدد</v>
      </c>
      <c r="H1236" s="1">
        <v>18</v>
      </c>
      <c r="I1236" s="1">
        <v>3600</v>
      </c>
      <c r="J1236" s="1">
        <v>0</v>
      </c>
      <c r="K1236" s="1">
        <v>0</v>
      </c>
      <c r="L1236" s="1">
        <v>9</v>
      </c>
      <c r="M1236" s="1">
        <v>1800</v>
      </c>
      <c r="O1236" s="1">
        <v>97</v>
      </c>
      <c r="P1236" s="4">
        <f t="shared" si="57"/>
        <v>1800</v>
      </c>
      <c r="Q1236" s="4">
        <f t="shared" si="58"/>
        <v>9</v>
      </c>
      <c r="R1236" s="4">
        <f t="shared" si="59"/>
        <v>200</v>
      </c>
    </row>
    <row r="1237" spans="1:18">
      <c r="A1237" s="1">
        <v>2</v>
      </c>
      <c r="B1237" s="1" t="str">
        <f>"قطعات و لوازم يدكي"</f>
        <v>قطعات و لوازم يدكي</v>
      </c>
      <c r="C1237" s="1">
        <v>205</v>
      </c>
      <c r="D1237" s="1" t="str">
        <f>"انبار قطعات و لوازم يدكي بندرعباس"</f>
        <v>انبار قطعات و لوازم يدكي بندرعباس</v>
      </c>
      <c r="E1237" s="1" t="str">
        <f>"1800000190"</f>
        <v>1800000190</v>
      </c>
      <c r="F1237" s="1" t="str">
        <f>"بست لوله فلزي 1/2"</f>
        <v>بست لوله فلزي 1/2</v>
      </c>
      <c r="G1237" s="1" t="str">
        <f>"عدد"</f>
        <v>عدد</v>
      </c>
      <c r="H1237" s="1">
        <v>10</v>
      </c>
      <c r="I1237" s="1">
        <v>2000</v>
      </c>
      <c r="J1237" s="1">
        <v>20</v>
      </c>
      <c r="K1237" s="1">
        <v>160000</v>
      </c>
      <c r="L1237" s="1">
        <v>22</v>
      </c>
      <c r="M1237" s="1">
        <v>118800</v>
      </c>
      <c r="O1237" s="1">
        <v>97</v>
      </c>
      <c r="P1237" s="4">
        <f t="shared" si="57"/>
        <v>43200</v>
      </c>
      <c r="Q1237" s="4">
        <f t="shared" si="58"/>
        <v>8</v>
      </c>
      <c r="R1237" s="4">
        <f t="shared" si="59"/>
        <v>5400</v>
      </c>
    </row>
    <row r="1238" spans="1:18">
      <c r="A1238" s="1">
        <v>2</v>
      </c>
      <c r="B1238" s="1" t="str">
        <f>"قطعات و لوازم يدكي"</f>
        <v>قطعات و لوازم يدكي</v>
      </c>
      <c r="C1238" s="1">
        <v>205</v>
      </c>
      <c r="D1238" s="1" t="str">
        <f>"انبار قطعات و لوازم يدكي بندرعباس"</f>
        <v>انبار قطعات و لوازم يدكي بندرعباس</v>
      </c>
      <c r="E1238" s="1" t="str">
        <f>"1800000195"</f>
        <v>1800000195</v>
      </c>
      <c r="F1238" s="1" t="str">
        <f>"بلبرينگ skf3312"</f>
        <v>بلبرينگ skf3312</v>
      </c>
      <c r="G1238" s="1" t="str">
        <f>"عدد"</f>
        <v>عدد</v>
      </c>
      <c r="H1238" s="1">
        <v>1</v>
      </c>
      <c r="I1238" s="1">
        <v>800000</v>
      </c>
      <c r="J1238" s="1">
        <v>0</v>
      </c>
      <c r="K1238" s="1">
        <v>0</v>
      </c>
      <c r="L1238" s="1">
        <v>0</v>
      </c>
      <c r="M1238" s="1">
        <v>0</v>
      </c>
      <c r="O1238" s="1">
        <v>97</v>
      </c>
      <c r="P1238" s="4">
        <f t="shared" si="57"/>
        <v>800000</v>
      </c>
      <c r="Q1238" s="4">
        <f t="shared" si="58"/>
        <v>1</v>
      </c>
      <c r="R1238" s="4">
        <f t="shared" si="59"/>
        <v>800000</v>
      </c>
    </row>
    <row r="1239" spans="1:18">
      <c r="A1239" s="1">
        <v>2</v>
      </c>
      <c r="B1239" s="1" t="str">
        <f>"قطعات و لوازم يدكي"</f>
        <v>قطعات و لوازم يدكي</v>
      </c>
      <c r="C1239" s="1">
        <v>205</v>
      </c>
      <c r="D1239" s="1" t="str">
        <f>"انبار قطعات و لوازم يدكي بندرعباس"</f>
        <v>انبار قطعات و لوازم يدكي بندرعباس</v>
      </c>
      <c r="E1239" s="1" t="str">
        <f>"1800000197"</f>
        <v>1800000197</v>
      </c>
      <c r="F1239" s="1" t="str">
        <f>"بلبرينگ ژاپني 6308"</f>
        <v>بلبرينگ ژاپني 6308</v>
      </c>
      <c r="G1239" s="1" t="str">
        <f>"عدد"</f>
        <v>عدد</v>
      </c>
      <c r="H1239" s="1">
        <v>4</v>
      </c>
      <c r="I1239" s="1">
        <v>3200000</v>
      </c>
      <c r="J1239" s="1">
        <v>0</v>
      </c>
      <c r="K1239" s="1">
        <v>0</v>
      </c>
      <c r="L1239" s="1">
        <v>2</v>
      </c>
      <c r="M1239" s="1">
        <v>1600000</v>
      </c>
      <c r="O1239" s="1">
        <v>97</v>
      </c>
      <c r="P1239" s="4">
        <f t="shared" si="57"/>
        <v>1600000</v>
      </c>
      <c r="Q1239" s="4">
        <f t="shared" si="58"/>
        <v>2</v>
      </c>
      <c r="R1239" s="4">
        <f t="shared" si="59"/>
        <v>800000</v>
      </c>
    </row>
    <row r="1240" spans="1:18">
      <c r="A1240" s="1">
        <v>2</v>
      </c>
      <c r="B1240" s="1" t="str">
        <f>"قطعات و لوازم يدكي"</f>
        <v>قطعات و لوازم يدكي</v>
      </c>
      <c r="C1240" s="1">
        <v>205</v>
      </c>
      <c r="D1240" s="1" t="str">
        <f>"انبار قطعات و لوازم يدكي بندرعباس"</f>
        <v>انبار قطعات و لوازم يدكي بندرعباس</v>
      </c>
      <c r="E1240" s="1" t="str">
        <f>"1800000212"</f>
        <v>1800000212</v>
      </c>
      <c r="F1240" s="1" t="str">
        <f>"بوشن لوله سفيد تبديل 32-25"</f>
        <v>بوشن لوله سفيد تبديل 32-25</v>
      </c>
      <c r="G1240" s="1" t="str">
        <f>"عدد"</f>
        <v>عدد</v>
      </c>
      <c r="H1240" s="1">
        <v>4</v>
      </c>
      <c r="I1240" s="1">
        <v>200000</v>
      </c>
      <c r="J1240" s="1">
        <v>0</v>
      </c>
      <c r="K1240" s="1">
        <v>0</v>
      </c>
      <c r="L1240" s="1">
        <v>0</v>
      </c>
      <c r="M1240" s="1">
        <v>0</v>
      </c>
      <c r="O1240" s="1">
        <v>97</v>
      </c>
      <c r="P1240" s="4">
        <f t="shared" si="57"/>
        <v>200000</v>
      </c>
      <c r="Q1240" s="4">
        <f t="shared" si="58"/>
        <v>4</v>
      </c>
      <c r="R1240" s="4">
        <f t="shared" si="59"/>
        <v>50000</v>
      </c>
    </row>
    <row r="1241" spans="1:18">
      <c r="A1241" s="1">
        <v>2</v>
      </c>
      <c r="B1241" s="1" t="str">
        <f>"قطعات و لوازم يدكي"</f>
        <v>قطعات و لوازم يدكي</v>
      </c>
      <c r="C1241" s="1">
        <v>205</v>
      </c>
      <c r="D1241" s="1" t="str">
        <f>"انبار قطعات و لوازم يدكي بندرعباس"</f>
        <v>انبار قطعات و لوازم يدكي بندرعباس</v>
      </c>
      <c r="E1241" s="1" t="str">
        <f>"1800000213"</f>
        <v>1800000213</v>
      </c>
      <c r="F1241" s="1" t="str">
        <f>"بوشينگ فيوز"</f>
        <v>بوشينگ فيوز</v>
      </c>
      <c r="G1241" s="1" t="str">
        <f>"عدد"</f>
        <v>عدد</v>
      </c>
      <c r="H1241" s="1">
        <v>6</v>
      </c>
      <c r="I1241" s="1">
        <v>1800000</v>
      </c>
      <c r="J1241" s="1">
        <v>0</v>
      </c>
      <c r="K1241" s="1">
        <v>0</v>
      </c>
      <c r="L1241" s="1">
        <v>0</v>
      </c>
      <c r="M1241" s="1">
        <v>0</v>
      </c>
      <c r="O1241" s="1">
        <v>97</v>
      </c>
      <c r="P1241" s="4">
        <f t="shared" si="57"/>
        <v>1800000</v>
      </c>
      <c r="Q1241" s="4">
        <f t="shared" si="58"/>
        <v>6</v>
      </c>
      <c r="R1241" s="4">
        <f t="shared" si="59"/>
        <v>300000</v>
      </c>
    </row>
    <row r="1242" spans="1:18">
      <c r="A1242" s="1">
        <v>2</v>
      </c>
      <c r="B1242" s="1" t="str">
        <f>"قطعات و لوازم يدكي"</f>
        <v>قطعات و لوازم يدكي</v>
      </c>
      <c r="C1242" s="1">
        <v>205</v>
      </c>
      <c r="D1242" s="1" t="str">
        <f>"انبار قطعات و لوازم يدكي بندرعباس"</f>
        <v>انبار قطعات و لوازم يدكي بندرعباس</v>
      </c>
      <c r="E1242" s="1" t="str">
        <f>"1800000216"</f>
        <v>1800000216</v>
      </c>
      <c r="F1242" s="1" t="str">
        <f>"ولو تکضرب پلاستيکي 25"</f>
        <v>ولو تکضرب پلاستيکي 25</v>
      </c>
      <c r="G1242" s="1" t="str">
        <f>"عدد"</f>
        <v>عدد</v>
      </c>
      <c r="H1242" s="1">
        <v>1</v>
      </c>
      <c r="I1242" s="1">
        <v>50000</v>
      </c>
      <c r="J1242" s="1">
        <v>0</v>
      </c>
      <c r="K1242" s="1">
        <v>0</v>
      </c>
      <c r="L1242" s="1">
        <v>0</v>
      </c>
      <c r="M1242" s="1">
        <v>0</v>
      </c>
      <c r="O1242" s="1">
        <v>97</v>
      </c>
      <c r="P1242" s="4">
        <f t="shared" si="57"/>
        <v>50000</v>
      </c>
      <c r="Q1242" s="4">
        <f t="shared" si="58"/>
        <v>1</v>
      </c>
      <c r="R1242" s="4">
        <f t="shared" si="59"/>
        <v>50000</v>
      </c>
    </row>
    <row r="1243" spans="1:18">
      <c r="A1243" s="1">
        <v>2</v>
      </c>
      <c r="B1243" s="1" t="str">
        <f>"قطعات و لوازم يدكي"</f>
        <v>قطعات و لوازم يدكي</v>
      </c>
      <c r="C1243" s="1">
        <v>101</v>
      </c>
      <c r="D1243" s="1" t="str">
        <f>"انبار قطعات و لوازم يدكي اصفهان"</f>
        <v>انبار قطعات و لوازم يدكي اصفهان</v>
      </c>
      <c r="E1243" s="1" t="str">
        <f>"6901400192"</f>
        <v>6901400192</v>
      </c>
      <c r="F1243" s="1" t="str">
        <f>"لامپ حبابي LED کم مصرف 11W"</f>
        <v>لامپ حبابي LED کم مصرف 11W</v>
      </c>
      <c r="G1243" s="1" t="str">
        <f>"عدد"</f>
        <v>عدد</v>
      </c>
      <c r="H1243" s="1">
        <v>0</v>
      </c>
      <c r="I1243" s="1">
        <v>0</v>
      </c>
      <c r="J1243" s="1">
        <v>80</v>
      </c>
      <c r="K1243" s="1">
        <v>8800000</v>
      </c>
      <c r="L1243" s="1">
        <v>13</v>
      </c>
      <c r="M1243" s="1">
        <v>1430000</v>
      </c>
      <c r="O1243" s="1">
        <v>97</v>
      </c>
      <c r="P1243" s="4">
        <f t="shared" si="57"/>
        <v>7370000</v>
      </c>
      <c r="Q1243" s="4">
        <f t="shared" si="58"/>
        <v>67</v>
      </c>
      <c r="R1243" s="4">
        <f t="shared" si="59"/>
        <v>110000</v>
      </c>
    </row>
    <row r="1244" spans="1:18">
      <c r="A1244" s="1">
        <v>2</v>
      </c>
      <c r="B1244" s="1" t="str">
        <f>"قطعات و لوازم يدكي"</f>
        <v>قطعات و لوازم يدكي</v>
      </c>
      <c r="C1244" s="1">
        <v>101</v>
      </c>
      <c r="D1244" s="1" t="str">
        <f>"انبار قطعات و لوازم يدكي اصفهان"</f>
        <v>انبار قطعات و لوازم يدكي اصفهان</v>
      </c>
      <c r="E1244" s="1" t="str">
        <f>"6901400422"</f>
        <v>6901400422</v>
      </c>
      <c r="F1244" s="1" t="str">
        <f>"لامپ كم مصرف افتابي 40W"</f>
        <v>لامپ كم مصرف افتابي 40W</v>
      </c>
      <c r="G1244" s="1" t="str">
        <f>"عدد"</f>
        <v>عدد</v>
      </c>
      <c r="H1244" s="1">
        <v>6</v>
      </c>
      <c r="I1244" s="1">
        <v>892800</v>
      </c>
      <c r="J1244" s="1">
        <v>0</v>
      </c>
      <c r="K1244" s="1">
        <v>0</v>
      </c>
      <c r="L1244" s="1">
        <v>0</v>
      </c>
      <c r="M1244" s="1">
        <v>0</v>
      </c>
      <c r="O1244" s="1">
        <v>97</v>
      </c>
      <c r="P1244" s="4">
        <f t="shared" si="57"/>
        <v>892800</v>
      </c>
      <c r="Q1244" s="4">
        <f t="shared" si="58"/>
        <v>6</v>
      </c>
      <c r="R1244" s="4">
        <f t="shared" si="59"/>
        <v>148800</v>
      </c>
    </row>
    <row r="1245" spans="1:18">
      <c r="A1245" s="1">
        <v>2</v>
      </c>
      <c r="B1245" s="1" t="str">
        <f>"قطعات و لوازم يدكي"</f>
        <v>قطعات و لوازم يدكي</v>
      </c>
      <c r="C1245" s="1">
        <v>101</v>
      </c>
      <c r="D1245" s="1" t="str">
        <f>"انبار قطعات و لوازم يدكي اصفهان"</f>
        <v>انبار قطعات و لوازم يدكي اصفهان</v>
      </c>
      <c r="E1245" s="1" t="str">
        <f>"6901400472"</f>
        <v>6901400472</v>
      </c>
      <c r="F1245" s="1" t="str">
        <f>"لامپ کم مصرف صدفي PL-L 36W"</f>
        <v>لامپ کم مصرف صدفي PL-L 36W</v>
      </c>
      <c r="G1245" s="1" t="str">
        <f>"عدد"</f>
        <v>عدد</v>
      </c>
      <c r="H1245" s="1">
        <v>24</v>
      </c>
      <c r="I1245" s="1">
        <v>868364</v>
      </c>
      <c r="J1245" s="1">
        <v>50</v>
      </c>
      <c r="K1245" s="1">
        <v>2100000</v>
      </c>
      <c r="L1245" s="1">
        <v>29</v>
      </c>
      <c r="M1245" s="1">
        <v>1141835</v>
      </c>
      <c r="O1245" s="1">
        <v>97</v>
      </c>
      <c r="P1245" s="4">
        <f t="shared" si="57"/>
        <v>1826529</v>
      </c>
      <c r="Q1245" s="4">
        <f t="shared" si="58"/>
        <v>45</v>
      </c>
      <c r="R1245" s="4">
        <f t="shared" si="59"/>
        <v>40589.533333333333</v>
      </c>
    </row>
    <row r="1246" spans="1:18">
      <c r="A1246" s="1">
        <v>2</v>
      </c>
      <c r="B1246" s="1" t="str">
        <f>"قطعات و لوازم يدكي"</f>
        <v>قطعات و لوازم يدكي</v>
      </c>
      <c r="C1246" s="1">
        <v>101</v>
      </c>
      <c r="D1246" s="1" t="str">
        <f>"انبار قطعات و لوازم يدكي اصفهان"</f>
        <v>انبار قطعات و لوازم يدكي اصفهان</v>
      </c>
      <c r="E1246" s="1" t="str">
        <f>"6935431012"</f>
        <v>6935431012</v>
      </c>
      <c r="F1246" s="1" t="str">
        <f>"لامپ بخار  600 وات سديم"</f>
        <v>لامپ بخار  600 وات سديم</v>
      </c>
      <c r="G1246" s="1" t="str">
        <f>"عدد"</f>
        <v>عدد</v>
      </c>
      <c r="H1246" s="1">
        <v>7</v>
      </c>
      <c r="I1246" s="1">
        <v>2625000</v>
      </c>
      <c r="J1246" s="1">
        <v>0</v>
      </c>
      <c r="K1246" s="1">
        <v>0</v>
      </c>
      <c r="L1246" s="1">
        <v>0</v>
      </c>
      <c r="M1246" s="1">
        <v>0</v>
      </c>
      <c r="O1246" s="1">
        <v>97</v>
      </c>
      <c r="P1246" s="4">
        <f t="shared" si="57"/>
        <v>2625000</v>
      </c>
      <c r="Q1246" s="4">
        <f t="shared" si="58"/>
        <v>7</v>
      </c>
      <c r="R1246" s="4">
        <f t="shared" si="59"/>
        <v>375000</v>
      </c>
    </row>
    <row r="1247" spans="1:18">
      <c r="A1247" s="1">
        <v>2</v>
      </c>
      <c r="B1247" s="1" t="str">
        <f>"قطعات و لوازم يدكي"</f>
        <v>قطعات و لوازم يدكي</v>
      </c>
      <c r="C1247" s="1">
        <v>101</v>
      </c>
      <c r="D1247" s="1" t="str">
        <f>"انبار قطعات و لوازم يدكي اصفهان"</f>
        <v>انبار قطعات و لوازم يدكي اصفهان</v>
      </c>
      <c r="E1247" s="1" t="str">
        <f>"6935522102"</f>
        <v>6935522102</v>
      </c>
      <c r="F1247" s="1" t="str">
        <f>"لامپ 500W HWL"</f>
        <v>لامپ 500W HWL</v>
      </c>
      <c r="G1247" s="1" t="str">
        <f>"عدد"</f>
        <v>عدد</v>
      </c>
      <c r="H1247" s="1">
        <v>5</v>
      </c>
      <c r="I1247" s="1">
        <v>1325000</v>
      </c>
      <c r="J1247" s="1">
        <v>0</v>
      </c>
      <c r="K1247" s="1">
        <v>0</v>
      </c>
      <c r="L1247" s="1">
        <v>0</v>
      </c>
      <c r="M1247" s="1">
        <v>0</v>
      </c>
      <c r="O1247" s="1">
        <v>97</v>
      </c>
      <c r="P1247" s="4">
        <f t="shared" si="57"/>
        <v>1325000</v>
      </c>
      <c r="Q1247" s="4">
        <f t="shared" si="58"/>
        <v>5</v>
      </c>
      <c r="R1247" s="4">
        <f t="shared" si="59"/>
        <v>265000</v>
      </c>
    </row>
    <row r="1248" spans="1:18">
      <c r="A1248" s="1">
        <v>2</v>
      </c>
      <c r="B1248" s="1" t="str">
        <f>"قطعات و لوازم يدكي"</f>
        <v>قطعات و لوازم يدكي</v>
      </c>
      <c r="C1248" s="1">
        <v>101</v>
      </c>
      <c r="D1248" s="1" t="str">
        <f>"انبار قطعات و لوازم يدكي اصفهان"</f>
        <v>انبار قطعات و لوازم يدكي اصفهان</v>
      </c>
      <c r="E1248" s="1" t="str">
        <f>"6980295522"</f>
        <v>6980295522</v>
      </c>
      <c r="F1248" s="1" t="str">
        <f>"ترانس لامپ کم مصرف"</f>
        <v>ترانس لامپ کم مصرف</v>
      </c>
      <c r="G1248" s="1" t="str">
        <f>"عدد"</f>
        <v>عدد</v>
      </c>
      <c r="H1248" s="1">
        <v>7</v>
      </c>
      <c r="I1248" s="1">
        <v>336000</v>
      </c>
      <c r="J1248" s="1">
        <v>0</v>
      </c>
      <c r="K1248" s="1">
        <v>0</v>
      </c>
      <c r="L1248" s="1">
        <v>0</v>
      </c>
      <c r="M1248" s="1">
        <v>0</v>
      </c>
      <c r="O1248" s="1">
        <v>97</v>
      </c>
      <c r="P1248" s="4">
        <f t="shared" si="57"/>
        <v>336000</v>
      </c>
      <c r="Q1248" s="4">
        <f t="shared" si="58"/>
        <v>7</v>
      </c>
      <c r="R1248" s="4">
        <f t="shared" si="59"/>
        <v>48000</v>
      </c>
    </row>
    <row r="1249" spans="1:18">
      <c r="A1249" s="1">
        <v>2</v>
      </c>
      <c r="B1249" s="1" t="str">
        <f>"قطعات و لوازم يدكي"</f>
        <v>قطعات و لوازم يدكي</v>
      </c>
      <c r="C1249" s="1">
        <v>101</v>
      </c>
      <c r="D1249" s="1" t="str">
        <f>"انبار قطعات و لوازم يدكي اصفهان"</f>
        <v>انبار قطعات و لوازم يدكي اصفهان</v>
      </c>
      <c r="E1249" s="1" t="str">
        <f>"7061044202"</f>
        <v>7061044202</v>
      </c>
      <c r="F1249" s="1" t="str">
        <f>"فيوز كاردي 50A کوتاه"</f>
        <v>فيوز كاردي 50A کوتاه</v>
      </c>
      <c r="G1249" s="1" t="str">
        <f>"عدد"</f>
        <v>عدد</v>
      </c>
      <c r="H1249" s="1">
        <v>0</v>
      </c>
      <c r="I1249" s="1">
        <v>0</v>
      </c>
      <c r="J1249" s="1">
        <v>12</v>
      </c>
      <c r="K1249" s="1">
        <v>2166000</v>
      </c>
      <c r="L1249" s="1">
        <v>0</v>
      </c>
      <c r="M1249" s="1">
        <v>0</v>
      </c>
      <c r="O1249" s="1">
        <v>97</v>
      </c>
      <c r="P1249" s="4">
        <f t="shared" si="57"/>
        <v>2166000</v>
      </c>
      <c r="Q1249" s="4">
        <f t="shared" si="58"/>
        <v>12</v>
      </c>
      <c r="R1249" s="4">
        <f t="shared" si="59"/>
        <v>180500</v>
      </c>
    </row>
    <row r="1250" spans="1:18">
      <c r="A1250" s="1">
        <v>2</v>
      </c>
      <c r="B1250" s="1" t="str">
        <f>"قطعات و لوازم يدكي"</f>
        <v>قطعات و لوازم يدكي</v>
      </c>
      <c r="C1250" s="1">
        <v>101</v>
      </c>
      <c r="D1250" s="1" t="str">
        <f>"انبار قطعات و لوازم يدكي اصفهان"</f>
        <v>انبار قطعات و لوازم يدكي اصفهان</v>
      </c>
      <c r="E1250" s="1" t="str">
        <f>"7093040162"</f>
        <v>7093040162</v>
      </c>
      <c r="F1250" s="1" t="str">
        <f>"پيريز گلابي شكل كوچك"</f>
        <v>پيريز گلابي شكل كوچك</v>
      </c>
      <c r="G1250" s="1" t="str">
        <f>"عدد"</f>
        <v>عدد</v>
      </c>
      <c r="H1250" s="1">
        <v>6</v>
      </c>
      <c r="I1250" s="1">
        <v>42000</v>
      </c>
      <c r="J1250" s="1">
        <v>0</v>
      </c>
      <c r="K1250" s="1">
        <v>0</v>
      </c>
      <c r="L1250" s="1">
        <v>0</v>
      </c>
      <c r="M1250" s="1">
        <v>0</v>
      </c>
      <c r="O1250" s="1">
        <v>97</v>
      </c>
      <c r="P1250" s="4">
        <f t="shared" si="57"/>
        <v>42000</v>
      </c>
      <c r="Q1250" s="4">
        <f t="shared" si="58"/>
        <v>6</v>
      </c>
      <c r="R1250" s="4">
        <f t="shared" si="59"/>
        <v>7000</v>
      </c>
    </row>
    <row r="1251" spans="1:18">
      <c r="A1251" s="1">
        <v>2</v>
      </c>
      <c r="B1251" s="1" t="str">
        <f>"قطعات و لوازم يدكي"</f>
        <v>قطعات و لوازم يدكي</v>
      </c>
      <c r="C1251" s="1">
        <v>101</v>
      </c>
      <c r="D1251" s="1" t="str">
        <f>"انبار قطعات و لوازم يدكي اصفهان"</f>
        <v>انبار قطعات و لوازم يدكي اصفهان</v>
      </c>
      <c r="E1251" s="1" t="str">
        <f>"7098980042"</f>
        <v>7098980042</v>
      </c>
      <c r="F1251" s="1" t="str">
        <f>"محافظ كامپيوتر"</f>
        <v>محافظ كامپيوتر</v>
      </c>
      <c r="G1251" s="1" t="str">
        <f>"عدد"</f>
        <v>عدد</v>
      </c>
      <c r="H1251" s="1">
        <v>7</v>
      </c>
      <c r="I1251" s="1">
        <v>2240000</v>
      </c>
      <c r="J1251" s="1">
        <v>5</v>
      </c>
      <c r="K1251" s="1">
        <v>5000000</v>
      </c>
      <c r="L1251" s="1">
        <v>11</v>
      </c>
      <c r="M1251" s="1">
        <v>6353333</v>
      </c>
      <c r="O1251" s="1">
        <v>97</v>
      </c>
      <c r="P1251" s="4">
        <f t="shared" si="57"/>
        <v>886667</v>
      </c>
      <c r="Q1251" s="4">
        <f t="shared" si="58"/>
        <v>1</v>
      </c>
      <c r="R1251" s="4">
        <f t="shared" si="59"/>
        <v>886667</v>
      </c>
    </row>
    <row r="1252" spans="1:18">
      <c r="A1252" s="1">
        <v>2</v>
      </c>
      <c r="B1252" s="1" t="str">
        <f>"قطعات و لوازم يدكي"</f>
        <v>قطعات و لوازم يدكي</v>
      </c>
      <c r="C1252" s="1">
        <v>101</v>
      </c>
      <c r="D1252" s="1" t="str">
        <f>"انبار قطعات و لوازم يدكي اصفهان"</f>
        <v>انبار قطعات و لوازم يدكي اصفهان</v>
      </c>
      <c r="E1252" s="1" t="str">
        <f>"7098980052"</f>
        <v>7098980052</v>
      </c>
      <c r="F1252" s="1" t="str">
        <f>"سه راهي الکتريکي صنعتي"</f>
        <v>سه راهي الکتريکي صنعتي</v>
      </c>
      <c r="G1252" s="1" t="str">
        <f>"عدد"</f>
        <v>عدد</v>
      </c>
      <c r="H1252" s="1">
        <v>4</v>
      </c>
      <c r="I1252" s="1">
        <v>360000</v>
      </c>
      <c r="J1252" s="1">
        <v>0</v>
      </c>
      <c r="K1252" s="1">
        <v>0</v>
      </c>
      <c r="L1252" s="1">
        <v>0</v>
      </c>
      <c r="M1252" s="1">
        <v>0</v>
      </c>
      <c r="O1252" s="1">
        <v>97</v>
      </c>
      <c r="P1252" s="4">
        <f t="shared" si="57"/>
        <v>360000</v>
      </c>
      <c r="Q1252" s="4">
        <f t="shared" si="58"/>
        <v>4</v>
      </c>
      <c r="R1252" s="4">
        <f t="shared" si="59"/>
        <v>90000</v>
      </c>
    </row>
    <row r="1253" spans="1:18" hidden="1">
      <c r="A1253" s="1">
        <v>2</v>
      </c>
      <c r="B1253" s="1" t="str">
        <f>"قطعات و لوازم يدكي"</f>
        <v>قطعات و لوازم يدكي</v>
      </c>
      <c r="C1253" s="1">
        <v>101</v>
      </c>
      <c r="D1253" s="1" t="str">
        <f>"انبار قطعات و لوازم يدكي اصفهان"</f>
        <v>انبار قطعات و لوازم يدكي اصفهان</v>
      </c>
      <c r="E1253" s="1" t="str">
        <f>"7301020022"</f>
        <v>7301020022</v>
      </c>
      <c r="F1253" s="1" t="str">
        <f>"فلاکسي بل 1/2-1 16 متري"</f>
        <v>فلاکسي بل 1/2-1 16 متري</v>
      </c>
      <c r="G1253" s="1" t="str">
        <f>"عدد"</f>
        <v>عدد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O1253" s="1">
        <v>97</v>
      </c>
      <c r="P1253" s="1">
        <f t="shared" si="57"/>
        <v>0</v>
      </c>
      <c r="Q1253" s="1">
        <f t="shared" si="58"/>
        <v>0</v>
      </c>
      <c r="R1253" s="1" t="e">
        <f t="shared" si="59"/>
        <v>#DIV/0!</v>
      </c>
    </row>
    <row r="1254" spans="1:18" hidden="1">
      <c r="A1254" s="1">
        <v>2</v>
      </c>
      <c r="B1254" s="1" t="str">
        <f>"قطعات و لوازم يدكي"</f>
        <v>قطعات و لوازم يدكي</v>
      </c>
      <c r="C1254" s="1">
        <v>101</v>
      </c>
      <c r="D1254" s="1" t="str">
        <f>"انبار قطعات و لوازم يدكي اصفهان"</f>
        <v>انبار قطعات و لوازم يدكي اصفهان</v>
      </c>
      <c r="E1254" s="1" t="str">
        <f>"7401020012"</f>
        <v>7401020012</v>
      </c>
      <c r="F1254" s="1" t="str">
        <f>"سي چنل 2 گالوانيزه"</f>
        <v>سي چنل 2 گالوانيزه</v>
      </c>
      <c r="G1254" s="1" t="str">
        <f>"متر"</f>
        <v>متر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O1254" s="1">
        <v>97</v>
      </c>
      <c r="P1254" s="1">
        <f t="shared" si="57"/>
        <v>0</v>
      </c>
      <c r="Q1254" s="1">
        <f t="shared" si="58"/>
        <v>0</v>
      </c>
      <c r="R1254" s="1" t="e">
        <f t="shared" si="59"/>
        <v>#DIV/0!</v>
      </c>
    </row>
    <row r="1255" spans="1:18">
      <c r="A1255" s="1">
        <v>2</v>
      </c>
      <c r="B1255" s="1" t="str">
        <f>"قطعات و لوازم يدكي"</f>
        <v>قطعات و لوازم يدكي</v>
      </c>
      <c r="C1255" s="1">
        <v>101</v>
      </c>
      <c r="D1255" s="1" t="str">
        <f>"انبار قطعات و لوازم يدكي اصفهان"</f>
        <v>انبار قطعات و لوازم يدكي اصفهان</v>
      </c>
      <c r="E1255" s="1" t="str">
        <f>"7401020062"</f>
        <v>7401020062</v>
      </c>
      <c r="F1255" s="1" t="str">
        <f>"PIPE INSUL 2 PIPE SEC 50MM"</f>
        <v>PIPE INSUL 2 PIPE SEC 50MM</v>
      </c>
      <c r="G1255" s="1" t="str">
        <f>"متر"</f>
        <v>متر</v>
      </c>
      <c r="H1255" s="1">
        <v>12</v>
      </c>
      <c r="I1255" s="1">
        <v>780000</v>
      </c>
      <c r="J1255" s="1">
        <v>0</v>
      </c>
      <c r="K1255" s="1">
        <v>0</v>
      </c>
      <c r="L1255" s="1">
        <v>0</v>
      </c>
      <c r="M1255" s="1">
        <v>0</v>
      </c>
      <c r="O1255" s="1">
        <v>97</v>
      </c>
      <c r="P1255" s="4">
        <f t="shared" si="57"/>
        <v>780000</v>
      </c>
      <c r="Q1255" s="4">
        <f t="shared" si="58"/>
        <v>12</v>
      </c>
      <c r="R1255" s="4">
        <f t="shared" si="59"/>
        <v>65000</v>
      </c>
    </row>
    <row r="1256" spans="1:18">
      <c r="A1256" s="1">
        <v>2</v>
      </c>
      <c r="B1256" s="1" t="str">
        <f>"قطعات و لوازم يدكي"</f>
        <v>قطعات و لوازم يدكي</v>
      </c>
      <c r="C1256" s="1">
        <v>101</v>
      </c>
      <c r="D1256" s="1" t="str">
        <f>"انبار قطعات و لوازم يدكي اصفهان"</f>
        <v>انبار قطعات و لوازم يدكي اصفهان</v>
      </c>
      <c r="E1256" s="1" t="str">
        <f>"7413110722"</f>
        <v>7413110722</v>
      </c>
      <c r="F1256" s="1" t="str">
        <f>"لوله گالوانيزه 2 اينچ(برقي)"</f>
        <v>لوله گالوانيزه 2 اينچ(برقي)</v>
      </c>
      <c r="G1256" s="1" t="str">
        <f>"شاخه"</f>
        <v>شاخه</v>
      </c>
      <c r="H1256" s="1">
        <v>23</v>
      </c>
      <c r="I1256" s="1">
        <v>16100000</v>
      </c>
      <c r="J1256" s="1">
        <v>0</v>
      </c>
      <c r="K1256" s="1">
        <v>0</v>
      </c>
      <c r="L1256" s="1">
        <v>0</v>
      </c>
      <c r="M1256" s="1">
        <v>0</v>
      </c>
      <c r="O1256" s="1">
        <v>97</v>
      </c>
      <c r="P1256" s="4">
        <f t="shared" si="57"/>
        <v>16100000</v>
      </c>
      <c r="Q1256" s="4">
        <f t="shared" si="58"/>
        <v>23</v>
      </c>
      <c r="R1256" s="4">
        <f t="shared" si="59"/>
        <v>700000</v>
      </c>
    </row>
    <row r="1257" spans="1:18">
      <c r="A1257" s="1">
        <v>2</v>
      </c>
      <c r="B1257" s="1" t="str">
        <f>"قطعات و لوازم يدكي"</f>
        <v>قطعات و لوازم يدكي</v>
      </c>
      <c r="C1257" s="1">
        <v>101</v>
      </c>
      <c r="D1257" s="1" t="str">
        <f>"انبار قطعات و لوازم يدكي اصفهان"</f>
        <v>انبار قطعات و لوازم يدكي اصفهان</v>
      </c>
      <c r="E1257" s="1" t="str">
        <f>"7413210942"</f>
        <v>7413210942</v>
      </c>
      <c r="F1257" s="1" t="str">
        <f>"لوله 3 اينچ رده 40"</f>
        <v>لوله 3 اينچ رده 40</v>
      </c>
      <c r="G1257" s="1" t="str">
        <f>"فوت"</f>
        <v>فوت</v>
      </c>
      <c r="H1257" s="1">
        <v>40</v>
      </c>
      <c r="I1257" s="1">
        <v>5781032</v>
      </c>
      <c r="J1257" s="1">
        <v>100</v>
      </c>
      <c r="K1257" s="1">
        <v>21750000</v>
      </c>
      <c r="L1257" s="1">
        <v>0</v>
      </c>
      <c r="M1257" s="1">
        <v>0</v>
      </c>
      <c r="O1257" s="1">
        <v>97</v>
      </c>
      <c r="P1257" s="4">
        <f t="shared" si="57"/>
        <v>27531032</v>
      </c>
      <c r="Q1257" s="4">
        <f t="shared" si="58"/>
        <v>140</v>
      </c>
      <c r="R1257" s="4">
        <f t="shared" si="59"/>
        <v>196650.22857142857</v>
      </c>
    </row>
    <row r="1258" spans="1:18">
      <c r="A1258" s="1">
        <v>2</v>
      </c>
      <c r="B1258" s="1" t="str">
        <f>"قطعات و لوازم يدكي"</f>
        <v>قطعات و لوازم يدكي</v>
      </c>
      <c r="C1258" s="1">
        <v>101</v>
      </c>
      <c r="D1258" s="1" t="str">
        <f>"انبار قطعات و لوازم يدكي اصفهان"</f>
        <v>انبار قطعات و لوازم يدكي اصفهان</v>
      </c>
      <c r="E1258" s="1" t="str">
        <f>"7413233122"</f>
        <v>7413233122</v>
      </c>
      <c r="F1258" s="1" t="s">
        <v>94</v>
      </c>
      <c r="G1258" s="1" t="str">
        <f>"فوت"</f>
        <v>فوت</v>
      </c>
      <c r="H1258" s="1">
        <v>120</v>
      </c>
      <c r="I1258" s="1">
        <v>44670000</v>
      </c>
      <c r="J1258" s="1">
        <v>0</v>
      </c>
      <c r="K1258" s="1">
        <v>0</v>
      </c>
      <c r="L1258" s="1">
        <v>0</v>
      </c>
      <c r="M1258" s="1">
        <v>0</v>
      </c>
      <c r="O1258" s="1">
        <v>97</v>
      </c>
      <c r="P1258" s="4">
        <f t="shared" si="57"/>
        <v>44670000</v>
      </c>
      <c r="Q1258" s="4">
        <f t="shared" si="58"/>
        <v>120</v>
      </c>
      <c r="R1258" s="4">
        <f t="shared" si="59"/>
        <v>372250</v>
      </c>
    </row>
    <row r="1259" spans="1:18">
      <c r="A1259" s="1">
        <v>2</v>
      </c>
      <c r="B1259" s="1" t="str">
        <f>"قطعات و لوازم يدكي"</f>
        <v>قطعات و لوازم يدكي</v>
      </c>
      <c r="C1259" s="1">
        <v>101</v>
      </c>
      <c r="D1259" s="1" t="str">
        <f>"انبار قطعات و لوازم يدكي اصفهان"</f>
        <v>انبار قطعات و لوازم يدكي اصفهان</v>
      </c>
      <c r="E1259" s="1" t="str">
        <f>"7413310442"</f>
        <v>7413310442</v>
      </c>
      <c r="F1259" s="1" t="str">
        <f>"لوله 1 اينچ رده 80"</f>
        <v>لوله 1 اينچ رده 80</v>
      </c>
      <c r="G1259" s="1" t="str">
        <f>"فوت"</f>
        <v>فوت</v>
      </c>
      <c r="H1259" s="1">
        <v>400</v>
      </c>
      <c r="I1259" s="1">
        <v>15760000</v>
      </c>
      <c r="J1259" s="1">
        <v>0</v>
      </c>
      <c r="K1259" s="1">
        <v>0</v>
      </c>
      <c r="L1259" s="1">
        <v>20</v>
      </c>
      <c r="M1259" s="1">
        <v>788000</v>
      </c>
      <c r="O1259" s="1">
        <v>97</v>
      </c>
      <c r="P1259" s="4">
        <f t="shared" si="57"/>
        <v>14972000</v>
      </c>
      <c r="Q1259" s="4">
        <f t="shared" si="58"/>
        <v>380</v>
      </c>
      <c r="R1259" s="4">
        <f t="shared" si="59"/>
        <v>39400</v>
      </c>
    </row>
    <row r="1260" spans="1:18">
      <c r="A1260" s="1">
        <v>2</v>
      </c>
      <c r="B1260" s="1" t="str">
        <f>"قطعات و لوازم يدكي"</f>
        <v>قطعات و لوازم يدكي</v>
      </c>
      <c r="C1260" s="1">
        <v>101</v>
      </c>
      <c r="D1260" s="1" t="str">
        <f>"انبار قطعات و لوازم يدكي اصفهان"</f>
        <v>انبار قطعات و لوازم يدكي اصفهان</v>
      </c>
      <c r="E1260" s="1" t="str">
        <f>"7466224952"</f>
        <v>7466224952</v>
      </c>
      <c r="F1260" s="1" t="s">
        <v>95</v>
      </c>
      <c r="G1260" s="1" t="str">
        <f>"متر"</f>
        <v>متر</v>
      </c>
      <c r="H1260" s="1">
        <v>15</v>
      </c>
      <c r="I1260" s="1">
        <v>2100000</v>
      </c>
      <c r="J1260" s="1">
        <v>15</v>
      </c>
      <c r="K1260" s="1">
        <v>5175000</v>
      </c>
      <c r="L1260" s="1">
        <v>9</v>
      </c>
      <c r="M1260" s="1">
        <v>2182500</v>
      </c>
      <c r="O1260" s="1">
        <v>97</v>
      </c>
      <c r="P1260" s="4">
        <f t="shared" si="57"/>
        <v>5092500</v>
      </c>
      <c r="Q1260" s="4">
        <f t="shared" si="58"/>
        <v>21</v>
      </c>
      <c r="R1260" s="4">
        <f t="shared" si="59"/>
        <v>242500</v>
      </c>
    </row>
    <row r="1261" spans="1:18">
      <c r="A1261" s="1">
        <v>2</v>
      </c>
      <c r="B1261" s="1" t="str">
        <f>"قطعات و لوازم يدكي"</f>
        <v>قطعات و لوازم يدكي</v>
      </c>
      <c r="C1261" s="1">
        <v>101</v>
      </c>
      <c r="D1261" s="1" t="str">
        <f>"انبار قطعات و لوازم يدكي اصفهان"</f>
        <v>انبار قطعات و لوازم يدكي اصفهان</v>
      </c>
      <c r="E1261" s="1" t="str">
        <f>"7501010062"</f>
        <v>7501010062</v>
      </c>
      <c r="F1261" s="1" t="str">
        <f>"سر شيلنگي 1/2اينچ"</f>
        <v>سر شيلنگي 1/2اينچ</v>
      </c>
      <c r="G1261" s="1" t="str">
        <f>"عدد"</f>
        <v>عدد</v>
      </c>
      <c r="H1261" s="1">
        <v>3</v>
      </c>
      <c r="I1261" s="1">
        <v>90000</v>
      </c>
      <c r="J1261" s="1">
        <v>0</v>
      </c>
      <c r="K1261" s="1">
        <v>0</v>
      </c>
      <c r="L1261" s="1">
        <v>0</v>
      </c>
      <c r="M1261" s="1">
        <v>0</v>
      </c>
      <c r="O1261" s="1">
        <v>97</v>
      </c>
      <c r="P1261" s="4">
        <f t="shared" si="57"/>
        <v>90000</v>
      </c>
      <c r="Q1261" s="4">
        <f t="shared" si="58"/>
        <v>3</v>
      </c>
      <c r="R1261" s="4">
        <f t="shared" si="59"/>
        <v>30000</v>
      </c>
    </row>
    <row r="1262" spans="1:18">
      <c r="A1262" s="1">
        <v>2</v>
      </c>
      <c r="B1262" s="1" t="str">
        <f>"قطعات و لوازم يدكي"</f>
        <v>قطعات و لوازم يدكي</v>
      </c>
      <c r="C1262" s="1">
        <v>101</v>
      </c>
      <c r="D1262" s="1" t="str">
        <f>"انبار قطعات و لوازم يدكي اصفهان"</f>
        <v>انبار قطعات و لوازم يدكي اصفهان</v>
      </c>
      <c r="E1262" s="1" t="str">
        <f>"7525123042"</f>
        <v>7525123042</v>
      </c>
      <c r="F1262" s="1" t="s">
        <v>96</v>
      </c>
      <c r="G1262" s="1" t="str">
        <f>"عدد"</f>
        <v>عدد</v>
      </c>
      <c r="H1262" s="1">
        <v>6</v>
      </c>
      <c r="I1262" s="1">
        <v>1380000</v>
      </c>
      <c r="J1262" s="1">
        <v>6</v>
      </c>
      <c r="K1262" s="1">
        <v>31800000</v>
      </c>
      <c r="L1262" s="1">
        <v>6</v>
      </c>
      <c r="M1262" s="1">
        <v>1380000</v>
      </c>
      <c r="O1262" s="1">
        <v>97</v>
      </c>
      <c r="P1262" s="4">
        <f t="shared" si="57"/>
        <v>31800000</v>
      </c>
      <c r="Q1262" s="4">
        <f t="shared" si="58"/>
        <v>6</v>
      </c>
      <c r="R1262" s="4">
        <f t="shared" si="59"/>
        <v>5300000</v>
      </c>
    </row>
    <row r="1263" spans="1:18">
      <c r="A1263" s="1">
        <v>2</v>
      </c>
      <c r="B1263" s="1" t="str">
        <f>"قطعات و لوازم يدكي"</f>
        <v>قطعات و لوازم يدكي</v>
      </c>
      <c r="C1263" s="1">
        <v>101</v>
      </c>
      <c r="D1263" s="1" t="str">
        <f>"انبار قطعات و لوازم يدكي اصفهان"</f>
        <v>انبار قطعات و لوازم يدكي اصفهان</v>
      </c>
      <c r="E1263" s="1" t="str">
        <f>"7537321222"</f>
        <v>7537321222</v>
      </c>
      <c r="F1263" s="1" t="s">
        <v>97</v>
      </c>
      <c r="G1263" s="1" t="str">
        <f>"عدد"</f>
        <v>عدد</v>
      </c>
      <c r="H1263" s="1">
        <v>8</v>
      </c>
      <c r="I1263" s="1">
        <v>41691666</v>
      </c>
      <c r="J1263" s="1">
        <v>0</v>
      </c>
      <c r="K1263" s="1">
        <v>0</v>
      </c>
      <c r="L1263" s="1">
        <v>4</v>
      </c>
      <c r="M1263" s="1">
        <v>20845832</v>
      </c>
      <c r="O1263" s="1">
        <v>97</v>
      </c>
      <c r="P1263" s="4">
        <f t="shared" si="57"/>
        <v>20845834</v>
      </c>
      <c r="Q1263" s="4">
        <f t="shared" si="58"/>
        <v>4</v>
      </c>
      <c r="R1263" s="4">
        <f t="shared" si="59"/>
        <v>5211458.5</v>
      </c>
    </row>
    <row r="1264" spans="1:18" hidden="1">
      <c r="A1264" s="1">
        <v>2</v>
      </c>
      <c r="B1264" s="1" t="str">
        <f>"قطعات و لوازم يدكي"</f>
        <v>قطعات و لوازم يدكي</v>
      </c>
      <c r="C1264" s="1">
        <v>101</v>
      </c>
      <c r="D1264" s="1" t="str">
        <f>"انبار قطعات و لوازم يدكي اصفهان"</f>
        <v>انبار قطعات و لوازم يدكي اصفهان</v>
      </c>
      <c r="E1264" s="1" t="str">
        <f>"7537321282"</f>
        <v>7537321282</v>
      </c>
      <c r="F1264" s="1" t="str">
        <f>"گيت ولو 8 اينچ كلاس150"</f>
        <v>گيت ولو 8 اينچ كلاس150</v>
      </c>
      <c r="G1264" s="1" t="str">
        <f>"عدد"</f>
        <v>عدد</v>
      </c>
      <c r="H1264" s="1">
        <v>1</v>
      </c>
      <c r="I1264" s="1">
        <v>15550000</v>
      </c>
      <c r="J1264" s="1">
        <v>0</v>
      </c>
      <c r="K1264" s="1">
        <v>0</v>
      </c>
      <c r="L1264" s="1">
        <v>1</v>
      </c>
      <c r="M1264" s="1">
        <v>15550000</v>
      </c>
      <c r="O1264" s="1">
        <v>97</v>
      </c>
      <c r="P1264" s="1">
        <f t="shared" si="57"/>
        <v>0</v>
      </c>
      <c r="Q1264" s="1">
        <f t="shared" si="58"/>
        <v>0</v>
      </c>
      <c r="R1264" s="1" t="e">
        <f t="shared" si="59"/>
        <v>#DIV/0!</v>
      </c>
    </row>
    <row r="1265" spans="1:18">
      <c r="A1265" s="1">
        <v>2</v>
      </c>
      <c r="B1265" s="1" t="str">
        <f>"قطعات و لوازم يدكي"</f>
        <v>قطعات و لوازم يدكي</v>
      </c>
      <c r="C1265" s="1">
        <v>101</v>
      </c>
      <c r="D1265" s="1" t="str">
        <f>"انبار قطعات و لوازم يدكي اصفهان"</f>
        <v>انبار قطعات و لوازم يدكي اصفهان</v>
      </c>
      <c r="E1265" s="1" t="str">
        <f>"7537331262"</f>
        <v>7537331262</v>
      </c>
      <c r="F1265" s="1" t="str">
        <f>"گيت ولو6اينچ 300 (gate valve)"</f>
        <v>گيت ولو6اينچ 300 (gate valve)</v>
      </c>
      <c r="G1265" s="1" t="str">
        <f>"عدد"</f>
        <v>عدد</v>
      </c>
      <c r="H1265" s="1">
        <v>3</v>
      </c>
      <c r="I1265" s="1">
        <v>14563300</v>
      </c>
      <c r="J1265" s="1">
        <v>0</v>
      </c>
      <c r="K1265" s="1">
        <v>0</v>
      </c>
      <c r="L1265" s="1">
        <v>0</v>
      </c>
      <c r="M1265" s="1">
        <v>0</v>
      </c>
      <c r="O1265" s="1">
        <v>97</v>
      </c>
      <c r="P1265" s="4">
        <f t="shared" si="57"/>
        <v>14563300</v>
      </c>
      <c r="Q1265" s="4">
        <f t="shared" si="58"/>
        <v>3</v>
      </c>
      <c r="R1265" s="4">
        <f t="shared" si="59"/>
        <v>4854433.333333333</v>
      </c>
    </row>
    <row r="1266" spans="1:18">
      <c r="A1266" s="1">
        <v>2</v>
      </c>
      <c r="B1266" s="1" t="str">
        <f>"قطعات و لوازم يدكي"</f>
        <v>قطعات و لوازم يدكي</v>
      </c>
      <c r="C1266" s="1">
        <v>101</v>
      </c>
      <c r="D1266" s="1" t="str">
        <f>"انبار قطعات و لوازم يدكي اصفهان"</f>
        <v>انبار قطعات و لوازم يدكي اصفهان</v>
      </c>
      <c r="E1266" s="1" t="str">
        <f>"7537820302"</f>
        <v>7537820302</v>
      </c>
      <c r="F1266" s="1" t="str">
        <f>"پلاك ولوcl-150 10"</f>
        <v>پلاك ولوcl-150 10</v>
      </c>
      <c r="G1266" s="1" t="str">
        <f>"عدد"</f>
        <v>عدد</v>
      </c>
      <c r="H1266" s="1">
        <v>4</v>
      </c>
      <c r="I1266" s="1">
        <v>73821177</v>
      </c>
      <c r="J1266" s="1">
        <v>0</v>
      </c>
      <c r="K1266" s="1">
        <v>0</v>
      </c>
      <c r="L1266" s="1">
        <v>0</v>
      </c>
      <c r="M1266" s="1">
        <v>0</v>
      </c>
      <c r="O1266" s="1">
        <v>97</v>
      </c>
      <c r="P1266" s="4">
        <f t="shared" si="57"/>
        <v>73821177</v>
      </c>
      <c r="Q1266" s="4">
        <f t="shared" si="58"/>
        <v>4</v>
      </c>
      <c r="R1266" s="4">
        <f t="shared" si="59"/>
        <v>18455294.25</v>
      </c>
    </row>
    <row r="1267" spans="1:18" hidden="1">
      <c r="A1267" s="1">
        <v>2</v>
      </c>
      <c r="B1267" s="1" t="str">
        <f>"قطعات و لوازم يدكي"</f>
        <v>قطعات و لوازم يدكي</v>
      </c>
      <c r="C1267" s="1">
        <v>101</v>
      </c>
      <c r="D1267" s="1" t="str">
        <f>"انبار قطعات و لوازم يدكي اصفهان"</f>
        <v>انبار قطعات و لوازم يدكي اصفهان</v>
      </c>
      <c r="E1267" s="1" t="str">
        <f>"7537825282"</f>
        <v>7537825282</v>
      </c>
      <c r="F1267" s="1" t="s">
        <v>98</v>
      </c>
      <c r="G1267" s="1" t="str">
        <f>"عدد"</f>
        <v>عدد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O1267" s="1">
        <v>97</v>
      </c>
      <c r="P1267" s="1">
        <f t="shared" si="57"/>
        <v>0</v>
      </c>
      <c r="Q1267" s="1">
        <f t="shared" si="58"/>
        <v>0</v>
      </c>
      <c r="R1267" s="1" t="e">
        <f t="shared" si="59"/>
        <v>#DIV/0!</v>
      </c>
    </row>
    <row r="1268" spans="1:18">
      <c r="A1268" s="1">
        <v>2</v>
      </c>
      <c r="B1268" s="1" t="str">
        <f>"قطعات و لوازم يدكي"</f>
        <v>قطعات و لوازم يدكي</v>
      </c>
      <c r="C1268" s="1">
        <v>101</v>
      </c>
      <c r="D1268" s="1" t="str">
        <f>"انبار قطعات و لوازم يدكي اصفهان"</f>
        <v>انبار قطعات و لوازم يدكي اصفهان</v>
      </c>
      <c r="E1268" s="1" t="str">
        <f>"7556131062"</f>
        <v>7556131062</v>
      </c>
      <c r="F1268" s="1" t="str">
        <f>"چك ولو جوشي 3/4 800"</f>
        <v>چك ولو جوشي 3/4 800</v>
      </c>
      <c r="G1268" s="1" t="str">
        <f>"عدد"</f>
        <v>عدد</v>
      </c>
      <c r="H1268" s="1">
        <v>5</v>
      </c>
      <c r="I1268" s="1">
        <v>3281250</v>
      </c>
      <c r="J1268" s="1">
        <v>0</v>
      </c>
      <c r="K1268" s="1">
        <v>0</v>
      </c>
      <c r="L1268" s="1">
        <v>0</v>
      </c>
      <c r="M1268" s="1">
        <v>0</v>
      </c>
      <c r="O1268" s="1">
        <v>97</v>
      </c>
      <c r="P1268" s="4">
        <f t="shared" si="57"/>
        <v>3281250</v>
      </c>
      <c r="Q1268" s="4">
        <f t="shared" si="58"/>
        <v>5</v>
      </c>
      <c r="R1268" s="4">
        <f t="shared" si="59"/>
        <v>656250</v>
      </c>
    </row>
    <row r="1269" spans="1:18">
      <c r="A1269" s="1">
        <v>2</v>
      </c>
      <c r="B1269" s="1" t="str">
        <f>"قطعات و لوازم يدكي"</f>
        <v>قطعات و لوازم يدكي</v>
      </c>
      <c r="C1269" s="1">
        <v>101</v>
      </c>
      <c r="D1269" s="1" t="str">
        <f>"انبار قطعات و لوازم يدكي اصفهان"</f>
        <v>انبار قطعات و لوازم يدكي اصفهان</v>
      </c>
      <c r="E1269" s="1" t="str">
        <f>"7556350542"</f>
        <v>7556350542</v>
      </c>
      <c r="F1269" s="1" t="str">
        <f>"گيت ولو1/2اينچ 800"</f>
        <v>گيت ولو1/2اينچ 800</v>
      </c>
      <c r="G1269" s="1" t="str">
        <f>"عدد"</f>
        <v>عدد</v>
      </c>
      <c r="H1269" s="1">
        <v>3</v>
      </c>
      <c r="I1269" s="1">
        <v>172036</v>
      </c>
      <c r="J1269" s="1">
        <v>0</v>
      </c>
      <c r="K1269" s="1">
        <v>0</v>
      </c>
      <c r="L1269" s="1">
        <v>0</v>
      </c>
      <c r="M1269" s="1">
        <v>0</v>
      </c>
      <c r="O1269" s="1">
        <v>97</v>
      </c>
      <c r="P1269" s="4">
        <f t="shared" si="57"/>
        <v>172036</v>
      </c>
      <c r="Q1269" s="4">
        <f t="shared" si="58"/>
        <v>3</v>
      </c>
      <c r="R1269" s="4">
        <f t="shared" si="59"/>
        <v>57345.333333333336</v>
      </c>
    </row>
    <row r="1270" spans="1:18">
      <c r="A1270" s="1">
        <v>2</v>
      </c>
      <c r="B1270" s="1" t="str">
        <f>"قطعات و لوازم يدكي"</f>
        <v>قطعات و لوازم يدكي</v>
      </c>
      <c r="C1270" s="1">
        <v>101</v>
      </c>
      <c r="D1270" s="1" t="str">
        <f>"انبار قطعات و لوازم يدكي اصفهان"</f>
        <v>انبار قطعات و لوازم يدكي اصفهان</v>
      </c>
      <c r="E1270" s="1" t="str">
        <f>"7556351162"</f>
        <v>7556351162</v>
      </c>
      <c r="F1270" s="1" t="str">
        <f>"گيت ولو 2 اينچ كلاس800 13% CR"</f>
        <v>گيت ولو 2 اينچ كلاس800 13% CR</v>
      </c>
      <c r="G1270" s="1" t="str">
        <f>"عدد"</f>
        <v>عدد</v>
      </c>
      <c r="H1270" s="1">
        <v>1</v>
      </c>
      <c r="I1270" s="1">
        <v>1735000</v>
      </c>
      <c r="J1270" s="1">
        <v>3</v>
      </c>
      <c r="K1270" s="1">
        <v>16800000</v>
      </c>
      <c r="L1270" s="1">
        <v>2</v>
      </c>
      <c r="M1270" s="1">
        <v>9267500</v>
      </c>
      <c r="O1270" s="1">
        <v>97</v>
      </c>
      <c r="P1270" s="4">
        <f t="shared" si="57"/>
        <v>9267500</v>
      </c>
      <c r="Q1270" s="4">
        <f t="shared" si="58"/>
        <v>2</v>
      </c>
      <c r="R1270" s="4">
        <f t="shared" si="59"/>
        <v>4633750</v>
      </c>
    </row>
    <row r="1271" spans="1:18">
      <c r="A1271" s="1">
        <v>2</v>
      </c>
      <c r="B1271" s="1" t="str">
        <f>"قطعات و لوازم يدكي"</f>
        <v>قطعات و لوازم يدكي</v>
      </c>
      <c r="C1271" s="1">
        <v>101</v>
      </c>
      <c r="D1271" s="1" t="str">
        <f>"انبار قطعات و لوازم يدكي اصفهان"</f>
        <v>انبار قطعات و لوازم يدكي اصفهان</v>
      </c>
      <c r="E1271" s="1" t="str">
        <f>"7557351082"</f>
        <v>7557351082</v>
      </c>
      <c r="F1271" s="1" t="str">
        <f>"گيت ولو1اينچ 800"</f>
        <v>گيت ولو1اينچ 800</v>
      </c>
      <c r="G1271" s="1" t="str">
        <f>"عدد"</f>
        <v>عدد</v>
      </c>
      <c r="H1271" s="1">
        <v>7</v>
      </c>
      <c r="I1271" s="1">
        <v>34335</v>
      </c>
      <c r="J1271" s="1">
        <v>0</v>
      </c>
      <c r="K1271" s="1">
        <v>0</v>
      </c>
      <c r="L1271" s="1">
        <v>0</v>
      </c>
      <c r="M1271" s="1">
        <v>0</v>
      </c>
      <c r="O1271" s="1">
        <v>97</v>
      </c>
      <c r="P1271" s="4">
        <f t="shared" si="57"/>
        <v>34335</v>
      </c>
      <c r="Q1271" s="4">
        <f t="shared" si="58"/>
        <v>7</v>
      </c>
      <c r="R1271" s="4">
        <f t="shared" si="59"/>
        <v>4905</v>
      </c>
    </row>
    <row r="1272" spans="1:18">
      <c r="A1272" s="1">
        <v>2</v>
      </c>
      <c r="B1272" s="1" t="str">
        <f>"قطعات و لوازم يدكي"</f>
        <v>قطعات و لوازم يدكي</v>
      </c>
      <c r="C1272" s="1">
        <v>101</v>
      </c>
      <c r="D1272" s="1" t="str">
        <f>"انبار قطعات و لوازم يدكي اصفهان"</f>
        <v>انبار قطعات و لوازم يدكي اصفهان</v>
      </c>
      <c r="E1272" s="1" t="str">
        <f>"7605140242"</f>
        <v>7605140242</v>
      </c>
      <c r="F1272" s="1" t="str">
        <f>"بوشينگ 1/2  * 3/8  A-105"</f>
        <v>بوشينگ 1/2  * 3/8  A-105</v>
      </c>
      <c r="G1272" s="1" t="str">
        <f>"عدد"</f>
        <v>عدد</v>
      </c>
      <c r="H1272" s="1">
        <v>17</v>
      </c>
      <c r="I1272" s="1">
        <v>518913</v>
      </c>
      <c r="J1272" s="1">
        <v>3</v>
      </c>
      <c r="K1272" s="1">
        <v>91573</v>
      </c>
      <c r="L1272" s="1">
        <v>5</v>
      </c>
      <c r="M1272" s="1">
        <v>152621</v>
      </c>
      <c r="O1272" s="1">
        <v>97</v>
      </c>
      <c r="P1272" s="4">
        <f t="shared" si="57"/>
        <v>457865</v>
      </c>
      <c r="Q1272" s="4">
        <f t="shared" si="58"/>
        <v>15</v>
      </c>
      <c r="R1272" s="4">
        <f t="shared" si="59"/>
        <v>30524.333333333332</v>
      </c>
    </row>
    <row r="1273" spans="1:18">
      <c r="A1273" s="1">
        <v>2</v>
      </c>
      <c r="B1273" s="1" t="str">
        <f>"قطعات و لوازم يدكي"</f>
        <v>قطعات و لوازم يدكي</v>
      </c>
      <c r="C1273" s="1">
        <v>101</v>
      </c>
      <c r="D1273" s="1" t="str">
        <f>"انبار قطعات و لوازم يدكي اصفهان"</f>
        <v>انبار قطعات و لوازم يدكي اصفهان</v>
      </c>
      <c r="E1273" s="1" t="str">
        <f>"7605140842"</f>
        <v>7605140842</v>
      </c>
      <c r="F1273" s="1" t="str">
        <f>"BUSHING 2*1/2"</f>
        <v>BUSHING 2*1/2</v>
      </c>
      <c r="G1273" s="1" t="str">
        <f>"عدد"</f>
        <v>عدد</v>
      </c>
      <c r="H1273" s="1">
        <v>3</v>
      </c>
      <c r="I1273" s="1">
        <v>465000</v>
      </c>
      <c r="J1273" s="1">
        <v>2</v>
      </c>
      <c r="K1273" s="1">
        <v>310000</v>
      </c>
      <c r="L1273" s="1">
        <v>2</v>
      </c>
      <c r="M1273" s="1">
        <v>310000</v>
      </c>
      <c r="O1273" s="1">
        <v>97</v>
      </c>
      <c r="P1273" s="4">
        <f t="shared" si="57"/>
        <v>465000</v>
      </c>
      <c r="Q1273" s="4">
        <f t="shared" si="58"/>
        <v>3</v>
      </c>
      <c r="R1273" s="4">
        <f t="shared" si="59"/>
        <v>155000</v>
      </c>
    </row>
    <row r="1274" spans="1:18">
      <c r="A1274" s="1">
        <v>2</v>
      </c>
      <c r="B1274" s="1" t="str">
        <f>"قطعات و لوازم يدكي"</f>
        <v>قطعات و لوازم يدكي</v>
      </c>
      <c r="C1274" s="1">
        <v>101</v>
      </c>
      <c r="D1274" s="1" t="str">
        <f>"انبار قطعات و لوازم يدكي اصفهان"</f>
        <v>انبار قطعات و لوازم يدكي اصفهان</v>
      </c>
      <c r="E1274" s="1" t="str">
        <f>"7605140882"</f>
        <v>7605140882</v>
      </c>
      <c r="F1274" s="1" t="str">
        <f>"BUSHING 2*1"</f>
        <v>BUSHING 2*1</v>
      </c>
      <c r="G1274" s="1" t="str">
        <f>"عدد"</f>
        <v>عدد</v>
      </c>
      <c r="H1274" s="1">
        <v>3</v>
      </c>
      <c r="I1274" s="1">
        <v>585000</v>
      </c>
      <c r="J1274" s="1">
        <v>0</v>
      </c>
      <c r="K1274" s="1">
        <v>0</v>
      </c>
      <c r="L1274" s="1">
        <v>2</v>
      </c>
      <c r="M1274" s="1">
        <v>390000</v>
      </c>
      <c r="O1274" s="1">
        <v>97</v>
      </c>
      <c r="P1274" s="4">
        <f t="shared" si="57"/>
        <v>195000</v>
      </c>
      <c r="Q1274" s="4">
        <f t="shared" si="58"/>
        <v>1</v>
      </c>
      <c r="R1274" s="4">
        <f t="shared" si="59"/>
        <v>195000</v>
      </c>
    </row>
    <row r="1275" spans="1:18">
      <c r="A1275" s="1">
        <v>2</v>
      </c>
      <c r="B1275" s="1" t="str">
        <f>"قطعات و لوازم يدكي"</f>
        <v>قطعات و لوازم يدكي</v>
      </c>
      <c r="C1275" s="1">
        <v>101</v>
      </c>
      <c r="D1275" s="1" t="str">
        <f>"انبار قطعات و لوازم يدكي اصفهان"</f>
        <v>انبار قطعات و لوازم يدكي اصفهان</v>
      </c>
      <c r="E1275" s="1" t="str">
        <f>"7605140922"</f>
        <v>7605140922</v>
      </c>
      <c r="F1275" s="1" t="str">
        <f>"BUSHING 2*1-1/2"</f>
        <v>BUSHING 2*1-1/2</v>
      </c>
      <c r="G1275" s="1" t="str">
        <f>"عدد"</f>
        <v>عدد</v>
      </c>
      <c r="H1275" s="1">
        <v>1</v>
      </c>
      <c r="I1275" s="1">
        <v>195000</v>
      </c>
      <c r="J1275" s="1">
        <v>0</v>
      </c>
      <c r="K1275" s="1">
        <v>0</v>
      </c>
      <c r="L1275" s="1">
        <v>0</v>
      </c>
      <c r="M1275" s="1">
        <v>0</v>
      </c>
      <c r="O1275" s="1">
        <v>97</v>
      </c>
      <c r="P1275" s="4">
        <f t="shared" si="57"/>
        <v>195000</v>
      </c>
      <c r="Q1275" s="4">
        <f t="shared" si="58"/>
        <v>1</v>
      </c>
      <c r="R1275" s="4">
        <f t="shared" si="59"/>
        <v>195000</v>
      </c>
    </row>
    <row r="1276" spans="1:18">
      <c r="A1276" s="1">
        <v>2</v>
      </c>
      <c r="B1276" s="1" t="str">
        <f>"قطعات و لوازم يدكي"</f>
        <v>قطعات و لوازم يدكي</v>
      </c>
      <c r="C1276" s="1">
        <v>101</v>
      </c>
      <c r="D1276" s="1" t="str">
        <f>"انبار قطعات و لوازم يدكي اصفهان"</f>
        <v>انبار قطعات و لوازم يدكي اصفهان</v>
      </c>
      <c r="E1276" s="1" t="str">
        <f>"7605181182"</f>
        <v>7605181182</v>
      </c>
      <c r="F1276" s="1" t="str">
        <f>"كپ دنده اي 1/2-1اينچ 3000"</f>
        <v>كپ دنده اي 1/2-1اينچ 3000</v>
      </c>
      <c r="G1276" s="1" t="str">
        <f>"عدد"</f>
        <v>عدد</v>
      </c>
      <c r="H1276" s="1">
        <v>7</v>
      </c>
      <c r="I1276" s="1">
        <v>350875</v>
      </c>
      <c r="J1276" s="1">
        <v>0</v>
      </c>
      <c r="K1276" s="1">
        <v>0</v>
      </c>
      <c r="L1276" s="1">
        <v>0</v>
      </c>
      <c r="M1276" s="1">
        <v>0</v>
      </c>
      <c r="O1276" s="1">
        <v>97</v>
      </c>
      <c r="P1276" s="4">
        <f t="shared" si="57"/>
        <v>350875</v>
      </c>
      <c r="Q1276" s="4">
        <f t="shared" si="58"/>
        <v>7</v>
      </c>
      <c r="R1276" s="4">
        <f t="shared" si="59"/>
        <v>50125</v>
      </c>
    </row>
    <row r="1277" spans="1:18">
      <c r="A1277" s="1">
        <v>2</v>
      </c>
      <c r="B1277" s="1" t="str">
        <f>"قطعات و لوازم يدكي"</f>
        <v>قطعات و لوازم يدكي</v>
      </c>
      <c r="C1277" s="1">
        <v>101</v>
      </c>
      <c r="D1277" s="1" t="str">
        <f>"انبار قطعات و لوازم يدكي اصفهان"</f>
        <v>انبار قطعات و لوازم يدكي اصفهان</v>
      </c>
      <c r="E1277" s="1" t="str">
        <f>"7605391042"</f>
        <v>7605391042</v>
      </c>
      <c r="F1277" s="1" t="str">
        <f>"زانو 90 درجه 1/4 اينچ دنده اي 3000"</f>
        <v>زانو 90 درجه 1/4 اينچ دنده اي 3000</v>
      </c>
      <c r="G1277" s="1" t="str">
        <f>"عدد"</f>
        <v>عدد</v>
      </c>
      <c r="H1277" s="1">
        <v>12</v>
      </c>
      <c r="I1277" s="1">
        <v>613714</v>
      </c>
      <c r="J1277" s="1">
        <v>0</v>
      </c>
      <c r="K1277" s="1">
        <v>0</v>
      </c>
      <c r="L1277" s="1">
        <v>0</v>
      </c>
      <c r="M1277" s="1">
        <v>0</v>
      </c>
      <c r="O1277" s="1">
        <v>97</v>
      </c>
      <c r="P1277" s="4">
        <f t="shared" si="57"/>
        <v>613714</v>
      </c>
      <c r="Q1277" s="4">
        <f t="shared" si="58"/>
        <v>12</v>
      </c>
      <c r="R1277" s="4">
        <f t="shared" si="59"/>
        <v>51142.833333333336</v>
      </c>
    </row>
    <row r="1278" spans="1:18">
      <c r="A1278" s="1">
        <v>2</v>
      </c>
      <c r="B1278" s="1" t="str">
        <f>"قطعات و لوازم يدكي"</f>
        <v>قطعات و لوازم يدكي</v>
      </c>
      <c r="C1278" s="1">
        <v>101</v>
      </c>
      <c r="D1278" s="1" t="str">
        <f>"انبار قطعات و لوازم يدكي اصفهان"</f>
        <v>انبار قطعات و لوازم يدكي اصفهان</v>
      </c>
      <c r="E1278" s="1" t="str">
        <f>"7605581082"</f>
        <v>7605581082</v>
      </c>
      <c r="F1278" s="1" t="str">
        <f>"رديوس نيپل 3/8*1/4 رده 80"</f>
        <v>رديوس نيپل 3/8*1/4 رده 80</v>
      </c>
      <c r="G1278" s="1" t="str">
        <f>"عدد"</f>
        <v>عدد</v>
      </c>
      <c r="H1278" s="1">
        <v>10</v>
      </c>
      <c r="I1278" s="1">
        <v>326924</v>
      </c>
      <c r="J1278" s="1">
        <v>0</v>
      </c>
      <c r="K1278" s="1">
        <v>0</v>
      </c>
      <c r="L1278" s="1">
        <v>0</v>
      </c>
      <c r="M1278" s="1">
        <v>0</v>
      </c>
      <c r="O1278" s="1">
        <v>97</v>
      </c>
      <c r="P1278" s="4">
        <f t="shared" si="57"/>
        <v>326924</v>
      </c>
      <c r="Q1278" s="4">
        <f t="shared" si="58"/>
        <v>10</v>
      </c>
      <c r="R1278" s="4">
        <f t="shared" si="59"/>
        <v>32692.400000000001</v>
      </c>
    </row>
    <row r="1279" spans="1:18">
      <c r="A1279" s="1">
        <v>2</v>
      </c>
      <c r="B1279" s="1" t="str">
        <f>"قطعات و لوازم يدكي"</f>
        <v>قطعات و لوازم يدكي</v>
      </c>
      <c r="C1279" s="1">
        <v>120</v>
      </c>
      <c r="D1279" s="1" t="str">
        <f>"انبار قطعات و لوازم يدكي بشکه سازي اصفهان"</f>
        <v>انبار قطعات و لوازم يدكي بشکه سازي اصفهان</v>
      </c>
      <c r="E1279" s="1" t="str">
        <f>"4211700121"</f>
        <v>4211700121</v>
      </c>
      <c r="F1279" s="1" t="str">
        <f>"تسمه B170"</f>
        <v>تسمه B170</v>
      </c>
      <c r="G1279" s="1" t="str">
        <f>"عدد"</f>
        <v>عدد</v>
      </c>
      <c r="H1279" s="1">
        <v>0</v>
      </c>
      <c r="I1279" s="1">
        <v>0</v>
      </c>
      <c r="J1279" s="1">
        <v>3</v>
      </c>
      <c r="K1279" s="1">
        <v>480000</v>
      </c>
      <c r="L1279" s="1">
        <v>0</v>
      </c>
      <c r="M1279" s="1">
        <v>0</v>
      </c>
      <c r="O1279" s="1">
        <v>97</v>
      </c>
      <c r="P1279" s="4">
        <f t="shared" si="57"/>
        <v>480000</v>
      </c>
      <c r="Q1279" s="4">
        <f t="shared" si="58"/>
        <v>3</v>
      </c>
      <c r="R1279" s="4">
        <f t="shared" si="59"/>
        <v>160000</v>
      </c>
    </row>
    <row r="1280" spans="1:18">
      <c r="A1280" s="1">
        <v>2</v>
      </c>
      <c r="B1280" s="1" t="str">
        <f>"قطعات و لوازم يدكي"</f>
        <v>قطعات و لوازم يدكي</v>
      </c>
      <c r="C1280" s="1">
        <v>120</v>
      </c>
      <c r="D1280" s="1" t="str">
        <f>"انبار قطعات و لوازم يدكي بشکه سازي اصفهان"</f>
        <v>انبار قطعات و لوازم يدكي بشکه سازي اصفهان</v>
      </c>
      <c r="E1280" s="1" t="str">
        <f>"4211700127"</f>
        <v>4211700127</v>
      </c>
      <c r="F1280" s="1" t="str">
        <f>"تسمه B149"</f>
        <v>تسمه B149</v>
      </c>
      <c r="G1280" s="1" t="str">
        <f>"عدد"</f>
        <v>عدد</v>
      </c>
      <c r="H1280" s="1">
        <v>0</v>
      </c>
      <c r="I1280" s="1">
        <v>0</v>
      </c>
      <c r="J1280" s="1">
        <v>5</v>
      </c>
      <c r="K1280" s="1">
        <v>800000</v>
      </c>
      <c r="L1280" s="1">
        <v>0</v>
      </c>
      <c r="M1280" s="1">
        <v>0</v>
      </c>
      <c r="O1280" s="1">
        <v>97</v>
      </c>
      <c r="P1280" s="4">
        <f t="shared" si="57"/>
        <v>800000</v>
      </c>
      <c r="Q1280" s="4">
        <f t="shared" si="58"/>
        <v>5</v>
      </c>
      <c r="R1280" s="4">
        <f t="shared" si="59"/>
        <v>160000</v>
      </c>
    </row>
    <row r="1281" spans="1:18">
      <c r="A1281" s="1">
        <v>2</v>
      </c>
      <c r="B1281" s="1" t="str">
        <f>"قطعات و لوازم يدكي"</f>
        <v>قطعات و لوازم يدكي</v>
      </c>
      <c r="C1281" s="1">
        <v>120</v>
      </c>
      <c r="D1281" s="1" t="str">
        <f>"انبار قطعات و لوازم يدكي بشکه سازي اصفهان"</f>
        <v>انبار قطعات و لوازم يدكي بشکه سازي اصفهان</v>
      </c>
      <c r="E1281" s="1" t="str">
        <f>"4211700130"</f>
        <v>4211700130</v>
      </c>
      <c r="F1281" s="1" t="str">
        <f>"تسمه B27"</f>
        <v>تسمه B27</v>
      </c>
      <c r="G1281" s="1" t="str">
        <f>"عدد"</f>
        <v>عدد</v>
      </c>
      <c r="H1281" s="1">
        <v>0</v>
      </c>
      <c r="I1281" s="1">
        <v>0</v>
      </c>
      <c r="J1281" s="1">
        <v>7</v>
      </c>
      <c r="K1281" s="1">
        <v>2050000</v>
      </c>
      <c r="L1281" s="1">
        <v>0</v>
      </c>
      <c r="M1281" s="1">
        <v>0</v>
      </c>
      <c r="O1281" s="1">
        <v>97</v>
      </c>
      <c r="P1281" s="4">
        <f t="shared" si="57"/>
        <v>2050000</v>
      </c>
      <c r="Q1281" s="4">
        <f t="shared" si="58"/>
        <v>7</v>
      </c>
      <c r="R1281" s="4">
        <f t="shared" si="59"/>
        <v>292857.14285714284</v>
      </c>
    </row>
    <row r="1282" spans="1:18">
      <c r="A1282" s="1">
        <v>2</v>
      </c>
      <c r="B1282" s="1" t="str">
        <f>"قطعات و لوازم يدكي"</f>
        <v>قطعات و لوازم يدكي</v>
      </c>
      <c r="C1282" s="1">
        <v>120</v>
      </c>
      <c r="D1282" s="1" t="str">
        <f>"انبار قطعات و لوازم يدكي بشکه سازي اصفهان"</f>
        <v>انبار قطعات و لوازم يدكي بشکه سازي اصفهان</v>
      </c>
      <c r="E1282" s="1" t="str">
        <f>"4211700137"</f>
        <v>4211700137</v>
      </c>
      <c r="F1282" s="1" t="str">
        <f>"پکينگ 180*13 مربوط به کلاچ پرس 160 تن"</f>
        <v>پکينگ 180*13 مربوط به کلاچ پرس 160 تن</v>
      </c>
      <c r="G1282" s="1" t="str">
        <f>"عدد"</f>
        <v>عدد</v>
      </c>
      <c r="H1282" s="1">
        <v>0</v>
      </c>
      <c r="I1282" s="1">
        <v>0</v>
      </c>
      <c r="J1282" s="1">
        <v>2</v>
      </c>
      <c r="K1282" s="1">
        <v>2000000</v>
      </c>
      <c r="L1282" s="1">
        <v>0</v>
      </c>
      <c r="M1282" s="1">
        <v>0</v>
      </c>
      <c r="O1282" s="1">
        <v>97</v>
      </c>
      <c r="P1282" s="4">
        <f t="shared" si="57"/>
        <v>2000000</v>
      </c>
      <c r="Q1282" s="4">
        <f t="shared" si="58"/>
        <v>2</v>
      </c>
      <c r="R1282" s="4">
        <f t="shared" si="59"/>
        <v>1000000</v>
      </c>
    </row>
    <row r="1283" spans="1:18">
      <c r="A1283" s="1">
        <v>2</v>
      </c>
      <c r="B1283" s="1" t="str">
        <f>"قطعات و لوازم يدكي"</f>
        <v>قطعات و لوازم يدكي</v>
      </c>
      <c r="C1283" s="1">
        <v>120</v>
      </c>
      <c r="D1283" s="1" t="str">
        <f>"انبار قطعات و لوازم يدكي بشکه سازي اصفهان"</f>
        <v>انبار قطعات و لوازم يدكي بشکه سازي اصفهان</v>
      </c>
      <c r="E1283" s="1" t="str">
        <f>"4211700161"</f>
        <v>4211700161</v>
      </c>
      <c r="F1283" s="1" t="str">
        <f>"بلبرينگ 6308"</f>
        <v>بلبرينگ 6308</v>
      </c>
      <c r="G1283" s="1" t="str">
        <f>"عدد"</f>
        <v>عدد</v>
      </c>
      <c r="H1283" s="1">
        <v>0</v>
      </c>
      <c r="I1283" s="1">
        <v>0</v>
      </c>
      <c r="J1283" s="1">
        <v>6</v>
      </c>
      <c r="K1283" s="1">
        <v>1200000</v>
      </c>
      <c r="L1283" s="1">
        <v>0</v>
      </c>
      <c r="M1283" s="1">
        <v>0</v>
      </c>
      <c r="O1283" s="1">
        <v>97</v>
      </c>
      <c r="P1283" s="4">
        <f t="shared" ref="P1283:P1346" si="60">I1283+K1283-M1283</f>
        <v>1200000</v>
      </c>
      <c r="Q1283" s="4">
        <f t="shared" ref="Q1283:Q1346" si="61">H1283+J1283-L1283</f>
        <v>6</v>
      </c>
      <c r="R1283" s="4">
        <f t="shared" ref="R1283:R1346" si="62">P1283/Q1283</f>
        <v>200000</v>
      </c>
    </row>
    <row r="1284" spans="1:18">
      <c r="A1284" s="1">
        <v>2</v>
      </c>
      <c r="B1284" s="1" t="str">
        <f>"قطعات و لوازم يدكي"</f>
        <v>قطعات و لوازم يدكي</v>
      </c>
      <c r="C1284" s="1">
        <v>120</v>
      </c>
      <c r="D1284" s="1" t="str">
        <f>"انبار قطعات و لوازم يدكي بشکه سازي اصفهان"</f>
        <v>انبار قطعات و لوازم يدكي بشکه سازي اصفهان</v>
      </c>
      <c r="E1284" s="1" t="str">
        <f>"4211700169"</f>
        <v>4211700169</v>
      </c>
      <c r="F1284" s="1" t="str">
        <f>"شير برقي 1/2 - 5"</f>
        <v>شير برقي 1/2 - 5</v>
      </c>
      <c r="G1284" s="1" t="str">
        <f>"عدد"</f>
        <v>عدد</v>
      </c>
      <c r="H1284" s="1">
        <v>0</v>
      </c>
      <c r="I1284" s="1">
        <v>0</v>
      </c>
      <c r="J1284" s="1">
        <v>1</v>
      </c>
      <c r="K1284" s="1">
        <v>1250000</v>
      </c>
      <c r="L1284" s="1">
        <v>0</v>
      </c>
      <c r="M1284" s="1">
        <v>0</v>
      </c>
      <c r="O1284" s="1">
        <v>97</v>
      </c>
      <c r="P1284" s="4">
        <f t="shared" si="60"/>
        <v>1250000</v>
      </c>
      <c r="Q1284" s="4">
        <f t="shared" si="61"/>
        <v>1</v>
      </c>
      <c r="R1284" s="4">
        <f t="shared" si="62"/>
        <v>1250000</v>
      </c>
    </row>
    <row r="1285" spans="1:18">
      <c r="A1285" s="1">
        <v>2</v>
      </c>
      <c r="B1285" s="1" t="str">
        <f>"قطعات و لوازم يدكي"</f>
        <v>قطعات و لوازم يدكي</v>
      </c>
      <c r="C1285" s="1">
        <v>120</v>
      </c>
      <c r="D1285" s="1" t="str">
        <f>"انبار قطعات و لوازم يدكي بشکه سازي اصفهان"</f>
        <v>انبار قطعات و لوازم يدكي بشکه سازي اصفهان</v>
      </c>
      <c r="E1285" s="1" t="str">
        <f>"4211700185"</f>
        <v>4211700185</v>
      </c>
      <c r="F1285" s="1" t="str">
        <f>"پکينگ تفلوني 160"</f>
        <v>پکينگ تفلوني 160</v>
      </c>
      <c r="G1285" s="1" t="str">
        <f>"عدد"</f>
        <v>عدد</v>
      </c>
      <c r="H1285" s="1">
        <v>0</v>
      </c>
      <c r="I1285" s="1">
        <v>0</v>
      </c>
      <c r="J1285" s="1">
        <v>6</v>
      </c>
      <c r="K1285" s="1">
        <v>1200000</v>
      </c>
      <c r="L1285" s="1">
        <v>0</v>
      </c>
      <c r="M1285" s="1">
        <v>0</v>
      </c>
      <c r="O1285" s="1">
        <v>97</v>
      </c>
      <c r="P1285" s="4">
        <f t="shared" si="60"/>
        <v>1200000</v>
      </c>
      <c r="Q1285" s="4">
        <f t="shared" si="61"/>
        <v>6</v>
      </c>
      <c r="R1285" s="4">
        <f t="shared" si="62"/>
        <v>200000</v>
      </c>
    </row>
    <row r="1286" spans="1:18">
      <c r="A1286" s="1">
        <v>2</v>
      </c>
      <c r="B1286" s="1" t="str">
        <f>"قطعات و لوازم يدكي"</f>
        <v>قطعات و لوازم يدكي</v>
      </c>
      <c r="C1286" s="1">
        <v>120</v>
      </c>
      <c r="D1286" s="1" t="str">
        <f>"انبار قطعات و لوازم يدكي بشکه سازي اصفهان"</f>
        <v>انبار قطعات و لوازم يدكي بشکه سازي اصفهان</v>
      </c>
      <c r="E1286" s="1" t="str">
        <f>"4211700187"</f>
        <v>4211700187</v>
      </c>
      <c r="F1286" s="1" t="str">
        <f>"پکينگ 80"</f>
        <v>پکينگ 80</v>
      </c>
      <c r="G1286" s="1" t="str">
        <f>"عدد"</f>
        <v>عدد</v>
      </c>
      <c r="H1286" s="1">
        <v>0</v>
      </c>
      <c r="I1286" s="1">
        <v>0</v>
      </c>
      <c r="J1286" s="1">
        <v>8</v>
      </c>
      <c r="K1286" s="1">
        <v>1600000</v>
      </c>
      <c r="L1286" s="1">
        <v>0</v>
      </c>
      <c r="M1286" s="1">
        <v>0</v>
      </c>
      <c r="O1286" s="1">
        <v>97</v>
      </c>
      <c r="P1286" s="4">
        <f t="shared" si="60"/>
        <v>1600000</v>
      </c>
      <c r="Q1286" s="4">
        <f t="shared" si="61"/>
        <v>8</v>
      </c>
      <c r="R1286" s="4">
        <f t="shared" si="62"/>
        <v>200000</v>
      </c>
    </row>
    <row r="1287" spans="1:18">
      <c r="A1287" s="1">
        <v>2</v>
      </c>
      <c r="B1287" s="1" t="str">
        <f>"قطعات و لوازم يدكي"</f>
        <v>قطعات و لوازم يدكي</v>
      </c>
      <c r="C1287" s="1">
        <v>120</v>
      </c>
      <c r="D1287" s="1" t="str">
        <f>"انبار قطعات و لوازم يدكي بشکه سازي اصفهان"</f>
        <v>انبار قطعات و لوازم يدكي بشکه سازي اصفهان</v>
      </c>
      <c r="E1287" s="1" t="str">
        <f>"4311700004"</f>
        <v>4311700004</v>
      </c>
      <c r="F1287" s="1" t="str">
        <f>"اسپري رنگ."</f>
        <v>اسپري رنگ.</v>
      </c>
      <c r="G1287" s="1" t="str">
        <f>"عدد"</f>
        <v>عدد</v>
      </c>
      <c r="H1287" s="1">
        <v>0</v>
      </c>
      <c r="I1287" s="1">
        <v>0</v>
      </c>
      <c r="J1287" s="1">
        <v>268</v>
      </c>
      <c r="K1287" s="1">
        <v>14528000</v>
      </c>
      <c r="L1287" s="1">
        <v>87</v>
      </c>
      <c r="M1287" s="1">
        <v>4419367</v>
      </c>
      <c r="O1287" s="1">
        <v>97</v>
      </c>
      <c r="P1287" s="4">
        <f t="shared" si="60"/>
        <v>10108633</v>
      </c>
      <c r="Q1287" s="4">
        <f t="shared" si="61"/>
        <v>181</v>
      </c>
      <c r="R1287" s="4">
        <f t="shared" si="62"/>
        <v>55848.801104972379</v>
      </c>
    </row>
    <row r="1288" spans="1:18">
      <c r="A1288" s="1">
        <v>2</v>
      </c>
      <c r="B1288" s="1" t="str">
        <f>"قطعات و لوازم يدكي"</f>
        <v>قطعات و لوازم يدكي</v>
      </c>
      <c r="C1288" s="1">
        <v>120</v>
      </c>
      <c r="D1288" s="1" t="str">
        <f>"انبار قطعات و لوازم يدكي بشکه سازي اصفهان"</f>
        <v>انبار قطعات و لوازم يدكي بشکه سازي اصفهان</v>
      </c>
      <c r="E1288" s="1" t="str">
        <f>"4311700007"</f>
        <v>4311700007</v>
      </c>
      <c r="F1288" s="1" t="str">
        <f>"ليبل کاغذي"</f>
        <v>ليبل کاغذي</v>
      </c>
      <c r="G1288" s="1" t="str">
        <f>"عدد"</f>
        <v>عدد</v>
      </c>
      <c r="H1288" s="1">
        <v>0</v>
      </c>
      <c r="I1288" s="1">
        <v>0</v>
      </c>
      <c r="J1288" s="1">
        <v>55</v>
      </c>
      <c r="K1288" s="1">
        <v>3300000</v>
      </c>
      <c r="L1288" s="1">
        <v>0</v>
      </c>
      <c r="M1288" s="1">
        <v>0</v>
      </c>
      <c r="O1288" s="1">
        <v>97</v>
      </c>
      <c r="P1288" s="4">
        <f t="shared" si="60"/>
        <v>3300000</v>
      </c>
      <c r="Q1288" s="4">
        <f t="shared" si="61"/>
        <v>55</v>
      </c>
      <c r="R1288" s="4">
        <f t="shared" si="62"/>
        <v>60000</v>
      </c>
    </row>
    <row r="1289" spans="1:18">
      <c r="A1289" s="1">
        <v>2</v>
      </c>
      <c r="B1289" s="1" t="str">
        <f>"قطعات و لوازم يدكي"</f>
        <v>قطعات و لوازم يدكي</v>
      </c>
      <c r="C1289" s="1">
        <v>120</v>
      </c>
      <c r="D1289" s="1" t="str">
        <f>"انبار قطعات و لوازم يدكي بشکه سازي اصفهان"</f>
        <v>انبار قطعات و لوازم يدكي بشکه سازي اصفهان</v>
      </c>
      <c r="E1289" s="1" t="str">
        <f>"4311700008"</f>
        <v>4311700008</v>
      </c>
      <c r="F1289" s="1" t="str">
        <f>"کاور ليبل بگ"</f>
        <v>کاور ليبل بگ</v>
      </c>
      <c r="G1289" s="1" t="str">
        <f>"بسته"</f>
        <v>بسته</v>
      </c>
      <c r="H1289" s="1">
        <v>0</v>
      </c>
      <c r="I1289" s="1">
        <v>0</v>
      </c>
      <c r="J1289" s="1">
        <v>7</v>
      </c>
      <c r="K1289" s="1">
        <v>665000</v>
      </c>
      <c r="L1289" s="1">
        <v>0</v>
      </c>
      <c r="M1289" s="1">
        <v>0</v>
      </c>
      <c r="O1289" s="1">
        <v>97</v>
      </c>
      <c r="P1289" s="4">
        <f t="shared" si="60"/>
        <v>665000</v>
      </c>
      <c r="Q1289" s="4">
        <f t="shared" si="61"/>
        <v>7</v>
      </c>
      <c r="R1289" s="4">
        <f t="shared" si="62"/>
        <v>95000</v>
      </c>
    </row>
    <row r="1290" spans="1:18">
      <c r="A1290" s="1">
        <v>2</v>
      </c>
      <c r="B1290" s="1" t="str">
        <f>"قطعات و لوازم يدكي"</f>
        <v>قطعات و لوازم يدكي</v>
      </c>
      <c r="C1290" s="1">
        <v>120</v>
      </c>
      <c r="D1290" s="1" t="str">
        <f>"انبار قطعات و لوازم يدكي بشکه سازي اصفهان"</f>
        <v>انبار قطعات و لوازم يدكي بشکه سازي اصفهان</v>
      </c>
      <c r="E1290" s="1" t="str">
        <f>"4311700015"</f>
        <v>4311700015</v>
      </c>
      <c r="F1290" s="1" t="str">
        <f>"چسب مزدا ."</f>
        <v>چسب مزدا .</v>
      </c>
      <c r="G1290" s="1" t="str">
        <f>"عدد"</f>
        <v>عدد</v>
      </c>
      <c r="H1290" s="1">
        <v>0</v>
      </c>
      <c r="I1290" s="1">
        <v>0</v>
      </c>
      <c r="J1290" s="1">
        <v>25</v>
      </c>
      <c r="K1290" s="1">
        <v>1750000</v>
      </c>
      <c r="L1290" s="1">
        <v>2</v>
      </c>
      <c r="M1290" s="1">
        <v>140000</v>
      </c>
      <c r="O1290" s="1">
        <v>97</v>
      </c>
      <c r="P1290" s="4">
        <f t="shared" si="60"/>
        <v>1610000</v>
      </c>
      <c r="Q1290" s="4">
        <f t="shared" si="61"/>
        <v>23</v>
      </c>
      <c r="R1290" s="4">
        <f t="shared" si="62"/>
        <v>70000</v>
      </c>
    </row>
    <row r="1291" spans="1:18">
      <c r="A1291" s="1">
        <v>2</v>
      </c>
      <c r="B1291" s="1" t="str">
        <f>"قطعات و لوازم يدكي"</f>
        <v>قطعات و لوازم يدكي</v>
      </c>
      <c r="C1291" s="1">
        <v>120</v>
      </c>
      <c r="D1291" s="1" t="str">
        <f>"انبار قطعات و لوازم يدكي بشکه سازي اصفهان"</f>
        <v>انبار قطعات و لوازم يدكي بشکه سازي اصفهان</v>
      </c>
      <c r="E1291" s="1" t="str">
        <f>"4311700030"</f>
        <v>4311700030</v>
      </c>
      <c r="F1291" s="1" t="str">
        <f>"صفحه ساب ميني سنگ"</f>
        <v>صفحه ساب ميني سنگ</v>
      </c>
      <c r="G1291" s="1" t="str">
        <f>"عدد"</f>
        <v>عدد</v>
      </c>
      <c r="H1291" s="1">
        <v>0</v>
      </c>
      <c r="I1291" s="1">
        <v>0</v>
      </c>
      <c r="J1291" s="1">
        <v>8</v>
      </c>
      <c r="K1291" s="1">
        <v>240000</v>
      </c>
      <c r="L1291" s="1">
        <v>1</v>
      </c>
      <c r="M1291" s="1">
        <v>30000</v>
      </c>
      <c r="O1291" s="1">
        <v>97</v>
      </c>
      <c r="P1291" s="4">
        <f t="shared" si="60"/>
        <v>210000</v>
      </c>
      <c r="Q1291" s="4">
        <f t="shared" si="61"/>
        <v>7</v>
      </c>
      <c r="R1291" s="4">
        <f t="shared" si="62"/>
        <v>30000</v>
      </c>
    </row>
    <row r="1292" spans="1:18">
      <c r="A1292" s="1">
        <v>2</v>
      </c>
      <c r="B1292" s="1" t="str">
        <f>"قطعات و لوازم يدكي"</f>
        <v>قطعات و لوازم يدكي</v>
      </c>
      <c r="C1292" s="1">
        <v>120</v>
      </c>
      <c r="D1292" s="1" t="str">
        <f>"انبار قطعات و لوازم يدكي بشکه سازي اصفهان"</f>
        <v>انبار قطعات و لوازم يدكي بشکه سازي اصفهان</v>
      </c>
      <c r="E1292" s="1" t="str">
        <f>"4311700033"</f>
        <v>4311700033</v>
      </c>
      <c r="F1292" s="1" t="str">
        <f>"فلاپي."</f>
        <v>فلاپي.</v>
      </c>
      <c r="G1292" s="1" t="str">
        <f>"عدد"</f>
        <v>عدد</v>
      </c>
      <c r="H1292" s="1">
        <v>0</v>
      </c>
      <c r="I1292" s="1">
        <v>0</v>
      </c>
      <c r="J1292" s="1">
        <v>300</v>
      </c>
      <c r="K1292" s="1">
        <v>45000000</v>
      </c>
      <c r="L1292" s="1">
        <v>30</v>
      </c>
      <c r="M1292" s="1">
        <v>4500000</v>
      </c>
      <c r="O1292" s="1">
        <v>97</v>
      </c>
      <c r="P1292" s="4">
        <f t="shared" si="60"/>
        <v>40500000</v>
      </c>
      <c r="Q1292" s="4">
        <f t="shared" si="61"/>
        <v>270</v>
      </c>
      <c r="R1292" s="4">
        <f t="shared" si="62"/>
        <v>150000</v>
      </c>
    </row>
    <row r="1293" spans="1:18">
      <c r="A1293" s="1">
        <v>2</v>
      </c>
      <c r="B1293" s="1" t="str">
        <f>"قطعات و لوازم يدكي"</f>
        <v>قطعات و لوازم يدكي</v>
      </c>
      <c r="C1293" s="1">
        <v>120</v>
      </c>
      <c r="D1293" s="1" t="str">
        <f>"انبار قطعات و لوازم يدكي بشکه سازي اصفهان"</f>
        <v>انبار قطعات و لوازم يدكي بشکه سازي اصفهان</v>
      </c>
      <c r="E1293" s="1" t="str">
        <f>"4311700038"</f>
        <v>4311700038</v>
      </c>
      <c r="F1293" s="1" t="str">
        <f>"چسب آپارات"</f>
        <v>چسب آپارات</v>
      </c>
      <c r="G1293" s="1" t="str">
        <f>"عدد"</f>
        <v>عدد</v>
      </c>
      <c r="H1293" s="1">
        <v>0</v>
      </c>
      <c r="I1293" s="1">
        <v>0</v>
      </c>
      <c r="J1293" s="1">
        <v>1</v>
      </c>
      <c r="K1293" s="1">
        <v>150000</v>
      </c>
      <c r="L1293" s="1">
        <v>0</v>
      </c>
      <c r="M1293" s="1">
        <v>0</v>
      </c>
      <c r="O1293" s="1">
        <v>97</v>
      </c>
      <c r="P1293" s="4">
        <f t="shared" si="60"/>
        <v>150000</v>
      </c>
      <c r="Q1293" s="4">
        <f t="shared" si="61"/>
        <v>1</v>
      </c>
      <c r="R1293" s="4">
        <f t="shared" si="62"/>
        <v>150000</v>
      </c>
    </row>
    <row r="1294" spans="1:18">
      <c r="A1294" s="1">
        <v>2</v>
      </c>
      <c r="B1294" s="1" t="str">
        <f>"قطعات و لوازم يدكي"</f>
        <v>قطعات و لوازم يدكي</v>
      </c>
      <c r="C1294" s="1">
        <v>120</v>
      </c>
      <c r="D1294" s="1" t="str">
        <f>"انبار قطعات و لوازم يدكي بشکه سازي اصفهان"</f>
        <v>انبار قطعات و لوازم يدكي بشکه سازي اصفهان</v>
      </c>
      <c r="E1294" s="1" t="str">
        <f>"4311700054"</f>
        <v>4311700054</v>
      </c>
      <c r="F1294" s="1" t="str">
        <f>"شلنگ هوا و گاز"</f>
        <v>شلنگ هوا و گاز</v>
      </c>
      <c r="G1294" s="1" t="str">
        <f>"متر"</f>
        <v>متر</v>
      </c>
      <c r="H1294" s="1">
        <v>0</v>
      </c>
      <c r="I1294" s="1">
        <v>0</v>
      </c>
      <c r="J1294" s="1">
        <v>26</v>
      </c>
      <c r="K1294" s="1">
        <v>1170000</v>
      </c>
      <c r="L1294" s="1">
        <v>0</v>
      </c>
      <c r="M1294" s="1">
        <v>0</v>
      </c>
      <c r="O1294" s="1">
        <v>97</v>
      </c>
      <c r="P1294" s="4">
        <f t="shared" si="60"/>
        <v>1170000</v>
      </c>
      <c r="Q1294" s="4">
        <f t="shared" si="61"/>
        <v>26</v>
      </c>
      <c r="R1294" s="4">
        <f t="shared" si="62"/>
        <v>45000</v>
      </c>
    </row>
    <row r="1295" spans="1:18">
      <c r="A1295" s="1">
        <v>2</v>
      </c>
      <c r="B1295" s="1" t="str">
        <f>"قطعات و لوازم يدكي"</f>
        <v>قطعات و لوازم يدكي</v>
      </c>
      <c r="C1295" s="1">
        <v>120</v>
      </c>
      <c r="D1295" s="1" t="str">
        <f>"انبار قطعات و لوازم يدكي بشکه سازي اصفهان"</f>
        <v>انبار قطعات و لوازم يدكي بشکه سازي اصفهان</v>
      </c>
      <c r="E1295" s="1" t="str">
        <f>"4311700062"</f>
        <v>4311700062</v>
      </c>
      <c r="F1295" s="1" t="str">
        <f>"بوش رو پيچ پرس 2/5 * 3/4 اينچ"</f>
        <v>بوش رو پيچ پرس 2/5 * 3/4 اينچ</v>
      </c>
      <c r="G1295" s="1" t="str">
        <f>"عدد"</f>
        <v>عدد</v>
      </c>
      <c r="H1295" s="1">
        <v>0</v>
      </c>
      <c r="I1295" s="1">
        <v>0</v>
      </c>
      <c r="J1295" s="1">
        <v>7</v>
      </c>
      <c r="K1295" s="1">
        <v>385000</v>
      </c>
      <c r="L1295" s="1">
        <v>0</v>
      </c>
      <c r="M1295" s="1">
        <v>0</v>
      </c>
      <c r="O1295" s="1">
        <v>97</v>
      </c>
      <c r="P1295" s="4">
        <f t="shared" si="60"/>
        <v>385000</v>
      </c>
      <c r="Q1295" s="4">
        <f t="shared" si="61"/>
        <v>7</v>
      </c>
      <c r="R1295" s="4">
        <f t="shared" si="62"/>
        <v>55000</v>
      </c>
    </row>
    <row r="1296" spans="1:18">
      <c r="A1296" s="1">
        <v>2</v>
      </c>
      <c r="B1296" s="1" t="str">
        <f>"قطعات و لوازم يدكي"</f>
        <v>قطعات و لوازم يدكي</v>
      </c>
      <c r="C1296" s="1">
        <v>120</v>
      </c>
      <c r="D1296" s="1" t="str">
        <f>"انبار قطعات و لوازم يدكي بشکه سازي اصفهان"</f>
        <v>انبار قطعات و لوازم يدكي بشکه سازي اصفهان</v>
      </c>
      <c r="E1296" s="1" t="str">
        <f>"4311700068"</f>
        <v>4311700068</v>
      </c>
      <c r="F1296" s="1" t="str">
        <f>"اورينگ 40*3/5 م م"</f>
        <v>اورينگ 40*3/5 م م</v>
      </c>
      <c r="G1296" s="1" t="str">
        <f>"عدد"</f>
        <v>عدد</v>
      </c>
      <c r="H1296" s="1">
        <v>0</v>
      </c>
      <c r="I1296" s="1">
        <v>0</v>
      </c>
      <c r="J1296" s="1">
        <v>7</v>
      </c>
      <c r="K1296" s="1">
        <v>35000</v>
      </c>
      <c r="L1296" s="1">
        <v>0</v>
      </c>
      <c r="M1296" s="1">
        <v>0</v>
      </c>
      <c r="O1296" s="1">
        <v>97</v>
      </c>
      <c r="P1296" s="4">
        <f t="shared" si="60"/>
        <v>35000</v>
      </c>
      <c r="Q1296" s="4">
        <f t="shared" si="61"/>
        <v>7</v>
      </c>
      <c r="R1296" s="4">
        <f t="shared" si="62"/>
        <v>5000</v>
      </c>
    </row>
    <row r="1297" spans="1:18">
      <c r="A1297" s="1">
        <v>2</v>
      </c>
      <c r="B1297" s="1" t="str">
        <f>"قطعات و لوازم يدكي"</f>
        <v>قطعات و لوازم يدكي</v>
      </c>
      <c r="C1297" s="1">
        <v>120</v>
      </c>
      <c r="D1297" s="1" t="str">
        <f>"انبار قطعات و لوازم يدكي بشکه سازي اصفهان"</f>
        <v>انبار قطعات و لوازم يدكي بشکه سازي اصفهان</v>
      </c>
      <c r="E1297" s="1" t="str">
        <f>"4311700073"</f>
        <v>4311700073</v>
      </c>
      <c r="F1297" s="1" t="str">
        <f>"اورينگ 70*2/5"</f>
        <v>اورينگ 70*2/5</v>
      </c>
      <c r="G1297" s="1" t="str">
        <f>"عدد"</f>
        <v>عدد</v>
      </c>
      <c r="H1297" s="1">
        <v>0</v>
      </c>
      <c r="I1297" s="1">
        <v>0</v>
      </c>
      <c r="J1297" s="1">
        <v>21</v>
      </c>
      <c r="K1297" s="1">
        <v>105000</v>
      </c>
      <c r="L1297" s="1">
        <v>0</v>
      </c>
      <c r="M1297" s="1">
        <v>0</v>
      </c>
      <c r="O1297" s="1">
        <v>97</v>
      </c>
      <c r="P1297" s="4">
        <f t="shared" si="60"/>
        <v>105000</v>
      </c>
      <c r="Q1297" s="4">
        <f t="shared" si="61"/>
        <v>21</v>
      </c>
      <c r="R1297" s="4">
        <f t="shared" si="62"/>
        <v>5000</v>
      </c>
    </row>
    <row r="1298" spans="1:18">
      <c r="A1298" s="1">
        <v>2</v>
      </c>
      <c r="B1298" s="1" t="str">
        <f>"قطعات و لوازم يدكي"</f>
        <v>قطعات و لوازم يدكي</v>
      </c>
      <c r="C1298" s="1">
        <v>120</v>
      </c>
      <c r="D1298" s="1" t="str">
        <f>"انبار قطعات و لوازم يدكي بشکه سازي اصفهان"</f>
        <v>انبار قطعات و لوازم يدكي بشکه سازي اصفهان</v>
      </c>
      <c r="E1298" s="1" t="str">
        <f>"4311700082"</f>
        <v>4311700082</v>
      </c>
      <c r="F1298" s="1" t="str">
        <f>"اورينگ 100*4"</f>
        <v>اورينگ 100*4</v>
      </c>
      <c r="G1298" s="1" t="str">
        <f>"عدد"</f>
        <v>عدد</v>
      </c>
      <c r="H1298" s="1">
        <v>0</v>
      </c>
      <c r="I1298" s="1">
        <v>0</v>
      </c>
      <c r="J1298" s="1">
        <v>9</v>
      </c>
      <c r="K1298" s="1">
        <v>45000</v>
      </c>
      <c r="L1298" s="1">
        <v>0</v>
      </c>
      <c r="M1298" s="1">
        <v>0</v>
      </c>
      <c r="O1298" s="1">
        <v>97</v>
      </c>
      <c r="P1298" s="4">
        <f t="shared" si="60"/>
        <v>45000</v>
      </c>
      <c r="Q1298" s="4">
        <f t="shared" si="61"/>
        <v>9</v>
      </c>
      <c r="R1298" s="4">
        <f t="shared" si="62"/>
        <v>5000</v>
      </c>
    </row>
    <row r="1299" spans="1:18">
      <c r="A1299" s="1">
        <v>2</v>
      </c>
      <c r="B1299" s="1" t="str">
        <f>"قطعات و لوازم يدكي"</f>
        <v>قطعات و لوازم يدكي</v>
      </c>
      <c r="C1299" s="1">
        <v>120</v>
      </c>
      <c r="D1299" s="1" t="str">
        <f>"انبار قطعات و لوازم يدكي بشکه سازي اصفهان"</f>
        <v>انبار قطعات و لوازم يدكي بشکه سازي اصفهان</v>
      </c>
      <c r="E1299" s="1" t="str">
        <f>"4311700085"</f>
        <v>4311700085</v>
      </c>
      <c r="F1299" s="1" t="str">
        <f>"اورينگ 100*3/5"</f>
        <v>اورينگ 100*3/5</v>
      </c>
      <c r="G1299" s="1" t="str">
        <f>"عدد"</f>
        <v>عدد</v>
      </c>
      <c r="H1299" s="1">
        <v>0</v>
      </c>
      <c r="I1299" s="1">
        <v>0</v>
      </c>
      <c r="J1299" s="1">
        <v>5</v>
      </c>
      <c r="K1299" s="1">
        <v>25000</v>
      </c>
      <c r="L1299" s="1">
        <v>0</v>
      </c>
      <c r="M1299" s="1">
        <v>0</v>
      </c>
      <c r="O1299" s="1">
        <v>97</v>
      </c>
      <c r="P1299" s="4">
        <f t="shared" si="60"/>
        <v>25000</v>
      </c>
      <c r="Q1299" s="4">
        <f t="shared" si="61"/>
        <v>5</v>
      </c>
      <c r="R1299" s="4">
        <f t="shared" si="62"/>
        <v>5000</v>
      </c>
    </row>
    <row r="1300" spans="1:18">
      <c r="A1300" s="1">
        <v>2</v>
      </c>
      <c r="B1300" s="1" t="str">
        <f>"قطعات و لوازم يدكي"</f>
        <v>قطعات و لوازم يدكي</v>
      </c>
      <c r="C1300" s="1">
        <v>120</v>
      </c>
      <c r="D1300" s="1" t="str">
        <f>"انبار قطعات و لوازم يدكي بشکه سازي اصفهان"</f>
        <v>انبار قطعات و لوازم يدكي بشکه سازي اصفهان</v>
      </c>
      <c r="E1300" s="1" t="str">
        <f>"4311700097"</f>
        <v>4311700097</v>
      </c>
      <c r="F1300" s="1" t="str">
        <f>"سمباده چتري"</f>
        <v>سمباده چتري</v>
      </c>
      <c r="G1300" s="1" t="str">
        <f>"عدد"</f>
        <v>عدد</v>
      </c>
      <c r="H1300" s="1">
        <v>0</v>
      </c>
      <c r="I1300" s="1">
        <v>0</v>
      </c>
      <c r="J1300" s="1">
        <v>29</v>
      </c>
      <c r="K1300" s="1">
        <v>870000</v>
      </c>
      <c r="L1300" s="1">
        <v>8</v>
      </c>
      <c r="M1300" s="1">
        <v>240000</v>
      </c>
      <c r="O1300" s="1">
        <v>97</v>
      </c>
      <c r="P1300" s="4">
        <f t="shared" si="60"/>
        <v>630000</v>
      </c>
      <c r="Q1300" s="4">
        <f t="shared" si="61"/>
        <v>21</v>
      </c>
      <c r="R1300" s="4">
        <f t="shared" si="62"/>
        <v>30000</v>
      </c>
    </row>
    <row r="1301" spans="1:18">
      <c r="A1301" s="1">
        <v>2</v>
      </c>
      <c r="B1301" s="1" t="str">
        <f>"قطعات و لوازم يدكي"</f>
        <v>قطعات و لوازم يدكي</v>
      </c>
      <c r="C1301" s="1">
        <v>120</v>
      </c>
      <c r="D1301" s="1" t="str">
        <f>"انبار قطعات و لوازم يدكي بشکه سازي اصفهان"</f>
        <v>انبار قطعات و لوازم يدكي بشکه سازي اصفهان</v>
      </c>
      <c r="E1301" s="1" t="str">
        <f>"4311700103"</f>
        <v>4311700103</v>
      </c>
      <c r="F1301" s="1" t="str">
        <f>"شير گازي 1 اينچ."</f>
        <v>شير گازي 1 اينچ.</v>
      </c>
      <c r="G1301" s="1" t="str">
        <f>"عدد"</f>
        <v>عدد</v>
      </c>
      <c r="H1301" s="1">
        <v>0</v>
      </c>
      <c r="I1301" s="1">
        <v>0</v>
      </c>
      <c r="J1301" s="1">
        <v>7</v>
      </c>
      <c r="K1301" s="1">
        <v>3500000</v>
      </c>
      <c r="L1301" s="1">
        <v>0</v>
      </c>
      <c r="M1301" s="1">
        <v>0</v>
      </c>
      <c r="O1301" s="1">
        <v>97</v>
      </c>
      <c r="P1301" s="4">
        <f t="shared" si="60"/>
        <v>3500000</v>
      </c>
      <c r="Q1301" s="4">
        <f t="shared" si="61"/>
        <v>7</v>
      </c>
      <c r="R1301" s="4">
        <f t="shared" si="62"/>
        <v>500000</v>
      </c>
    </row>
    <row r="1302" spans="1:18">
      <c r="A1302" s="1">
        <v>2</v>
      </c>
      <c r="B1302" s="1" t="str">
        <f>"قطعات و لوازم يدكي"</f>
        <v>قطعات و لوازم يدكي</v>
      </c>
      <c r="C1302" s="1">
        <v>120</v>
      </c>
      <c r="D1302" s="1" t="str">
        <f>"انبار قطعات و لوازم يدكي بشکه سازي اصفهان"</f>
        <v>انبار قطعات و لوازم يدكي بشکه سازي اصفهان</v>
      </c>
      <c r="E1302" s="1" t="str">
        <f>"4311700111"</f>
        <v>4311700111</v>
      </c>
      <c r="F1302" s="1" t="str">
        <f>"پيچ خودکار 3 سانتي"</f>
        <v>پيچ خودکار 3 سانتي</v>
      </c>
      <c r="G1302" s="1" t="str">
        <f>"عدد"</f>
        <v>عدد</v>
      </c>
      <c r="H1302" s="1">
        <v>0</v>
      </c>
      <c r="I1302" s="1">
        <v>0</v>
      </c>
      <c r="J1302" s="1">
        <v>853</v>
      </c>
      <c r="K1302" s="1">
        <v>2132500</v>
      </c>
      <c r="L1302" s="1">
        <v>12</v>
      </c>
      <c r="M1302" s="1">
        <v>30000</v>
      </c>
      <c r="O1302" s="1">
        <v>97</v>
      </c>
      <c r="P1302" s="4">
        <f t="shared" si="60"/>
        <v>2102500</v>
      </c>
      <c r="Q1302" s="4">
        <f t="shared" si="61"/>
        <v>841</v>
      </c>
      <c r="R1302" s="4">
        <f t="shared" si="62"/>
        <v>2500</v>
      </c>
    </row>
    <row r="1303" spans="1:18">
      <c r="A1303" s="1">
        <v>2</v>
      </c>
      <c r="B1303" s="1" t="str">
        <f>"قطعات و لوازم يدكي"</f>
        <v>قطعات و لوازم يدكي</v>
      </c>
      <c r="C1303" s="1">
        <v>120</v>
      </c>
      <c r="D1303" s="1" t="str">
        <f>"انبار قطعات و لوازم يدكي بشکه سازي اصفهان"</f>
        <v>انبار قطعات و لوازم يدكي بشکه سازي اصفهان</v>
      </c>
      <c r="E1303" s="1" t="str">
        <f>"4311700137"</f>
        <v>4311700137</v>
      </c>
      <c r="F1303" s="1" t="str">
        <f>"پيچ 7 * M 14"</f>
        <v>پيچ 7 * M 14</v>
      </c>
      <c r="G1303" s="1" t="str">
        <f>"عدد"</f>
        <v>عدد</v>
      </c>
      <c r="H1303" s="1">
        <v>0</v>
      </c>
      <c r="I1303" s="1">
        <v>0</v>
      </c>
      <c r="J1303" s="1">
        <v>9</v>
      </c>
      <c r="K1303" s="1">
        <v>22500</v>
      </c>
      <c r="L1303" s="1">
        <v>0</v>
      </c>
      <c r="M1303" s="1">
        <v>0</v>
      </c>
      <c r="O1303" s="1">
        <v>97</v>
      </c>
      <c r="P1303" s="4">
        <f t="shared" si="60"/>
        <v>22500</v>
      </c>
      <c r="Q1303" s="4">
        <f t="shared" si="61"/>
        <v>9</v>
      </c>
      <c r="R1303" s="4">
        <f t="shared" si="62"/>
        <v>2500</v>
      </c>
    </row>
    <row r="1304" spans="1:18">
      <c r="A1304" s="1">
        <v>2</v>
      </c>
      <c r="B1304" s="1" t="str">
        <f>"قطعات و لوازم يدكي"</f>
        <v>قطعات و لوازم يدكي</v>
      </c>
      <c r="C1304" s="1">
        <v>120</v>
      </c>
      <c r="D1304" s="1" t="str">
        <f>"انبار قطعات و لوازم يدكي بشکه سازي اصفهان"</f>
        <v>انبار قطعات و لوازم يدكي بشکه سازي اصفهان</v>
      </c>
      <c r="E1304" s="1" t="str">
        <f>"4311700158"</f>
        <v>4311700158</v>
      </c>
      <c r="F1304" s="1" t="str">
        <f>"پيچ 8*M16"</f>
        <v>پيچ 8*M16</v>
      </c>
      <c r="G1304" s="1" t="str">
        <f>"عدد"</f>
        <v>عدد</v>
      </c>
      <c r="H1304" s="1">
        <v>0</v>
      </c>
      <c r="I1304" s="1">
        <v>0</v>
      </c>
      <c r="J1304" s="1">
        <v>24</v>
      </c>
      <c r="K1304" s="1">
        <v>60000</v>
      </c>
      <c r="L1304" s="1">
        <v>0</v>
      </c>
      <c r="M1304" s="1">
        <v>0</v>
      </c>
      <c r="O1304" s="1">
        <v>97</v>
      </c>
      <c r="P1304" s="4">
        <f t="shared" si="60"/>
        <v>60000</v>
      </c>
      <c r="Q1304" s="4">
        <f t="shared" si="61"/>
        <v>24</v>
      </c>
      <c r="R1304" s="4">
        <f t="shared" si="62"/>
        <v>2500</v>
      </c>
    </row>
    <row r="1305" spans="1:18">
      <c r="A1305" s="1">
        <v>2</v>
      </c>
      <c r="B1305" s="1" t="str">
        <f>"قطعات و لوازم يدكي"</f>
        <v>قطعات و لوازم يدكي</v>
      </c>
      <c r="C1305" s="1">
        <v>120</v>
      </c>
      <c r="D1305" s="1" t="str">
        <f>"انبار قطعات و لوازم يدكي بشکه سازي اصفهان"</f>
        <v>انبار قطعات و لوازم يدكي بشکه سازي اصفهان</v>
      </c>
      <c r="E1305" s="1" t="str">
        <f>"4311700159"</f>
        <v>4311700159</v>
      </c>
      <c r="F1305" s="1" t="str">
        <f>"پيچ 5*M18"</f>
        <v>پيچ 5*M18</v>
      </c>
      <c r="G1305" s="1" t="str">
        <f>"عدد"</f>
        <v>عدد</v>
      </c>
      <c r="H1305" s="1">
        <v>0</v>
      </c>
      <c r="I1305" s="1">
        <v>0</v>
      </c>
      <c r="J1305" s="1">
        <v>21</v>
      </c>
      <c r="K1305" s="1">
        <v>52500</v>
      </c>
      <c r="L1305" s="1">
        <v>0</v>
      </c>
      <c r="M1305" s="1">
        <v>0</v>
      </c>
      <c r="O1305" s="1">
        <v>97</v>
      </c>
      <c r="P1305" s="4">
        <f t="shared" si="60"/>
        <v>52500</v>
      </c>
      <c r="Q1305" s="4">
        <f t="shared" si="61"/>
        <v>21</v>
      </c>
      <c r="R1305" s="4">
        <f t="shared" si="62"/>
        <v>2500</v>
      </c>
    </row>
    <row r="1306" spans="1:18">
      <c r="A1306" s="1">
        <v>2</v>
      </c>
      <c r="B1306" s="1" t="str">
        <f>"قطعات و لوازم يدكي"</f>
        <v>قطعات و لوازم يدكي</v>
      </c>
      <c r="C1306" s="1">
        <v>120</v>
      </c>
      <c r="D1306" s="1" t="str">
        <f>"انبار قطعات و لوازم يدكي بشکه سازي اصفهان"</f>
        <v>انبار قطعات و لوازم يدكي بشکه سازي اصفهان</v>
      </c>
      <c r="E1306" s="1" t="str">
        <f>"4311700162"</f>
        <v>4311700162</v>
      </c>
      <c r="F1306" s="1" t="str">
        <f>"پيچ 6*M20"</f>
        <v>پيچ 6*M20</v>
      </c>
      <c r="G1306" s="1" t="str">
        <f>"عدد"</f>
        <v>عدد</v>
      </c>
      <c r="H1306" s="1">
        <v>0</v>
      </c>
      <c r="I1306" s="1">
        <v>0</v>
      </c>
      <c r="J1306" s="1">
        <v>13</v>
      </c>
      <c r="K1306" s="1">
        <v>19500</v>
      </c>
      <c r="L1306" s="1">
        <v>0</v>
      </c>
      <c r="M1306" s="1">
        <v>0</v>
      </c>
      <c r="O1306" s="1">
        <v>97</v>
      </c>
      <c r="P1306" s="4">
        <f t="shared" si="60"/>
        <v>19500</v>
      </c>
      <c r="Q1306" s="4">
        <f t="shared" si="61"/>
        <v>13</v>
      </c>
      <c r="R1306" s="4">
        <f t="shared" si="62"/>
        <v>1500</v>
      </c>
    </row>
    <row r="1307" spans="1:18">
      <c r="A1307" s="1">
        <v>2</v>
      </c>
      <c r="B1307" s="1" t="str">
        <f>"قطعات و لوازم يدكي"</f>
        <v>قطعات و لوازم يدكي</v>
      </c>
      <c r="C1307" s="1">
        <v>120</v>
      </c>
      <c r="D1307" s="1" t="str">
        <f>"انبار قطعات و لوازم يدكي بشکه سازي اصفهان"</f>
        <v>انبار قطعات و لوازم يدكي بشکه سازي اصفهان</v>
      </c>
      <c r="E1307" s="1" t="str">
        <f>"4311700173"</f>
        <v>4311700173</v>
      </c>
      <c r="F1307" s="1" t="str">
        <f>"پيچ آلن 10*M22"</f>
        <v>پيچ آلن 10*M22</v>
      </c>
      <c r="G1307" s="1" t="str">
        <f>"عدد"</f>
        <v>عدد</v>
      </c>
      <c r="H1307" s="1">
        <v>0</v>
      </c>
      <c r="I1307" s="1">
        <v>0</v>
      </c>
      <c r="J1307" s="1">
        <v>18</v>
      </c>
      <c r="K1307" s="1">
        <v>45000</v>
      </c>
      <c r="L1307" s="1">
        <v>0</v>
      </c>
      <c r="M1307" s="1">
        <v>0</v>
      </c>
      <c r="O1307" s="1">
        <v>97</v>
      </c>
      <c r="P1307" s="4">
        <f t="shared" si="60"/>
        <v>45000</v>
      </c>
      <c r="Q1307" s="4">
        <f t="shared" si="61"/>
        <v>18</v>
      </c>
      <c r="R1307" s="4">
        <f t="shared" si="62"/>
        <v>2500</v>
      </c>
    </row>
    <row r="1308" spans="1:18">
      <c r="A1308" s="1">
        <v>2</v>
      </c>
      <c r="B1308" s="1" t="str">
        <f>"قطعات و لوازم يدكي"</f>
        <v>قطعات و لوازم يدكي</v>
      </c>
      <c r="C1308" s="1">
        <v>120</v>
      </c>
      <c r="D1308" s="1" t="str">
        <f>"انبار قطعات و لوازم يدكي بشکه سازي اصفهان"</f>
        <v>انبار قطعات و لوازم يدكي بشکه سازي اصفهان</v>
      </c>
      <c r="E1308" s="1" t="str">
        <f>"4311700181"</f>
        <v>4311700181</v>
      </c>
      <c r="F1308" s="1" t="str">
        <f>"مهره M12."</f>
        <v>مهره M12.</v>
      </c>
      <c r="G1308" s="1" t="str">
        <f>"عدد"</f>
        <v>عدد</v>
      </c>
      <c r="H1308" s="1">
        <v>0</v>
      </c>
      <c r="I1308" s="1">
        <v>0</v>
      </c>
      <c r="J1308" s="1">
        <v>25</v>
      </c>
      <c r="K1308" s="1">
        <v>75000</v>
      </c>
      <c r="L1308" s="1">
        <v>0</v>
      </c>
      <c r="M1308" s="1">
        <v>0</v>
      </c>
      <c r="O1308" s="1">
        <v>97</v>
      </c>
      <c r="P1308" s="4">
        <f t="shared" si="60"/>
        <v>75000</v>
      </c>
      <c r="Q1308" s="4">
        <f t="shared" si="61"/>
        <v>25</v>
      </c>
      <c r="R1308" s="4">
        <f t="shared" si="62"/>
        <v>3000</v>
      </c>
    </row>
    <row r="1309" spans="1:18">
      <c r="A1309" s="1">
        <v>2</v>
      </c>
      <c r="B1309" s="1" t="str">
        <f>"قطعات و لوازم يدكي"</f>
        <v>قطعات و لوازم يدكي</v>
      </c>
      <c r="C1309" s="1">
        <v>120</v>
      </c>
      <c r="D1309" s="1" t="str">
        <f>"انبار قطعات و لوازم يدكي بشکه سازي اصفهان"</f>
        <v>انبار قطعات و لوازم يدكي بشکه سازي اصفهان</v>
      </c>
      <c r="E1309" s="1" t="str">
        <f>"4311700186"</f>
        <v>4311700186</v>
      </c>
      <c r="F1309" s="1" t="str">
        <f>"رول پلاک سايز 6"</f>
        <v>رول پلاک سايز 6</v>
      </c>
      <c r="G1309" s="1" t="str">
        <f>"عدد"</f>
        <v>عدد</v>
      </c>
      <c r="H1309" s="1">
        <v>0</v>
      </c>
      <c r="I1309" s="1">
        <v>0</v>
      </c>
      <c r="J1309" s="1">
        <v>582</v>
      </c>
      <c r="K1309" s="1">
        <v>291000</v>
      </c>
      <c r="L1309" s="1">
        <v>10</v>
      </c>
      <c r="M1309" s="1">
        <v>5000</v>
      </c>
      <c r="O1309" s="1">
        <v>97</v>
      </c>
      <c r="P1309" s="4">
        <f t="shared" si="60"/>
        <v>286000</v>
      </c>
      <c r="Q1309" s="4">
        <f t="shared" si="61"/>
        <v>572</v>
      </c>
      <c r="R1309" s="4">
        <f t="shared" si="62"/>
        <v>500</v>
      </c>
    </row>
    <row r="1310" spans="1:18">
      <c r="A1310" s="1">
        <v>2</v>
      </c>
      <c r="B1310" s="1" t="str">
        <f>"قطعات و لوازم يدكي"</f>
        <v>قطعات و لوازم يدكي</v>
      </c>
      <c r="C1310" s="1">
        <v>120</v>
      </c>
      <c r="D1310" s="1" t="str">
        <f>"انبار قطعات و لوازم يدكي بشکه سازي اصفهان"</f>
        <v>انبار قطعات و لوازم يدكي بشکه سازي اصفهان</v>
      </c>
      <c r="E1310" s="1" t="str">
        <f>"4311700188"</f>
        <v>4311700188</v>
      </c>
      <c r="F1310" s="1" t="str">
        <f>"رول پلاک سايز 8"</f>
        <v>رول پلاک سايز 8</v>
      </c>
      <c r="G1310" s="1" t="str">
        <f>"عدد"</f>
        <v>عدد</v>
      </c>
      <c r="H1310" s="1">
        <v>0</v>
      </c>
      <c r="I1310" s="1">
        <v>0</v>
      </c>
      <c r="J1310" s="1">
        <v>376</v>
      </c>
      <c r="K1310" s="1">
        <v>300800</v>
      </c>
      <c r="L1310" s="1">
        <v>6</v>
      </c>
      <c r="M1310" s="1">
        <v>4800</v>
      </c>
      <c r="O1310" s="1">
        <v>97</v>
      </c>
      <c r="P1310" s="4">
        <f t="shared" si="60"/>
        <v>296000</v>
      </c>
      <c r="Q1310" s="4">
        <f t="shared" si="61"/>
        <v>370</v>
      </c>
      <c r="R1310" s="4">
        <f t="shared" si="62"/>
        <v>800</v>
      </c>
    </row>
    <row r="1311" spans="1:18">
      <c r="A1311" s="1">
        <v>2</v>
      </c>
      <c r="B1311" s="1" t="str">
        <f>"قطعات و لوازم يدكي"</f>
        <v>قطعات و لوازم يدكي</v>
      </c>
      <c r="C1311" s="1">
        <v>120</v>
      </c>
      <c r="D1311" s="1" t="str">
        <f>"انبار قطعات و لوازم يدكي بشکه سازي اصفهان"</f>
        <v>انبار قطعات و لوازم يدكي بشکه سازي اصفهان</v>
      </c>
      <c r="E1311" s="1" t="str">
        <f>"4311700191"</f>
        <v>4311700191</v>
      </c>
      <c r="F1311" s="1" t="str">
        <f>"پيچ سرمته 8 سانتي"</f>
        <v>پيچ سرمته 8 سانتي</v>
      </c>
      <c r="G1311" s="1" t="str">
        <f>"عدد"</f>
        <v>عدد</v>
      </c>
      <c r="H1311" s="1">
        <v>0</v>
      </c>
      <c r="I1311" s="1">
        <v>0</v>
      </c>
      <c r="J1311" s="1">
        <v>1340</v>
      </c>
      <c r="K1311" s="1">
        <v>2680000</v>
      </c>
      <c r="L1311" s="1">
        <v>0</v>
      </c>
      <c r="M1311" s="1">
        <v>0</v>
      </c>
      <c r="O1311" s="1">
        <v>97</v>
      </c>
      <c r="P1311" s="4">
        <f t="shared" si="60"/>
        <v>2680000</v>
      </c>
      <c r="Q1311" s="4">
        <f t="shared" si="61"/>
        <v>1340</v>
      </c>
      <c r="R1311" s="4">
        <f t="shared" si="62"/>
        <v>2000</v>
      </c>
    </row>
    <row r="1312" spans="1:18">
      <c r="A1312" s="1">
        <v>2</v>
      </c>
      <c r="B1312" s="1" t="str">
        <f>"قطعات و لوازم يدكي"</f>
        <v>قطعات و لوازم يدكي</v>
      </c>
      <c r="C1312" s="1">
        <v>120</v>
      </c>
      <c r="D1312" s="1" t="str">
        <f>"انبار قطعات و لوازم يدكي بشکه سازي اصفهان"</f>
        <v>انبار قطعات و لوازم يدكي بشکه سازي اصفهان</v>
      </c>
      <c r="E1312" s="1" t="str">
        <f>"4311700197"</f>
        <v>4311700197</v>
      </c>
      <c r="F1312" s="1" t="str">
        <f>"بوشن 1 اينچ"</f>
        <v>بوشن 1 اينچ</v>
      </c>
      <c r="G1312" s="1" t="str">
        <f>"عدد"</f>
        <v>عدد</v>
      </c>
      <c r="H1312" s="1">
        <v>0</v>
      </c>
      <c r="I1312" s="1">
        <v>0</v>
      </c>
      <c r="J1312" s="1">
        <v>17</v>
      </c>
      <c r="K1312" s="1">
        <v>1190000</v>
      </c>
      <c r="L1312" s="1">
        <v>0</v>
      </c>
      <c r="M1312" s="1">
        <v>0</v>
      </c>
      <c r="O1312" s="1">
        <v>97</v>
      </c>
      <c r="P1312" s="4">
        <f t="shared" si="60"/>
        <v>1190000</v>
      </c>
      <c r="Q1312" s="4">
        <f t="shared" si="61"/>
        <v>17</v>
      </c>
      <c r="R1312" s="4">
        <f t="shared" si="62"/>
        <v>70000</v>
      </c>
    </row>
    <row r="1313" spans="1:18">
      <c r="A1313" s="1">
        <v>2</v>
      </c>
      <c r="B1313" s="1" t="str">
        <f>"قطعات و لوازم يدكي"</f>
        <v>قطعات و لوازم يدكي</v>
      </c>
      <c r="C1313" s="1">
        <v>120</v>
      </c>
      <c r="D1313" s="1" t="str">
        <f>"انبار قطعات و لوازم يدكي بشکه سازي اصفهان"</f>
        <v>انبار قطعات و لوازم يدكي بشکه سازي اصفهان</v>
      </c>
      <c r="E1313" s="1" t="str">
        <f>"4311700201"</f>
        <v>4311700201</v>
      </c>
      <c r="F1313" s="1" t="str">
        <f>"زانو 1/2."</f>
        <v>زانو 1/2.</v>
      </c>
      <c r="G1313" s="1" t="str">
        <f>"عدد"</f>
        <v>عدد</v>
      </c>
      <c r="H1313" s="1">
        <v>0</v>
      </c>
      <c r="I1313" s="1">
        <v>0</v>
      </c>
      <c r="J1313" s="1">
        <v>19</v>
      </c>
      <c r="K1313" s="1">
        <v>190000</v>
      </c>
      <c r="L1313" s="1">
        <v>0</v>
      </c>
      <c r="M1313" s="1">
        <v>0</v>
      </c>
      <c r="O1313" s="1">
        <v>97</v>
      </c>
      <c r="P1313" s="4">
        <f t="shared" si="60"/>
        <v>190000</v>
      </c>
      <c r="Q1313" s="4">
        <f t="shared" si="61"/>
        <v>19</v>
      </c>
      <c r="R1313" s="4">
        <f t="shared" si="62"/>
        <v>10000</v>
      </c>
    </row>
    <row r="1314" spans="1:18">
      <c r="A1314" s="1">
        <v>2</v>
      </c>
      <c r="B1314" s="1" t="str">
        <f>"قطعات و لوازم يدكي"</f>
        <v>قطعات و لوازم يدكي</v>
      </c>
      <c r="C1314" s="1">
        <v>120</v>
      </c>
      <c r="D1314" s="1" t="str">
        <f>"انبار قطعات و لوازم يدكي بشکه سازي اصفهان"</f>
        <v>انبار قطعات و لوازم يدكي بشکه سازي اصفهان</v>
      </c>
      <c r="E1314" s="1" t="str">
        <f>"4311700203"</f>
        <v>4311700203</v>
      </c>
      <c r="F1314" s="1" t="str">
        <f>"پيچ 2*2"</f>
        <v>پيچ 2*2</v>
      </c>
      <c r="G1314" s="1" t="str">
        <f>"عدد"</f>
        <v>عدد</v>
      </c>
      <c r="H1314" s="1">
        <v>0</v>
      </c>
      <c r="I1314" s="1">
        <v>0</v>
      </c>
      <c r="J1314" s="1">
        <v>99</v>
      </c>
      <c r="K1314" s="1">
        <v>247500</v>
      </c>
      <c r="L1314" s="1">
        <v>0</v>
      </c>
      <c r="M1314" s="1">
        <v>0</v>
      </c>
      <c r="O1314" s="1">
        <v>97</v>
      </c>
      <c r="P1314" s="4">
        <f t="shared" si="60"/>
        <v>247500</v>
      </c>
      <c r="Q1314" s="4">
        <f t="shared" si="61"/>
        <v>99</v>
      </c>
      <c r="R1314" s="4">
        <f t="shared" si="62"/>
        <v>2500</v>
      </c>
    </row>
    <row r="1315" spans="1:18">
      <c r="A1315" s="1">
        <v>2</v>
      </c>
      <c r="B1315" s="1" t="str">
        <f>"قطعات و لوازم يدكي"</f>
        <v>قطعات و لوازم يدكي</v>
      </c>
      <c r="C1315" s="1">
        <v>205</v>
      </c>
      <c r="D1315" s="1" t="str">
        <f>"انبار قطعات و لوازم يدكي بندرعباس"</f>
        <v>انبار قطعات و لوازم يدكي بندرعباس</v>
      </c>
      <c r="E1315" s="1" t="str">
        <f>"1800000256"</f>
        <v>1800000256</v>
      </c>
      <c r="F1315" s="1" t="str">
        <f>"پيچ سرمته اي"</f>
        <v>پيچ سرمته اي</v>
      </c>
      <c r="G1315" s="1" t="str">
        <f>"عدد"</f>
        <v>عدد</v>
      </c>
      <c r="H1315" s="1">
        <v>70</v>
      </c>
      <c r="I1315" s="1">
        <v>140000</v>
      </c>
      <c r="J1315" s="1">
        <v>1000</v>
      </c>
      <c r="K1315" s="1">
        <v>600000</v>
      </c>
      <c r="L1315" s="1">
        <v>510</v>
      </c>
      <c r="M1315" s="1">
        <v>404000</v>
      </c>
      <c r="O1315" s="1">
        <v>97</v>
      </c>
      <c r="P1315" s="4">
        <f t="shared" si="60"/>
        <v>336000</v>
      </c>
      <c r="Q1315" s="4">
        <f t="shared" si="61"/>
        <v>560</v>
      </c>
      <c r="R1315" s="4">
        <f t="shared" si="62"/>
        <v>600</v>
      </c>
    </row>
    <row r="1316" spans="1:18" hidden="1">
      <c r="A1316" s="1">
        <v>2</v>
      </c>
      <c r="B1316" s="1" t="str">
        <f>"قطعات و لوازم يدكي"</f>
        <v>قطعات و لوازم يدكي</v>
      </c>
      <c r="C1316" s="1">
        <v>205</v>
      </c>
      <c r="D1316" s="1" t="str">
        <f>"انبار قطعات و لوازم يدكي بندرعباس"</f>
        <v>انبار قطعات و لوازم يدكي بندرعباس</v>
      </c>
      <c r="E1316" s="1" t="str">
        <f>"1800000276"</f>
        <v>1800000276</v>
      </c>
      <c r="F1316" s="1" t="str">
        <f>"تبديل گالوانيزه 3/4-1"</f>
        <v>تبديل گالوانيزه 3/4-1</v>
      </c>
      <c r="G1316" s="1" t="str">
        <f>"عدد"</f>
        <v>عدد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O1316" s="1">
        <v>97</v>
      </c>
      <c r="P1316" s="1">
        <f t="shared" si="60"/>
        <v>0</v>
      </c>
      <c r="Q1316" s="1">
        <f t="shared" si="61"/>
        <v>0</v>
      </c>
      <c r="R1316" s="1" t="e">
        <f t="shared" si="62"/>
        <v>#DIV/0!</v>
      </c>
    </row>
    <row r="1317" spans="1:18">
      <c r="A1317" s="1">
        <v>2</v>
      </c>
      <c r="B1317" s="1" t="str">
        <f>"قطعات و لوازم يدكي"</f>
        <v>قطعات و لوازم يدكي</v>
      </c>
      <c r="C1317" s="1">
        <v>205</v>
      </c>
      <c r="D1317" s="1" t="str">
        <f>"انبار قطعات و لوازم يدكي بندرعباس"</f>
        <v>انبار قطعات و لوازم يدكي بندرعباس</v>
      </c>
      <c r="E1317" s="1" t="str">
        <f>"1800000307"</f>
        <v>1800000307</v>
      </c>
      <c r="F1317" s="1" t="str">
        <f>"ولدولت 4-8"</f>
        <v>ولدولت 4-8</v>
      </c>
      <c r="G1317" s="1" t="str">
        <f>"عدد"</f>
        <v>عدد</v>
      </c>
      <c r="H1317" s="1">
        <v>3</v>
      </c>
      <c r="I1317" s="1">
        <v>4279572</v>
      </c>
      <c r="J1317" s="1">
        <v>0</v>
      </c>
      <c r="K1317" s="1">
        <v>0</v>
      </c>
      <c r="L1317" s="1">
        <v>1</v>
      </c>
      <c r="M1317" s="1">
        <v>1426524</v>
      </c>
      <c r="O1317" s="1">
        <v>97</v>
      </c>
      <c r="P1317" s="4">
        <f t="shared" si="60"/>
        <v>2853048</v>
      </c>
      <c r="Q1317" s="4">
        <f t="shared" si="61"/>
        <v>2</v>
      </c>
      <c r="R1317" s="4">
        <f t="shared" si="62"/>
        <v>1426524</v>
      </c>
    </row>
    <row r="1318" spans="1:18">
      <c r="A1318" s="1">
        <v>2</v>
      </c>
      <c r="B1318" s="1" t="str">
        <f>"قطعات و لوازم يدكي"</f>
        <v>قطعات و لوازم يدكي</v>
      </c>
      <c r="C1318" s="1">
        <v>205</v>
      </c>
      <c r="D1318" s="1" t="str">
        <f>"انبار قطعات و لوازم يدكي بندرعباس"</f>
        <v>انبار قطعات و لوازم يدكي بندرعباس</v>
      </c>
      <c r="E1318" s="1" t="str">
        <f>"1800000312"</f>
        <v>1800000312</v>
      </c>
      <c r="F1318" s="1" t="str">
        <f>"چراغ سيگنال تابلو"</f>
        <v>چراغ سيگنال تابلو</v>
      </c>
      <c r="G1318" s="1" t="str">
        <f>"عدد"</f>
        <v>عدد</v>
      </c>
      <c r="H1318" s="1">
        <v>61</v>
      </c>
      <c r="I1318" s="1">
        <v>6100000</v>
      </c>
      <c r="J1318" s="1">
        <v>0</v>
      </c>
      <c r="K1318" s="1">
        <v>0</v>
      </c>
      <c r="L1318" s="1">
        <v>8</v>
      </c>
      <c r="M1318" s="1">
        <v>800000</v>
      </c>
      <c r="O1318" s="1">
        <v>97</v>
      </c>
      <c r="P1318" s="4">
        <f t="shared" si="60"/>
        <v>5300000</v>
      </c>
      <c r="Q1318" s="4">
        <f t="shared" si="61"/>
        <v>53</v>
      </c>
      <c r="R1318" s="4">
        <f t="shared" si="62"/>
        <v>100000</v>
      </c>
    </row>
    <row r="1319" spans="1:18" hidden="1">
      <c r="A1319" s="1">
        <v>2</v>
      </c>
      <c r="B1319" s="1" t="str">
        <f>"قطعات و لوازم يدكي"</f>
        <v>قطعات و لوازم يدكي</v>
      </c>
      <c r="C1319" s="1">
        <v>205</v>
      </c>
      <c r="D1319" s="1" t="str">
        <f>"انبار قطعات و لوازم يدكي بندرعباس"</f>
        <v>انبار قطعات و لوازم يدكي بندرعباس</v>
      </c>
      <c r="E1319" s="1" t="str">
        <f>"1800000320"</f>
        <v>1800000320</v>
      </c>
      <c r="F1319" s="1" t="str">
        <f>"چسب سيليکون"</f>
        <v>چسب سيليکون</v>
      </c>
      <c r="G1319" s="1" t="str">
        <f>"عدد"</f>
        <v>عدد</v>
      </c>
      <c r="H1319" s="1">
        <v>90</v>
      </c>
      <c r="I1319" s="1">
        <v>9000000</v>
      </c>
      <c r="J1319" s="1">
        <v>0</v>
      </c>
      <c r="K1319" s="1">
        <v>0</v>
      </c>
      <c r="L1319" s="1">
        <v>90</v>
      </c>
      <c r="M1319" s="1">
        <v>9000000</v>
      </c>
      <c r="O1319" s="1">
        <v>97</v>
      </c>
      <c r="P1319" s="1">
        <f t="shared" si="60"/>
        <v>0</v>
      </c>
      <c r="Q1319" s="1">
        <f t="shared" si="61"/>
        <v>0</v>
      </c>
      <c r="R1319" s="1" t="e">
        <f t="shared" si="62"/>
        <v>#DIV/0!</v>
      </c>
    </row>
    <row r="1320" spans="1:18">
      <c r="A1320" s="1">
        <v>2</v>
      </c>
      <c r="B1320" s="1" t="str">
        <f>"قطعات و لوازم يدكي"</f>
        <v>قطعات و لوازم يدكي</v>
      </c>
      <c r="C1320" s="1">
        <v>205</v>
      </c>
      <c r="D1320" s="1" t="str">
        <f>"انبار قطعات و لوازم يدكي بندرعباس"</f>
        <v>انبار قطعات و لوازم يدكي بندرعباس</v>
      </c>
      <c r="E1320" s="1" t="str">
        <f>"1800000348"</f>
        <v>1800000348</v>
      </c>
      <c r="F1320" s="1" t="str">
        <f>"رديوسر 12-20"</f>
        <v>رديوسر 12-20</v>
      </c>
      <c r="G1320" s="1" t="str">
        <f>"عدد"</f>
        <v>عدد</v>
      </c>
      <c r="H1320" s="1">
        <v>2</v>
      </c>
      <c r="I1320" s="1">
        <v>10299162</v>
      </c>
      <c r="J1320" s="1">
        <v>0</v>
      </c>
      <c r="K1320" s="1">
        <v>0</v>
      </c>
      <c r="L1320" s="1">
        <v>0</v>
      </c>
      <c r="M1320" s="1">
        <v>0</v>
      </c>
      <c r="O1320" s="1">
        <v>97</v>
      </c>
      <c r="P1320" s="4">
        <f t="shared" si="60"/>
        <v>10299162</v>
      </c>
      <c r="Q1320" s="4">
        <f t="shared" si="61"/>
        <v>2</v>
      </c>
      <c r="R1320" s="4">
        <f t="shared" si="62"/>
        <v>5149581</v>
      </c>
    </row>
    <row r="1321" spans="1:18">
      <c r="A1321" s="1">
        <v>2</v>
      </c>
      <c r="B1321" s="1" t="str">
        <f>"قطعات و لوازم يدكي"</f>
        <v>قطعات و لوازم يدكي</v>
      </c>
      <c r="C1321" s="1">
        <v>205</v>
      </c>
      <c r="D1321" s="1" t="str">
        <f>"انبار قطعات و لوازم يدكي بندرعباس"</f>
        <v>انبار قطعات و لوازم يدكي بندرعباس</v>
      </c>
      <c r="E1321" s="1" t="str">
        <f>"1800000349"</f>
        <v>1800000349</v>
      </c>
      <c r="F1321" s="1" t="str">
        <f>"رديوسر 10-20"</f>
        <v>رديوسر 10-20</v>
      </c>
      <c r="G1321" s="1" t="str">
        <f>"عدد"</f>
        <v>عدد</v>
      </c>
      <c r="H1321" s="1">
        <v>1</v>
      </c>
      <c r="I1321" s="1">
        <v>4686079</v>
      </c>
      <c r="J1321" s="1">
        <v>0</v>
      </c>
      <c r="K1321" s="1">
        <v>0</v>
      </c>
      <c r="L1321" s="1">
        <v>0</v>
      </c>
      <c r="M1321" s="1">
        <v>0</v>
      </c>
      <c r="O1321" s="1">
        <v>97</v>
      </c>
      <c r="P1321" s="4">
        <f t="shared" si="60"/>
        <v>4686079</v>
      </c>
      <c r="Q1321" s="4">
        <f t="shared" si="61"/>
        <v>1</v>
      </c>
      <c r="R1321" s="4">
        <f t="shared" si="62"/>
        <v>4686079</v>
      </c>
    </row>
    <row r="1322" spans="1:18">
      <c r="A1322" s="1">
        <v>2</v>
      </c>
      <c r="B1322" s="1" t="str">
        <f>"قطعات و لوازم يدكي"</f>
        <v>قطعات و لوازم يدكي</v>
      </c>
      <c r="C1322" s="1">
        <v>205</v>
      </c>
      <c r="D1322" s="1" t="str">
        <f>"انبار قطعات و لوازم يدكي بندرعباس"</f>
        <v>انبار قطعات و لوازم يدكي بندرعباس</v>
      </c>
      <c r="E1322" s="1" t="str">
        <f>"1800000351"</f>
        <v>1800000351</v>
      </c>
      <c r="F1322" s="1" t="str">
        <f>"رديوسر گلند 32-25"</f>
        <v>رديوسر گلند 32-25</v>
      </c>
      <c r="G1322" s="1" t="str">
        <f>"عدد"</f>
        <v>عدد</v>
      </c>
      <c r="H1322" s="1">
        <v>2</v>
      </c>
      <c r="I1322" s="1">
        <v>500000</v>
      </c>
      <c r="J1322" s="1">
        <v>0</v>
      </c>
      <c r="K1322" s="1">
        <v>0</v>
      </c>
      <c r="L1322" s="1">
        <v>0</v>
      </c>
      <c r="M1322" s="1">
        <v>0</v>
      </c>
      <c r="O1322" s="1">
        <v>97</v>
      </c>
      <c r="P1322" s="4">
        <f t="shared" si="60"/>
        <v>500000</v>
      </c>
      <c r="Q1322" s="4">
        <f t="shared" si="61"/>
        <v>2</v>
      </c>
      <c r="R1322" s="4">
        <f t="shared" si="62"/>
        <v>250000</v>
      </c>
    </row>
    <row r="1323" spans="1:18">
      <c r="A1323" s="1">
        <v>2</v>
      </c>
      <c r="B1323" s="1" t="str">
        <f>"قطعات و لوازم يدكي"</f>
        <v>قطعات و لوازم يدكي</v>
      </c>
      <c r="C1323" s="1">
        <v>205</v>
      </c>
      <c r="D1323" s="1" t="str">
        <f>"انبار قطعات و لوازم يدكي بندرعباس"</f>
        <v>انبار قطعات و لوازم يدكي بندرعباس</v>
      </c>
      <c r="E1323" s="1" t="str">
        <f>"1800000352"</f>
        <v>1800000352</v>
      </c>
      <c r="F1323" s="1" t="str">
        <f>"رديوسر گلند برق 50-40"</f>
        <v>رديوسر گلند برق 50-40</v>
      </c>
      <c r="G1323" s="1" t="str">
        <f>"عدد"</f>
        <v>عدد</v>
      </c>
      <c r="H1323" s="1">
        <v>2</v>
      </c>
      <c r="I1323" s="1">
        <v>560000</v>
      </c>
      <c r="J1323" s="1">
        <v>0</v>
      </c>
      <c r="K1323" s="1">
        <v>0</v>
      </c>
      <c r="L1323" s="1">
        <v>0</v>
      </c>
      <c r="M1323" s="1">
        <v>0</v>
      </c>
      <c r="O1323" s="1">
        <v>97</v>
      </c>
      <c r="P1323" s="4">
        <f t="shared" si="60"/>
        <v>560000</v>
      </c>
      <c r="Q1323" s="4">
        <f t="shared" si="61"/>
        <v>2</v>
      </c>
      <c r="R1323" s="4">
        <f t="shared" si="62"/>
        <v>280000</v>
      </c>
    </row>
    <row r="1324" spans="1:18">
      <c r="A1324" s="1">
        <v>2</v>
      </c>
      <c r="B1324" s="1" t="str">
        <f>"قطعات و لوازم يدكي"</f>
        <v>قطعات و لوازم يدكي</v>
      </c>
      <c r="C1324" s="1">
        <v>205</v>
      </c>
      <c r="D1324" s="1" t="str">
        <f>"انبار قطعات و لوازم يدكي بندرعباس"</f>
        <v>انبار قطعات و لوازم يدكي بندرعباس</v>
      </c>
      <c r="E1324" s="1" t="str">
        <f>"1800000353"</f>
        <v>1800000353</v>
      </c>
      <c r="F1324" s="1" t="str">
        <f>"رگلاتور فشار قوي پرس"</f>
        <v>رگلاتور فشار قوي پرس</v>
      </c>
      <c r="G1324" s="1" t="str">
        <f>"عدد"</f>
        <v>عدد</v>
      </c>
      <c r="H1324" s="1">
        <v>2</v>
      </c>
      <c r="I1324" s="1">
        <v>3000000</v>
      </c>
      <c r="J1324" s="1">
        <v>15</v>
      </c>
      <c r="K1324" s="1">
        <v>4250000</v>
      </c>
      <c r="L1324" s="1">
        <v>7</v>
      </c>
      <c r="M1324" s="1">
        <v>4416666</v>
      </c>
      <c r="O1324" s="1">
        <v>97</v>
      </c>
      <c r="P1324" s="4">
        <f t="shared" si="60"/>
        <v>2833334</v>
      </c>
      <c r="Q1324" s="4">
        <f t="shared" si="61"/>
        <v>10</v>
      </c>
      <c r="R1324" s="4">
        <f t="shared" si="62"/>
        <v>283333.40000000002</v>
      </c>
    </row>
    <row r="1325" spans="1:18" hidden="1">
      <c r="A1325" s="1">
        <v>2</v>
      </c>
      <c r="B1325" s="1" t="str">
        <f>"قطعات و لوازم يدكي"</f>
        <v>قطعات و لوازم يدكي</v>
      </c>
      <c r="C1325" s="1">
        <v>205</v>
      </c>
      <c r="D1325" s="1" t="str">
        <f>"انبار قطعات و لوازم يدكي بندرعباس"</f>
        <v>انبار قطعات و لوازم يدكي بندرعباس</v>
      </c>
      <c r="E1325" s="1" t="str">
        <f>"1800000355"</f>
        <v>1800000355</v>
      </c>
      <c r="F1325" s="1" t="str">
        <f>"رله بيمتال هيوندا 12-18"</f>
        <v>رله بيمتال هيوندا 12-18</v>
      </c>
      <c r="G1325" s="1" t="str">
        <f>"عدد"</f>
        <v>عدد</v>
      </c>
      <c r="H1325" s="1">
        <v>2</v>
      </c>
      <c r="I1325" s="1">
        <v>700000</v>
      </c>
      <c r="J1325" s="1">
        <v>0</v>
      </c>
      <c r="K1325" s="1">
        <v>0</v>
      </c>
      <c r="L1325" s="1">
        <v>2</v>
      </c>
      <c r="M1325" s="1">
        <v>700000</v>
      </c>
      <c r="O1325" s="1">
        <v>97</v>
      </c>
      <c r="P1325" s="1">
        <f t="shared" si="60"/>
        <v>0</v>
      </c>
      <c r="Q1325" s="1">
        <f t="shared" si="61"/>
        <v>0</v>
      </c>
      <c r="R1325" s="1" t="e">
        <f t="shared" si="62"/>
        <v>#DIV/0!</v>
      </c>
    </row>
    <row r="1326" spans="1:18">
      <c r="A1326" s="1">
        <v>2</v>
      </c>
      <c r="B1326" s="1" t="str">
        <f>"قطعات و لوازم يدكي"</f>
        <v>قطعات و لوازم يدكي</v>
      </c>
      <c r="C1326" s="1">
        <v>205</v>
      </c>
      <c r="D1326" s="1" t="str">
        <f>"انبار قطعات و لوازم يدكي بندرعباس"</f>
        <v>انبار قطعات و لوازم يدكي بندرعباس</v>
      </c>
      <c r="E1326" s="1" t="str">
        <f>"1800000364"</f>
        <v>1800000364</v>
      </c>
      <c r="F1326" s="1" t="str">
        <f>"روغن لحيم"</f>
        <v>روغن لحيم</v>
      </c>
      <c r="G1326" s="1" t="str">
        <f>"عدد"</f>
        <v>عدد</v>
      </c>
      <c r="H1326" s="1">
        <v>1</v>
      </c>
      <c r="I1326" s="1">
        <v>500000</v>
      </c>
      <c r="J1326" s="1">
        <v>0</v>
      </c>
      <c r="K1326" s="1">
        <v>0</v>
      </c>
      <c r="L1326" s="1">
        <v>0</v>
      </c>
      <c r="M1326" s="1">
        <v>0</v>
      </c>
      <c r="O1326" s="1">
        <v>97</v>
      </c>
      <c r="P1326" s="4">
        <f t="shared" si="60"/>
        <v>500000</v>
      </c>
      <c r="Q1326" s="4">
        <f t="shared" si="61"/>
        <v>1</v>
      </c>
      <c r="R1326" s="4">
        <f t="shared" si="62"/>
        <v>500000</v>
      </c>
    </row>
    <row r="1327" spans="1:18">
      <c r="A1327" s="1">
        <v>2</v>
      </c>
      <c r="B1327" s="1" t="str">
        <f>"قطعات و لوازم يدكي"</f>
        <v>قطعات و لوازم يدكي</v>
      </c>
      <c r="C1327" s="1">
        <v>205</v>
      </c>
      <c r="D1327" s="1" t="str">
        <f>"انبار قطعات و لوازم يدكي بندرعباس"</f>
        <v>انبار قطعات و لوازم يدكي بندرعباس</v>
      </c>
      <c r="E1327" s="1" t="str">
        <f>"1800000371"</f>
        <v>1800000371</v>
      </c>
      <c r="F1327" s="1" t="str">
        <f>"رول بولت 20-16"</f>
        <v>رول بولت 20-16</v>
      </c>
      <c r="G1327" s="1" t="str">
        <f>"عدد"</f>
        <v>عدد</v>
      </c>
      <c r="H1327" s="1">
        <v>23</v>
      </c>
      <c r="I1327" s="1">
        <v>2300000</v>
      </c>
      <c r="J1327" s="1">
        <v>0</v>
      </c>
      <c r="K1327" s="1">
        <v>0</v>
      </c>
      <c r="L1327" s="1">
        <v>13</v>
      </c>
      <c r="M1327" s="1">
        <v>1300000</v>
      </c>
      <c r="O1327" s="1">
        <v>97</v>
      </c>
      <c r="P1327" s="4">
        <f t="shared" si="60"/>
        <v>1000000</v>
      </c>
      <c r="Q1327" s="4">
        <f t="shared" si="61"/>
        <v>10</v>
      </c>
      <c r="R1327" s="4">
        <f t="shared" si="62"/>
        <v>100000</v>
      </c>
    </row>
    <row r="1328" spans="1:18">
      <c r="A1328" s="1">
        <v>2</v>
      </c>
      <c r="B1328" s="1" t="str">
        <f>"قطعات و لوازم يدكي"</f>
        <v>قطعات و لوازم يدكي</v>
      </c>
      <c r="C1328" s="1">
        <v>205</v>
      </c>
      <c r="D1328" s="1" t="str">
        <f>"انبار قطعات و لوازم يدكي بندرعباس"</f>
        <v>انبار قطعات و لوازم يدكي بندرعباس</v>
      </c>
      <c r="E1328" s="1" t="str">
        <f>"1800000377"</f>
        <v>1800000377</v>
      </c>
      <c r="F1328" s="1" t="str">
        <f>"ولدولت 1-10"</f>
        <v>ولدولت 1-10</v>
      </c>
      <c r="G1328" s="1" t="str">
        <f>"عدد"</f>
        <v>عدد</v>
      </c>
      <c r="H1328" s="1">
        <v>6</v>
      </c>
      <c r="I1328" s="1">
        <v>615996</v>
      </c>
      <c r="J1328" s="1">
        <v>0</v>
      </c>
      <c r="K1328" s="1">
        <v>0</v>
      </c>
      <c r="L1328" s="1">
        <v>1</v>
      </c>
      <c r="M1328" s="1">
        <v>102666</v>
      </c>
      <c r="O1328" s="1">
        <v>97</v>
      </c>
      <c r="P1328" s="4">
        <f t="shared" si="60"/>
        <v>513330</v>
      </c>
      <c r="Q1328" s="4">
        <f t="shared" si="61"/>
        <v>5</v>
      </c>
      <c r="R1328" s="4">
        <f t="shared" si="62"/>
        <v>102666</v>
      </c>
    </row>
    <row r="1329" spans="1:18">
      <c r="A1329" s="1">
        <v>2</v>
      </c>
      <c r="B1329" s="1" t="str">
        <f>"قطعات و لوازم يدكي"</f>
        <v>قطعات و لوازم يدكي</v>
      </c>
      <c r="C1329" s="1">
        <v>205</v>
      </c>
      <c r="D1329" s="1" t="str">
        <f>"انبار قطعات و لوازم يدكي بندرعباس"</f>
        <v>انبار قطعات و لوازم يدكي بندرعباس</v>
      </c>
      <c r="E1329" s="1" t="str">
        <f>"1800000383"</f>
        <v>1800000383</v>
      </c>
      <c r="F1329" s="1" t="str">
        <f>"زانو پلي اتيلن 2"</f>
        <v>زانو پلي اتيلن 2</v>
      </c>
      <c r="G1329" s="1" t="str">
        <f>"عدد"</f>
        <v>عدد</v>
      </c>
      <c r="H1329" s="1">
        <v>7</v>
      </c>
      <c r="I1329" s="1">
        <v>490000</v>
      </c>
      <c r="J1329" s="1">
        <v>0</v>
      </c>
      <c r="K1329" s="1">
        <v>0</v>
      </c>
      <c r="L1329" s="1">
        <v>1</v>
      </c>
      <c r="M1329" s="1">
        <v>70000</v>
      </c>
      <c r="O1329" s="1">
        <v>97</v>
      </c>
      <c r="P1329" s="4">
        <f t="shared" si="60"/>
        <v>420000</v>
      </c>
      <c r="Q1329" s="4">
        <f t="shared" si="61"/>
        <v>6</v>
      </c>
      <c r="R1329" s="4">
        <f t="shared" si="62"/>
        <v>70000</v>
      </c>
    </row>
    <row r="1330" spans="1:18">
      <c r="A1330" s="1">
        <v>2</v>
      </c>
      <c r="B1330" s="1" t="str">
        <f>"قطعات و لوازم يدكي"</f>
        <v>قطعات و لوازم يدكي</v>
      </c>
      <c r="C1330" s="1">
        <v>205</v>
      </c>
      <c r="D1330" s="1" t="str">
        <f>"انبار قطعات و لوازم يدكي بندرعباس"</f>
        <v>انبار قطعات و لوازم يدكي بندرعباس</v>
      </c>
      <c r="E1330" s="1" t="str">
        <f>"1800000385"</f>
        <v>1800000385</v>
      </c>
      <c r="F1330" s="1" t="str">
        <f>"زانو سفيد آب 20"</f>
        <v>زانو سفيد آب 20</v>
      </c>
      <c r="G1330" s="1" t="str">
        <f>"عدد"</f>
        <v>عدد</v>
      </c>
      <c r="H1330" s="1">
        <v>5</v>
      </c>
      <c r="I1330" s="1">
        <v>100000</v>
      </c>
      <c r="J1330" s="1">
        <v>0</v>
      </c>
      <c r="K1330" s="1">
        <v>0</v>
      </c>
      <c r="L1330" s="1">
        <v>3</v>
      </c>
      <c r="M1330" s="1">
        <v>60000</v>
      </c>
      <c r="O1330" s="1">
        <v>97</v>
      </c>
      <c r="P1330" s="4">
        <f t="shared" si="60"/>
        <v>40000</v>
      </c>
      <c r="Q1330" s="4">
        <f t="shared" si="61"/>
        <v>2</v>
      </c>
      <c r="R1330" s="4">
        <f t="shared" si="62"/>
        <v>20000</v>
      </c>
    </row>
    <row r="1331" spans="1:18">
      <c r="A1331" s="1">
        <v>2</v>
      </c>
      <c r="B1331" s="1" t="str">
        <f>"قطعات و لوازم يدكي"</f>
        <v>قطعات و لوازم يدكي</v>
      </c>
      <c r="C1331" s="1">
        <v>205</v>
      </c>
      <c r="D1331" s="1" t="str">
        <f>"انبار قطعات و لوازم يدكي بندرعباس"</f>
        <v>انبار قطعات و لوازم يدكي بندرعباس</v>
      </c>
      <c r="E1331" s="1" t="str">
        <f>"1800000389"</f>
        <v>1800000389</v>
      </c>
      <c r="F1331" s="1" t="str">
        <f>"زانويي pvc 90*90"</f>
        <v>زانويي pvc 90*90</v>
      </c>
      <c r="G1331" s="1" t="str">
        <f>"عدد"</f>
        <v>عدد</v>
      </c>
      <c r="H1331" s="1">
        <v>5</v>
      </c>
      <c r="I1331" s="1">
        <v>500000</v>
      </c>
      <c r="J1331" s="1">
        <v>0</v>
      </c>
      <c r="K1331" s="1">
        <v>0</v>
      </c>
      <c r="L1331" s="1">
        <v>0</v>
      </c>
      <c r="M1331" s="1">
        <v>0</v>
      </c>
      <c r="O1331" s="1">
        <v>97</v>
      </c>
      <c r="P1331" s="4">
        <f t="shared" si="60"/>
        <v>500000</v>
      </c>
      <c r="Q1331" s="4">
        <f t="shared" si="61"/>
        <v>5</v>
      </c>
      <c r="R1331" s="4">
        <f t="shared" si="62"/>
        <v>100000</v>
      </c>
    </row>
    <row r="1332" spans="1:18">
      <c r="A1332" s="1">
        <v>2</v>
      </c>
      <c r="B1332" s="1" t="str">
        <f>"قطعات و لوازم يدكي"</f>
        <v>قطعات و لوازم يدكي</v>
      </c>
      <c r="C1332" s="1">
        <v>205</v>
      </c>
      <c r="D1332" s="1" t="str">
        <f>"انبار قطعات و لوازم يدكي بندرعباس"</f>
        <v>انبار قطعات و لوازم يدكي بندرعباس</v>
      </c>
      <c r="E1332" s="1" t="str">
        <f>"1800000423"</f>
        <v>1800000423</v>
      </c>
      <c r="F1332" s="1" t="str">
        <f>"سيم نسوز"</f>
        <v>سيم نسوز</v>
      </c>
      <c r="G1332" s="1" t="str">
        <f>"متر"</f>
        <v>متر</v>
      </c>
      <c r="H1332" s="1">
        <v>100</v>
      </c>
      <c r="I1332" s="1">
        <v>15000000</v>
      </c>
      <c r="J1332" s="1">
        <v>0</v>
      </c>
      <c r="K1332" s="1">
        <v>0</v>
      </c>
      <c r="L1332" s="1">
        <v>0</v>
      </c>
      <c r="M1332" s="1">
        <v>0</v>
      </c>
      <c r="O1332" s="1">
        <v>97</v>
      </c>
      <c r="P1332" s="4">
        <f t="shared" si="60"/>
        <v>15000000</v>
      </c>
      <c r="Q1332" s="4">
        <f t="shared" si="61"/>
        <v>100</v>
      </c>
      <c r="R1332" s="4">
        <f t="shared" si="62"/>
        <v>150000</v>
      </c>
    </row>
    <row r="1333" spans="1:18" hidden="1">
      <c r="A1333" s="1">
        <v>2</v>
      </c>
      <c r="B1333" s="1" t="str">
        <f>"قطعات و لوازم يدكي"</f>
        <v>قطعات و لوازم يدكي</v>
      </c>
      <c r="C1333" s="1">
        <v>205</v>
      </c>
      <c r="D1333" s="1" t="str">
        <f>"انبار قطعات و لوازم يدكي بندرعباس"</f>
        <v>انبار قطعات و لوازم يدكي بندرعباس</v>
      </c>
      <c r="E1333" s="1" t="str">
        <f>"1800000441"</f>
        <v>1800000441</v>
      </c>
      <c r="F1333" s="1" t="str">
        <f>"شير پيس ولو"</f>
        <v>شير پيس ولو</v>
      </c>
      <c r="G1333" s="1" t="str">
        <f>"عدد"</f>
        <v>عدد</v>
      </c>
      <c r="H1333" s="1">
        <v>1</v>
      </c>
      <c r="I1333" s="1">
        <v>150000</v>
      </c>
      <c r="J1333" s="1">
        <v>0</v>
      </c>
      <c r="K1333" s="1">
        <v>0</v>
      </c>
      <c r="L1333" s="1">
        <v>1</v>
      </c>
      <c r="M1333" s="1">
        <v>150000</v>
      </c>
      <c r="O1333" s="1">
        <v>97</v>
      </c>
      <c r="P1333" s="1">
        <f t="shared" si="60"/>
        <v>0</v>
      </c>
      <c r="Q1333" s="1">
        <f t="shared" si="61"/>
        <v>0</v>
      </c>
      <c r="R1333" s="1" t="e">
        <f t="shared" si="62"/>
        <v>#DIV/0!</v>
      </c>
    </row>
    <row r="1334" spans="1:18">
      <c r="A1334" s="1">
        <v>2</v>
      </c>
      <c r="B1334" s="1" t="str">
        <f>"قطعات و لوازم يدكي"</f>
        <v>قطعات و لوازم يدكي</v>
      </c>
      <c r="C1334" s="1">
        <v>205</v>
      </c>
      <c r="D1334" s="1" t="str">
        <f>"انبار قطعات و لوازم يدكي بندرعباس"</f>
        <v>انبار قطعات و لوازم يدكي بندرعباس</v>
      </c>
      <c r="E1334" s="1" t="str">
        <f>"1800000453"</f>
        <v>1800000453</v>
      </c>
      <c r="F1334" s="1" t="str">
        <f>"شيلنگ هوا برش"</f>
        <v>شيلنگ هوا برش</v>
      </c>
      <c r="G1334" s="1" t="str">
        <f>"متر"</f>
        <v>متر</v>
      </c>
      <c r="H1334" s="1">
        <v>14</v>
      </c>
      <c r="I1334" s="1">
        <v>700000</v>
      </c>
      <c r="J1334" s="1">
        <v>0</v>
      </c>
      <c r="K1334" s="1">
        <v>0</v>
      </c>
      <c r="L1334" s="1">
        <v>0</v>
      </c>
      <c r="M1334" s="1">
        <v>0</v>
      </c>
      <c r="O1334" s="1">
        <v>97</v>
      </c>
      <c r="P1334" s="4">
        <f t="shared" si="60"/>
        <v>700000</v>
      </c>
      <c r="Q1334" s="4">
        <f t="shared" si="61"/>
        <v>14</v>
      </c>
      <c r="R1334" s="4">
        <f t="shared" si="62"/>
        <v>50000</v>
      </c>
    </row>
    <row r="1335" spans="1:18">
      <c r="A1335" s="1">
        <v>2</v>
      </c>
      <c r="B1335" s="1" t="str">
        <f>"قطعات و لوازم يدكي"</f>
        <v>قطعات و لوازم يدكي</v>
      </c>
      <c r="C1335" s="1">
        <v>205</v>
      </c>
      <c r="D1335" s="1" t="str">
        <f>"انبار قطعات و لوازم يدكي بندرعباس"</f>
        <v>انبار قطعات و لوازم يدكي بندرعباس</v>
      </c>
      <c r="E1335" s="1" t="str">
        <f>"1800000460"</f>
        <v>1800000460</v>
      </c>
      <c r="F1335" s="1" t="str">
        <f>"فاشت پلاستيکي 20*2/5"</f>
        <v>فاشت پلاستيکي 20*2/5</v>
      </c>
      <c r="G1335" s="1" t="str">
        <f>"عدد"</f>
        <v>عدد</v>
      </c>
      <c r="H1335" s="1">
        <v>100</v>
      </c>
      <c r="I1335" s="1">
        <v>150000</v>
      </c>
      <c r="J1335" s="1">
        <v>0</v>
      </c>
      <c r="K1335" s="1">
        <v>0</v>
      </c>
      <c r="L1335" s="1">
        <v>20</v>
      </c>
      <c r="M1335" s="1">
        <v>30000</v>
      </c>
      <c r="O1335" s="1">
        <v>97</v>
      </c>
      <c r="P1335" s="4">
        <f t="shared" si="60"/>
        <v>120000</v>
      </c>
      <c r="Q1335" s="4">
        <f t="shared" si="61"/>
        <v>80</v>
      </c>
      <c r="R1335" s="4">
        <f t="shared" si="62"/>
        <v>1500</v>
      </c>
    </row>
    <row r="1336" spans="1:18">
      <c r="A1336" s="1">
        <v>2</v>
      </c>
      <c r="B1336" s="1" t="str">
        <f>"قطعات و لوازم يدكي"</f>
        <v>قطعات و لوازم يدكي</v>
      </c>
      <c r="C1336" s="1">
        <v>205</v>
      </c>
      <c r="D1336" s="1" t="str">
        <f>"انبار قطعات و لوازم يدكي بندرعباس"</f>
        <v>انبار قطعات و لوازم يدكي بندرعباس</v>
      </c>
      <c r="E1336" s="1" t="str">
        <f>"1800000480"</f>
        <v>1800000480</v>
      </c>
      <c r="F1336" s="1" t="str">
        <f>"فيلتر گازوئيل بويلر"</f>
        <v>فيلتر گازوئيل بويلر</v>
      </c>
      <c r="G1336" s="1" t="str">
        <f>"عدد"</f>
        <v>عدد</v>
      </c>
      <c r="H1336" s="1">
        <v>32</v>
      </c>
      <c r="I1336" s="1">
        <v>16000000</v>
      </c>
      <c r="J1336" s="1">
        <v>40</v>
      </c>
      <c r="K1336" s="1">
        <v>1000000</v>
      </c>
      <c r="L1336" s="1">
        <v>40</v>
      </c>
      <c r="M1336" s="1">
        <v>9444444</v>
      </c>
      <c r="O1336" s="1">
        <v>97</v>
      </c>
      <c r="P1336" s="4">
        <f t="shared" si="60"/>
        <v>7555556</v>
      </c>
      <c r="Q1336" s="4">
        <f t="shared" si="61"/>
        <v>32</v>
      </c>
      <c r="R1336" s="4">
        <f t="shared" si="62"/>
        <v>236111.125</v>
      </c>
    </row>
    <row r="1337" spans="1:18">
      <c r="A1337" s="1">
        <v>2</v>
      </c>
      <c r="B1337" s="1" t="str">
        <f>"قطعات و لوازم يدكي"</f>
        <v>قطعات و لوازم يدكي</v>
      </c>
      <c r="C1337" s="1">
        <v>205</v>
      </c>
      <c r="D1337" s="1" t="str">
        <f>"انبار قطعات و لوازم يدكي بندرعباس"</f>
        <v>انبار قطعات و لوازم يدكي بندرعباس</v>
      </c>
      <c r="E1337" s="1" t="str">
        <f>"1800000486"</f>
        <v>1800000486</v>
      </c>
      <c r="F1337" s="1" t="str">
        <f>"فيوز سه فاز 40"</f>
        <v>فيوز سه فاز 40</v>
      </c>
      <c r="G1337" s="1" t="str">
        <f>"عدد"</f>
        <v>عدد</v>
      </c>
      <c r="H1337" s="1">
        <v>1</v>
      </c>
      <c r="I1337" s="1">
        <v>1000000</v>
      </c>
      <c r="J1337" s="1">
        <v>0</v>
      </c>
      <c r="K1337" s="1">
        <v>0</v>
      </c>
      <c r="L1337" s="1">
        <v>0</v>
      </c>
      <c r="M1337" s="1">
        <v>0</v>
      </c>
      <c r="O1337" s="1">
        <v>97</v>
      </c>
      <c r="P1337" s="4">
        <f t="shared" si="60"/>
        <v>1000000</v>
      </c>
      <c r="Q1337" s="4">
        <f t="shared" si="61"/>
        <v>1</v>
      </c>
      <c r="R1337" s="4">
        <f t="shared" si="62"/>
        <v>1000000</v>
      </c>
    </row>
    <row r="1338" spans="1:18">
      <c r="A1338" s="1">
        <v>2</v>
      </c>
      <c r="B1338" s="1" t="str">
        <f>"قطعات و لوازم يدكي"</f>
        <v>قطعات و لوازم يدكي</v>
      </c>
      <c r="C1338" s="1">
        <v>205</v>
      </c>
      <c r="D1338" s="1" t="str">
        <f>"انبار قطعات و لوازم يدكي بندرعباس"</f>
        <v>انبار قطعات و لوازم يدكي بندرعباس</v>
      </c>
      <c r="E1338" s="1" t="str">
        <f>"1800000489"</f>
        <v>1800000489</v>
      </c>
      <c r="F1338" s="1" t="str">
        <f>"فيوز مينياتور تکفاز 6"</f>
        <v>فيوز مينياتور تکفاز 6</v>
      </c>
      <c r="G1338" s="1" t="str">
        <f>"عدد"</f>
        <v>عدد</v>
      </c>
      <c r="H1338" s="1">
        <v>12</v>
      </c>
      <c r="I1338" s="1">
        <v>3000000</v>
      </c>
      <c r="J1338" s="1">
        <v>0</v>
      </c>
      <c r="K1338" s="1">
        <v>0</v>
      </c>
      <c r="L1338" s="1">
        <v>7</v>
      </c>
      <c r="M1338" s="1">
        <v>1750000</v>
      </c>
      <c r="O1338" s="1">
        <v>97</v>
      </c>
      <c r="P1338" s="4">
        <f t="shared" si="60"/>
        <v>1250000</v>
      </c>
      <c r="Q1338" s="4">
        <f t="shared" si="61"/>
        <v>5</v>
      </c>
      <c r="R1338" s="4">
        <f t="shared" si="62"/>
        <v>250000</v>
      </c>
    </row>
    <row r="1339" spans="1:18">
      <c r="A1339" s="1">
        <v>2</v>
      </c>
      <c r="B1339" s="1" t="str">
        <f>"قطعات و لوازم يدكي"</f>
        <v>قطعات و لوازم يدكي</v>
      </c>
      <c r="C1339" s="1">
        <v>205</v>
      </c>
      <c r="D1339" s="1" t="str">
        <f>"انبار قطعات و لوازم يدكي بندرعباس"</f>
        <v>انبار قطعات و لوازم يدكي بندرعباس</v>
      </c>
      <c r="E1339" s="1" t="str">
        <f>"1800000491"</f>
        <v>1800000491</v>
      </c>
      <c r="F1339" s="1" t="str">
        <f>"فيوز مينياتور دوپل"</f>
        <v>فيوز مينياتور دوپل</v>
      </c>
      <c r="G1339" s="1" t="str">
        <f>"عدد"</f>
        <v>عدد</v>
      </c>
      <c r="H1339" s="1">
        <v>12</v>
      </c>
      <c r="I1339" s="1">
        <v>9600000</v>
      </c>
      <c r="J1339" s="1">
        <v>0</v>
      </c>
      <c r="K1339" s="1">
        <v>0</v>
      </c>
      <c r="L1339" s="1">
        <v>0</v>
      </c>
      <c r="M1339" s="1">
        <v>0</v>
      </c>
      <c r="O1339" s="1">
        <v>97</v>
      </c>
      <c r="P1339" s="4">
        <f t="shared" si="60"/>
        <v>9600000</v>
      </c>
      <c r="Q1339" s="4">
        <f t="shared" si="61"/>
        <v>12</v>
      </c>
      <c r="R1339" s="4">
        <f t="shared" si="62"/>
        <v>800000</v>
      </c>
    </row>
    <row r="1340" spans="1:18" hidden="1">
      <c r="A1340" s="1">
        <v>2</v>
      </c>
      <c r="B1340" s="1" t="str">
        <f>"قطعات و لوازم يدكي"</f>
        <v>قطعات و لوازم يدكي</v>
      </c>
      <c r="C1340" s="1">
        <v>205</v>
      </c>
      <c r="D1340" s="1" t="str">
        <f>"انبار قطعات و لوازم يدكي بندرعباس"</f>
        <v>انبار قطعات و لوازم يدكي بندرعباس</v>
      </c>
      <c r="E1340" s="1" t="str">
        <f>"1800000495"</f>
        <v>1800000495</v>
      </c>
      <c r="F1340" s="1" t="str">
        <f>"فيوز مينياتور سه فاز 50"</f>
        <v>فيوز مينياتور سه فاز 50</v>
      </c>
      <c r="G1340" s="1" t="str">
        <f>"عدد"</f>
        <v>عدد</v>
      </c>
      <c r="H1340" s="1">
        <v>1</v>
      </c>
      <c r="I1340" s="1">
        <v>1200000</v>
      </c>
      <c r="J1340" s="1">
        <v>0</v>
      </c>
      <c r="K1340" s="1">
        <v>0</v>
      </c>
      <c r="L1340" s="1">
        <v>1</v>
      </c>
      <c r="M1340" s="1">
        <v>1200000</v>
      </c>
      <c r="O1340" s="1">
        <v>97</v>
      </c>
      <c r="P1340" s="1">
        <f t="shared" si="60"/>
        <v>0</v>
      </c>
      <c r="Q1340" s="1">
        <f t="shared" si="61"/>
        <v>0</v>
      </c>
      <c r="R1340" s="1" t="e">
        <f t="shared" si="62"/>
        <v>#DIV/0!</v>
      </c>
    </row>
    <row r="1341" spans="1:18" hidden="1">
      <c r="A1341" s="1">
        <v>2</v>
      </c>
      <c r="B1341" s="1" t="str">
        <f>"قطعات و لوازم يدكي"</f>
        <v>قطعات و لوازم يدكي</v>
      </c>
      <c r="C1341" s="1">
        <v>205</v>
      </c>
      <c r="D1341" s="1" t="str">
        <f>"انبار قطعات و لوازم يدكي بندرعباس"</f>
        <v>انبار قطعات و لوازم يدكي بندرعباس</v>
      </c>
      <c r="E1341" s="1" t="str">
        <f>"1800000505"</f>
        <v>1800000505</v>
      </c>
      <c r="F1341" s="1" t="str">
        <f>"کابل 40*3"</f>
        <v>کابل 40*3</v>
      </c>
      <c r="G1341" s="1" t="str">
        <f>"متر"</f>
        <v>متر</v>
      </c>
      <c r="H1341" s="1">
        <v>18</v>
      </c>
      <c r="I1341" s="1">
        <v>12600000</v>
      </c>
      <c r="J1341" s="1">
        <v>0</v>
      </c>
      <c r="K1341" s="1">
        <v>0</v>
      </c>
      <c r="L1341" s="1">
        <v>18</v>
      </c>
      <c r="M1341" s="1">
        <v>12600000</v>
      </c>
      <c r="O1341" s="1">
        <v>97</v>
      </c>
      <c r="P1341" s="1">
        <f t="shared" si="60"/>
        <v>0</v>
      </c>
      <c r="Q1341" s="1">
        <f t="shared" si="61"/>
        <v>0</v>
      </c>
      <c r="R1341" s="1" t="e">
        <f t="shared" si="62"/>
        <v>#DIV/0!</v>
      </c>
    </row>
    <row r="1342" spans="1:18">
      <c r="A1342" s="1">
        <v>2</v>
      </c>
      <c r="B1342" s="1" t="str">
        <f>"قطعات و لوازم يدكي"</f>
        <v>قطعات و لوازم يدكي</v>
      </c>
      <c r="C1342" s="1">
        <v>205</v>
      </c>
      <c r="D1342" s="1" t="str">
        <f>"انبار قطعات و لوازم يدكي بندرعباس"</f>
        <v>انبار قطعات و لوازم يدكي بندرعباس</v>
      </c>
      <c r="E1342" s="1" t="str">
        <f>"1800000508"</f>
        <v>1800000508</v>
      </c>
      <c r="F1342" s="1" t="str">
        <f>"کابل افشان 3*1.5"</f>
        <v>کابل افشان 3*1.5</v>
      </c>
      <c r="G1342" s="1" t="str">
        <f>"متر"</f>
        <v>متر</v>
      </c>
      <c r="H1342" s="1">
        <v>250</v>
      </c>
      <c r="I1342" s="1">
        <v>625000000</v>
      </c>
      <c r="J1342" s="1">
        <v>0</v>
      </c>
      <c r="K1342" s="1">
        <v>0</v>
      </c>
      <c r="L1342" s="1">
        <v>0</v>
      </c>
      <c r="M1342" s="1">
        <v>0</v>
      </c>
      <c r="O1342" s="1">
        <v>97</v>
      </c>
      <c r="P1342" s="4">
        <f t="shared" si="60"/>
        <v>625000000</v>
      </c>
      <c r="Q1342" s="4">
        <f t="shared" si="61"/>
        <v>250</v>
      </c>
      <c r="R1342" s="4">
        <f t="shared" si="62"/>
        <v>2500000</v>
      </c>
    </row>
    <row r="1343" spans="1:18" hidden="1">
      <c r="A1343" s="1">
        <v>2</v>
      </c>
      <c r="B1343" s="1" t="str">
        <f>"قطعات و لوازم يدكي"</f>
        <v>قطعات و لوازم يدكي</v>
      </c>
      <c r="C1343" s="1">
        <v>205</v>
      </c>
      <c r="D1343" s="1" t="str">
        <f>"انبار قطعات و لوازم يدكي بندرعباس"</f>
        <v>انبار قطعات و لوازم يدكي بندرعباس</v>
      </c>
      <c r="E1343" s="1" t="str">
        <f>"1800000513"</f>
        <v>1800000513</v>
      </c>
      <c r="F1343" s="1" t="str">
        <f>"کابلشو فلزي 50*10"</f>
        <v>کابلشو فلزي 50*10</v>
      </c>
      <c r="G1343" s="1" t="str">
        <f>"عدد"</f>
        <v>عدد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O1343" s="1">
        <v>97</v>
      </c>
      <c r="P1343" s="1">
        <f t="shared" si="60"/>
        <v>0</v>
      </c>
      <c r="Q1343" s="1">
        <f t="shared" si="61"/>
        <v>0</v>
      </c>
      <c r="R1343" s="1" t="e">
        <f t="shared" si="62"/>
        <v>#DIV/0!</v>
      </c>
    </row>
    <row r="1344" spans="1:18">
      <c r="A1344" s="1">
        <v>2</v>
      </c>
      <c r="B1344" s="1" t="str">
        <f>"قطعات و لوازم يدكي"</f>
        <v>قطعات و لوازم يدكي</v>
      </c>
      <c r="C1344" s="1">
        <v>205</v>
      </c>
      <c r="D1344" s="1" t="str">
        <f>"انبار قطعات و لوازم يدكي بندرعباس"</f>
        <v>انبار قطعات و لوازم يدكي بندرعباس</v>
      </c>
      <c r="E1344" s="1" t="str">
        <f>"1800000514"</f>
        <v>1800000514</v>
      </c>
      <c r="F1344" s="1" t="str">
        <f>"کابلشو فلزي 8*35"</f>
        <v>کابلشو فلزي 8*35</v>
      </c>
      <c r="G1344" s="1" t="str">
        <f>"عدد"</f>
        <v>عدد</v>
      </c>
      <c r="H1344" s="1">
        <v>10</v>
      </c>
      <c r="I1344" s="1">
        <v>300000</v>
      </c>
      <c r="J1344" s="1">
        <v>0</v>
      </c>
      <c r="K1344" s="1">
        <v>0</v>
      </c>
      <c r="L1344" s="1">
        <v>4</v>
      </c>
      <c r="M1344" s="1">
        <v>120000</v>
      </c>
      <c r="O1344" s="1">
        <v>97</v>
      </c>
      <c r="P1344" s="4">
        <f t="shared" si="60"/>
        <v>180000</v>
      </c>
      <c r="Q1344" s="4">
        <f t="shared" si="61"/>
        <v>6</v>
      </c>
      <c r="R1344" s="4">
        <f t="shared" si="62"/>
        <v>30000</v>
      </c>
    </row>
    <row r="1345" spans="1:18">
      <c r="A1345" s="1">
        <v>2</v>
      </c>
      <c r="B1345" s="1" t="str">
        <f>"قطعات و لوازم يدكي"</f>
        <v>قطعات و لوازم يدكي</v>
      </c>
      <c r="C1345" s="1">
        <v>205</v>
      </c>
      <c r="D1345" s="1" t="str">
        <f>"انبار قطعات و لوازم يدكي بندرعباس"</f>
        <v>انبار قطعات و لوازم يدكي بندرعباس</v>
      </c>
      <c r="E1345" s="1" t="str">
        <f>"1800000516"</f>
        <v>1800000516</v>
      </c>
      <c r="F1345" s="1" t="str">
        <f>"کابلشو فلزي 8*16"</f>
        <v>کابلشو فلزي 8*16</v>
      </c>
      <c r="G1345" s="1" t="str">
        <f>"عدد"</f>
        <v>عدد</v>
      </c>
      <c r="H1345" s="1">
        <v>54</v>
      </c>
      <c r="I1345" s="1">
        <v>1242000</v>
      </c>
      <c r="J1345" s="1">
        <v>0</v>
      </c>
      <c r="K1345" s="1">
        <v>0</v>
      </c>
      <c r="L1345" s="1">
        <v>19</v>
      </c>
      <c r="M1345" s="1">
        <v>437000</v>
      </c>
      <c r="O1345" s="1">
        <v>97</v>
      </c>
      <c r="P1345" s="4">
        <f t="shared" si="60"/>
        <v>805000</v>
      </c>
      <c r="Q1345" s="4">
        <f t="shared" si="61"/>
        <v>35</v>
      </c>
      <c r="R1345" s="4">
        <f t="shared" si="62"/>
        <v>23000</v>
      </c>
    </row>
    <row r="1346" spans="1:18">
      <c r="A1346" s="1">
        <v>2</v>
      </c>
      <c r="B1346" s="1" t="str">
        <f>"قطعات و لوازم يدكي"</f>
        <v>قطعات و لوازم يدكي</v>
      </c>
      <c r="C1346" s="1">
        <v>205</v>
      </c>
      <c r="D1346" s="1" t="str">
        <f>"انبار قطعات و لوازم يدكي بندرعباس"</f>
        <v>انبار قطعات و لوازم يدكي بندرعباس</v>
      </c>
      <c r="E1346" s="1" t="str">
        <f>"1800000519"</f>
        <v>1800000519</v>
      </c>
      <c r="F1346" s="1" t="str">
        <f>"کابلشو فلزي 8*10"</f>
        <v>کابلشو فلزي 8*10</v>
      </c>
      <c r="G1346" s="1" t="str">
        <f>"عدد"</f>
        <v>عدد</v>
      </c>
      <c r="H1346" s="1">
        <v>250</v>
      </c>
      <c r="I1346" s="1">
        <v>5000000</v>
      </c>
      <c r="J1346" s="1">
        <v>0</v>
      </c>
      <c r="K1346" s="1">
        <v>0</v>
      </c>
      <c r="L1346" s="1">
        <v>7</v>
      </c>
      <c r="M1346" s="1">
        <v>140000</v>
      </c>
      <c r="O1346" s="1">
        <v>97</v>
      </c>
      <c r="P1346" s="4">
        <f t="shared" si="60"/>
        <v>4860000</v>
      </c>
      <c r="Q1346" s="4">
        <f t="shared" si="61"/>
        <v>243</v>
      </c>
      <c r="R1346" s="4">
        <f t="shared" si="62"/>
        <v>20000</v>
      </c>
    </row>
    <row r="1347" spans="1:18">
      <c r="A1347" s="1">
        <v>2</v>
      </c>
      <c r="B1347" s="1" t="str">
        <f>"قطعات و لوازم يدكي"</f>
        <v>قطعات و لوازم يدكي</v>
      </c>
      <c r="C1347" s="1">
        <v>205</v>
      </c>
      <c r="D1347" s="1" t="str">
        <f>"انبار قطعات و لوازم يدكي بندرعباس"</f>
        <v>انبار قطعات و لوازم يدكي بندرعباس</v>
      </c>
      <c r="E1347" s="1" t="str">
        <f>"1800000520"</f>
        <v>1800000520</v>
      </c>
      <c r="F1347" s="1" t="str">
        <f>"کابلشو فلزي 6*6"</f>
        <v>کابلشو فلزي 6*6</v>
      </c>
      <c r="G1347" s="1" t="str">
        <f>"عدد"</f>
        <v>عدد</v>
      </c>
      <c r="H1347" s="1">
        <v>475</v>
      </c>
      <c r="I1347" s="1">
        <v>7837500</v>
      </c>
      <c r="J1347" s="1">
        <v>0</v>
      </c>
      <c r="K1347" s="1">
        <v>0</v>
      </c>
      <c r="L1347" s="1">
        <v>14</v>
      </c>
      <c r="M1347" s="1">
        <v>231000</v>
      </c>
      <c r="O1347" s="1">
        <v>97</v>
      </c>
      <c r="P1347" s="4">
        <f t="shared" ref="P1347:P1410" si="63">I1347+K1347-M1347</f>
        <v>7606500</v>
      </c>
      <c r="Q1347" s="4">
        <f t="shared" ref="Q1347:Q1410" si="64">H1347+J1347-L1347</f>
        <v>461</v>
      </c>
      <c r="R1347" s="4">
        <f t="shared" ref="R1347:R1410" si="65">P1347/Q1347</f>
        <v>16500</v>
      </c>
    </row>
    <row r="1348" spans="1:18">
      <c r="A1348" s="1">
        <v>2</v>
      </c>
      <c r="B1348" s="1" t="str">
        <f>"قطعات و لوازم يدكي"</f>
        <v>قطعات و لوازم يدكي</v>
      </c>
      <c r="C1348" s="1">
        <v>205</v>
      </c>
      <c r="D1348" s="1" t="str">
        <f>"انبار قطعات و لوازم يدكي بندرعباس"</f>
        <v>انبار قطعات و لوازم يدكي بندرعباس</v>
      </c>
      <c r="E1348" s="1" t="str">
        <f>"1800000527"</f>
        <v>1800000527</v>
      </c>
      <c r="F1348" s="1" t="str">
        <f>"کاغذ سمباده"</f>
        <v>کاغذ سمباده</v>
      </c>
      <c r="G1348" s="1" t="str">
        <f>"برگ"</f>
        <v>برگ</v>
      </c>
      <c r="H1348" s="1">
        <v>25</v>
      </c>
      <c r="I1348" s="1">
        <v>500000</v>
      </c>
      <c r="J1348" s="1">
        <v>0</v>
      </c>
      <c r="K1348" s="1">
        <v>0</v>
      </c>
      <c r="L1348" s="1">
        <v>0</v>
      </c>
      <c r="M1348" s="1">
        <v>0</v>
      </c>
      <c r="O1348" s="1">
        <v>97</v>
      </c>
      <c r="P1348" s="4">
        <f t="shared" si="63"/>
        <v>500000</v>
      </c>
      <c r="Q1348" s="4">
        <f t="shared" si="64"/>
        <v>25</v>
      </c>
      <c r="R1348" s="4">
        <f t="shared" si="65"/>
        <v>20000</v>
      </c>
    </row>
    <row r="1349" spans="1:18">
      <c r="A1349" s="1">
        <v>2</v>
      </c>
      <c r="B1349" s="1" t="str">
        <f>"قطعات و لوازم يدكي"</f>
        <v>قطعات و لوازم يدكي</v>
      </c>
      <c r="C1349" s="1">
        <v>205</v>
      </c>
      <c r="D1349" s="1" t="str">
        <f>"انبار قطعات و لوازم يدكي بندرعباس"</f>
        <v>انبار قطعات و لوازم يدكي بندرعباس</v>
      </c>
      <c r="E1349" s="1" t="str">
        <f>"1800000537"</f>
        <v>1800000537</v>
      </c>
      <c r="F1349" s="1" t="str">
        <f>"کليد حفاظت جريان"</f>
        <v>کليد حفاظت جريان</v>
      </c>
      <c r="G1349" s="1" t="str">
        <f>"عدد"</f>
        <v>عدد</v>
      </c>
      <c r="H1349" s="1">
        <v>5</v>
      </c>
      <c r="I1349" s="1">
        <v>1500000</v>
      </c>
      <c r="J1349" s="1">
        <v>0</v>
      </c>
      <c r="K1349" s="1">
        <v>0</v>
      </c>
      <c r="L1349" s="1">
        <v>1</v>
      </c>
      <c r="M1349" s="1">
        <v>300000</v>
      </c>
      <c r="O1349" s="1">
        <v>97</v>
      </c>
      <c r="P1349" s="4">
        <f t="shared" si="63"/>
        <v>1200000</v>
      </c>
      <c r="Q1349" s="4">
        <f t="shared" si="64"/>
        <v>4</v>
      </c>
      <c r="R1349" s="4">
        <f t="shared" si="65"/>
        <v>300000</v>
      </c>
    </row>
    <row r="1350" spans="1:18">
      <c r="A1350" s="1">
        <v>2</v>
      </c>
      <c r="B1350" s="1" t="str">
        <f>"قطعات و لوازم يدكي"</f>
        <v>قطعات و لوازم يدكي</v>
      </c>
      <c r="C1350" s="1">
        <v>205</v>
      </c>
      <c r="D1350" s="1" t="str">
        <f>"انبار قطعات و لوازم يدكي بندرعباس"</f>
        <v>انبار قطعات و لوازم يدكي بندرعباس</v>
      </c>
      <c r="E1350" s="1" t="str">
        <f>"1800000543"</f>
        <v>1800000543</v>
      </c>
      <c r="F1350" s="1" t="str">
        <f>"کليد گردان کاوه"</f>
        <v>کليد گردان کاوه</v>
      </c>
      <c r="G1350" s="1" t="str">
        <f>"عدد"</f>
        <v>عدد</v>
      </c>
      <c r="H1350" s="1">
        <v>2</v>
      </c>
      <c r="I1350" s="1">
        <v>26000000</v>
      </c>
      <c r="J1350" s="1">
        <v>0</v>
      </c>
      <c r="K1350" s="1">
        <v>0</v>
      </c>
      <c r="L1350" s="1">
        <v>0</v>
      </c>
      <c r="M1350" s="1">
        <v>0</v>
      </c>
      <c r="O1350" s="1">
        <v>97</v>
      </c>
      <c r="P1350" s="4">
        <f t="shared" si="63"/>
        <v>26000000</v>
      </c>
      <c r="Q1350" s="4">
        <f t="shared" si="64"/>
        <v>2</v>
      </c>
      <c r="R1350" s="4">
        <f t="shared" si="65"/>
        <v>13000000</v>
      </c>
    </row>
    <row r="1351" spans="1:18">
      <c r="A1351" s="1">
        <v>2</v>
      </c>
      <c r="B1351" s="1" t="str">
        <f>"قطعات و لوازم يدكي"</f>
        <v>قطعات و لوازم يدكي</v>
      </c>
      <c r="C1351" s="1">
        <v>205</v>
      </c>
      <c r="D1351" s="1" t="str">
        <f>"انبار قطعات و لوازم يدكي بندرعباس"</f>
        <v>انبار قطعات و لوازم يدكي بندرعباس</v>
      </c>
      <c r="E1351" s="1" t="str">
        <f>"1800000544"</f>
        <v>1800000544</v>
      </c>
      <c r="F1351" s="1" t="str">
        <f>"کليد موتوري 4"</f>
        <v>کليد موتوري 4</v>
      </c>
      <c r="G1351" s="1" t="str">
        <f>"عدد"</f>
        <v>عدد</v>
      </c>
      <c r="H1351" s="1">
        <v>1</v>
      </c>
      <c r="I1351" s="1">
        <v>1100000</v>
      </c>
      <c r="J1351" s="1">
        <v>0</v>
      </c>
      <c r="K1351" s="1">
        <v>0</v>
      </c>
      <c r="L1351" s="1">
        <v>0</v>
      </c>
      <c r="M1351" s="1">
        <v>0</v>
      </c>
      <c r="O1351" s="1">
        <v>97</v>
      </c>
      <c r="P1351" s="4">
        <f t="shared" si="63"/>
        <v>1100000</v>
      </c>
      <c r="Q1351" s="4">
        <f t="shared" si="64"/>
        <v>1</v>
      </c>
      <c r="R1351" s="4">
        <f t="shared" si="65"/>
        <v>1100000</v>
      </c>
    </row>
    <row r="1352" spans="1:18">
      <c r="A1352" s="1">
        <v>2</v>
      </c>
      <c r="B1352" s="1" t="str">
        <f>"قطعات و لوازم يدكي"</f>
        <v>قطعات و لوازم يدكي</v>
      </c>
      <c r="C1352" s="1">
        <v>120</v>
      </c>
      <c r="D1352" s="1" t="str">
        <f>"انبار قطعات و لوازم يدكي بشکه سازي اصفهان"</f>
        <v>انبار قطعات و لوازم يدكي بشکه سازي اصفهان</v>
      </c>
      <c r="E1352" s="1" t="str">
        <f>"4311700220"</f>
        <v>4311700220</v>
      </c>
      <c r="F1352" s="1" t="str">
        <f>"خار سايز 20"</f>
        <v>خار سايز 20</v>
      </c>
      <c r="G1352" s="1" t="str">
        <f>"عدد"</f>
        <v>عدد</v>
      </c>
      <c r="H1352" s="1">
        <v>0</v>
      </c>
      <c r="I1352" s="1">
        <v>0</v>
      </c>
      <c r="J1352" s="1">
        <v>65</v>
      </c>
      <c r="K1352" s="1">
        <v>325000</v>
      </c>
      <c r="L1352" s="1">
        <v>1</v>
      </c>
      <c r="M1352" s="1">
        <v>5000</v>
      </c>
      <c r="O1352" s="1">
        <v>97</v>
      </c>
      <c r="P1352" s="4">
        <f t="shared" si="63"/>
        <v>320000</v>
      </c>
      <c r="Q1352" s="4">
        <f t="shared" si="64"/>
        <v>64</v>
      </c>
      <c r="R1352" s="4">
        <f t="shared" si="65"/>
        <v>5000</v>
      </c>
    </row>
    <row r="1353" spans="1:18" hidden="1">
      <c r="A1353" s="1">
        <v>2</v>
      </c>
      <c r="B1353" s="1" t="str">
        <f>"قطعات و لوازم يدكي"</f>
        <v>قطعات و لوازم يدكي</v>
      </c>
      <c r="C1353" s="1">
        <v>120</v>
      </c>
      <c r="D1353" s="1" t="str">
        <f>"انبار قطعات و لوازم يدكي بشکه سازي اصفهان"</f>
        <v>انبار قطعات و لوازم يدكي بشکه سازي اصفهان</v>
      </c>
      <c r="E1353" s="1" t="str">
        <f>"4311700254"</f>
        <v>4311700254</v>
      </c>
      <c r="F1353" s="1" t="str">
        <f>"لاستيک و تيوپ تراکتور 240 سايز 825"</f>
        <v>لاستيک و تيوپ تراکتور 240 سايز 825</v>
      </c>
      <c r="G1353" s="1" t="str">
        <f>"جفت"</f>
        <v>جفت</v>
      </c>
      <c r="H1353" s="1">
        <v>0</v>
      </c>
      <c r="I1353" s="1">
        <v>0</v>
      </c>
      <c r="J1353" s="1">
        <v>2</v>
      </c>
      <c r="K1353" s="1">
        <v>19700000</v>
      </c>
      <c r="L1353" s="1">
        <v>2</v>
      </c>
      <c r="M1353" s="1">
        <v>19700000</v>
      </c>
      <c r="O1353" s="1">
        <v>97</v>
      </c>
      <c r="P1353" s="1">
        <f t="shared" si="63"/>
        <v>0</v>
      </c>
      <c r="Q1353" s="1">
        <f t="shared" si="64"/>
        <v>0</v>
      </c>
      <c r="R1353" s="1" t="e">
        <f t="shared" si="65"/>
        <v>#DIV/0!</v>
      </c>
    </row>
    <row r="1354" spans="1:18" hidden="1">
      <c r="A1354" s="1">
        <v>2</v>
      </c>
      <c r="B1354" s="1" t="str">
        <f>"قطعات و لوازم يدكي"</f>
        <v>قطعات و لوازم يدكي</v>
      </c>
      <c r="C1354" s="1">
        <v>120</v>
      </c>
      <c r="D1354" s="1" t="str">
        <f>"انبار قطعات و لوازم يدكي بشکه سازي اصفهان"</f>
        <v>انبار قطعات و لوازم يدكي بشکه سازي اصفهان</v>
      </c>
      <c r="E1354" s="1" t="str">
        <f>"4311700261"</f>
        <v>4311700261</v>
      </c>
      <c r="F1354" s="1" t="str">
        <f>"گريس نسوز."</f>
        <v>گريس نسوز.</v>
      </c>
      <c r="G1354" s="1" t="str">
        <f>"كيلوگرم"</f>
        <v>كيلوگرم</v>
      </c>
      <c r="H1354" s="1">
        <v>0</v>
      </c>
      <c r="I1354" s="1">
        <v>0</v>
      </c>
      <c r="J1354" s="1">
        <v>25</v>
      </c>
      <c r="K1354" s="1">
        <v>4187500</v>
      </c>
      <c r="L1354" s="1">
        <v>25</v>
      </c>
      <c r="M1354" s="1">
        <v>4187500</v>
      </c>
      <c r="O1354" s="1">
        <v>97</v>
      </c>
      <c r="P1354" s="1">
        <f t="shared" si="63"/>
        <v>0</v>
      </c>
      <c r="Q1354" s="1">
        <f t="shared" si="64"/>
        <v>0</v>
      </c>
      <c r="R1354" s="1" t="e">
        <f t="shared" si="65"/>
        <v>#DIV/0!</v>
      </c>
    </row>
    <row r="1355" spans="1:18">
      <c r="A1355" s="1">
        <v>2</v>
      </c>
      <c r="B1355" s="1" t="str">
        <f>"قطعات و لوازم يدكي"</f>
        <v>قطعات و لوازم يدكي</v>
      </c>
      <c r="C1355" s="1">
        <v>120</v>
      </c>
      <c r="D1355" s="1" t="str">
        <f>"انبار قطعات و لوازم يدكي بشکه سازي اصفهان"</f>
        <v>انبار قطعات و لوازم يدكي بشکه سازي اصفهان</v>
      </c>
      <c r="E1355" s="1" t="str">
        <f>"4311700263"</f>
        <v>4311700263</v>
      </c>
      <c r="F1355" s="1" t="str">
        <f>"روغن کرچک"</f>
        <v>روغن کرچک</v>
      </c>
      <c r="G1355" s="1" t="str">
        <f>"ليتر"</f>
        <v>ليتر</v>
      </c>
      <c r="H1355" s="1">
        <v>0</v>
      </c>
      <c r="I1355" s="1">
        <v>0</v>
      </c>
      <c r="J1355" s="1">
        <v>2</v>
      </c>
      <c r="K1355" s="1">
        <v>50000</v>
      </c>
      <c r="L1355" s="1">
        <v>1</v>
      </c>
      <c r="M1355" s="1">
        <v>25000</v>
      </c>
      <c r="O1355" s="1">
        <v>97</v>
      </c>
      <c r="P1355" s="4">
        <f t="shared" si="63"/>
        <v>25000</v>
      </c>
      <c r="Q1355" s="4">
        <f t="shared" si="64"/>
        <v>1</v>
      </c>
      <c r="R1355" s="4">
        <f t="shared" si="65"/>
        <v>25000</v>
      </c>
    </row>
    <row r="1356" spans="1:18">
      <c r="A1356" s="1">
        <v>2</v>
      </c>
      <c r="B1356" s="1" t="str">
        <f>"قطعات و لوازم يدكي"</f>
        <v>قطعات و لوازم يدكي</v>
      </c>
      <c r="C1356" s="1">
        <v>120</v>
      </c>
      <c r="D1356" s="1" t="str">
        <f>"انبار قطعات و لوازم يدكي بشکه سازي اصفهان"</f>
        <v>انبار قطعات و لوازم يدكي بشکه سازي اصفهان</v>
      </c>
      <c r="E1356" s="1" t="str">
        <f>"4311700283"</f>
        <v>4311700283</v>
      </c>
      <c r="F1356" s="1" t="str">
        <f>"گسکت سايز 9"</f>
        <v>گسکت سايز 9</v>
      </c>
      <c r="G1356" s="1" t="str">
        <f>"عدد"</f>
        <v>عدد</v>
      </c>
      <c r="H1356" s="1">
        <v>0</v>
      </c>
      <c r="I1356" s="1">
        <v>0</v>
      </c>
      <c r="J1356" s="1">
        <v>16</v>
      </c>
      <c r="K1356" s="1">
        <v>936000</v>
      </c>
      <c r="L1356" s="1">
        <v>0</v>
      </c>
      <c r="M1356" s="1">
        <v>0</v>
      </c>
      <c r="O1356" s="1">
        <v>97</v>
      </c>
      <c r="P1356" s="4">
        <f t="shared" si="63"/>
        <v>936000</v>
      </c>
      <c r="Q1356" s="4">
        <f t="shared" si="64"/>
        <v>16</v>
      </c>
      <c r="R1356" s="4">
        <f t="shared" si="65"/>
        <v>58500</v>
      </c>
    </row>
    <row r="1357" spans="1:18">
      <c r="A1357" s="1">
        <v>2</v>
      </c>
      <c r="B1357" s="1" t="str">
        <f>"قطعات و لوازم يدكي"</f>
        <v>قطعات و لوازم يدكي</v>
      </c>
      <c r="C1357" s="1">
        <v>120</v>
      </c>
      <c r="D1357" s="1" t="str">
        <f>"انبار قطعات و لوازم يدكي بشکه سازي اصفهان"</f>
        <v>انبار قطعات و لوازم يدكي بشکه سازي اصفهان</v>
      </c>
      <c r="E1357" s="1" t="str">
        <f>"4311700299"</f>
        <v>4311700299</v>
      </c>
      <c r="F1357" s="1" t="str">
        <f>"تفلون عايقي"</f>
        <v>تفلون عايقي</v>
      </c>
      <c r="G1357" s="1" t="str">
        <f>"عدد"</f>
        <v>عدد</v>
      </c>
      <c r="H1357" s="1">
        <v>0</v>
      </c>
      <c r="I1357" s="1">
        <v>0</v>
      </c>
      <c r="J1357" s="1">
        <v>10</v>
      </c>
      <c r="K1357" s="1">
        <v>300000</v>
      </c>
      <c r="L1357" s="1">
        <v>1</v>
      </c>
      <c r="M1357" s="1">
        <v>30000</v>
      </c>
      <c r="O1357" s="1">
        <v>97</v>
      </c>
      <c r="P1357" s="4">
        <f t="shared" si="63"/>
        <v>270000</v>
      </c>
      <c r="Q1357" s="4">
        <f t="shared" si="64"/>
        <v>9</v>
      </c>
      <c r="R1357" s="4">
        <f t="shared" si="65"/>
        <v>30000</v>
      </c>
    </row>
    <row r="1358" spans="1:18">
      <c r="A1358" s="1">
        <v>2</v>
      </c>
      <c r="B1358" s="1" t="str">
        <f>"قطعات و لوازم يدكي"</f>
        <v>قطعات و لوازم يدكي</v>
      </c>
      <c r="C1358" s="1">
        <v>120</v>
      </c>
      <c r="D1358" s="1" t="str">
        <f>"انبار قطعات و لوازم يدكي بشکه سازي اصفهان"</f>
        <v>انبار قطعات و لوازم يدكي بشکه سازي اصفهان</v>
      </c>
      <c r="E1358" s="1" t="str">
        <f>"4311700305"</f>
        <v>4311700305</v>
      </c>
      <c r="F1358" s="1" t="str">
        <f>"مهره ماسوره 3/4"</f>
        <v>مهره ماسوره 3/4</v>
      </c>
      <c r="G1358" s="1" t="str">
        <f>"عدد"</f>
        <v>عدد</v>
      </c>
      <c r="H1358" s="1">
        <v>0</v>
      </c>
      <c r="I1358" s="1">
        <v>0</v>
      </c>
      <c r="J1358" s="1">
        <v>1</v>
      </c>
      <c r="K1358" s="1">
        <v>35000</v>
      </c>
      <c r="L1358" s="1">
        <v>0</v>
      </c>
      <c r="M1358" s="1">
        <v>0</v>
      </c>
      <c r="O1358" s="1">
        <v>97</v>
      </c>
      <c r="P1358" s="4">
        <f t="shared" si="63"/>
        <v>35000</v>
      </c>
      <c r="Q1358" s="4">
        <f t="shared" si="64"/>
        <v>1</v>
      </c>
      <c r="R1358" s="4">
        <f t="shared" si="65"/>
        <v>35000</v>
      </c>
    </row>
    <row r="1359" spans="1:18">
      <c r="A1359" s="1">
        <v>2</v>
      </c>
      <c r="B1359" s="1" t="str">
        <f>"قطعات و لوازم يدكي"</f>
        <v>قطعات و لوازم يدكي</v>
      </c>
      <c r="C1359" s="1">
        <v>120</v>
      </c>
      <c r="D1359" s="1" t="str">
        <f>"انبار قطعات و لوازم يدكي بشکه سازي اصفهان"</f>
        <v>انبار قطعات و لوازم يدكي بشکه سازي اصفهان</v>
      </c>
      <c r="E1359" s="1" t="str">
        <f>"4311700308"</f>
        <v>4311700308</v>
      </c>
      <c r="F1359" s="1" t="str">
        <f>"پيچ آلن 3/5*M10"</f>
        <v>پيچ آلن 3/5*M10</v>
      </c>
      <c r="G1359" s="1" t="str">
        <f>"عدد"</f>
        <v>عدد</v>
      </c>
      <c r="H1359" s="1">
        <v>0</v>
      </c>
      <c r="I1359" s="1">
        <v>0</v>
      </c>
      <c r="J1359" s="1">
        <v>22</v>
      </c>
      <c r="K1359" s="1">
        <v>66000</v>
      </c>
      <c r="L1359" s="1">
        <v>12</v>
      </c>
      <c r="M1359" s="1">
        <v>36000</v>
      </c>
      <c r="O1359" s="1">
        <v>97</v>
      </c>
      <c r="P1359" s="4">
        <f t="shared" si="63"/>
        <v>30000</v>
      </c>
      <c r="Q1359" s="4">
        <f t="shared" si="64"/>
        <v>10</v>
      </c>
      <c r="R1359" s="4">
        <f t="shared" si="65"/>
        <v>3000</v>
      </c>
    </row>
    <row r="1360" spans="1:18">
      <c r="A1360" s="1">
        <v>2</v>
      </c>
      <c r="B1360" s="1" t="str">
        <f>"قطعات و لوازم يدكي"</f>
        <v>قطعات و لوازم يدكي</v>
      </c>
      <c r="C1360" s="1">
        <v>120</v>
      </c>
      <c r="D1360" s="1" t="str">
        <f>"انبار قطعات و لوازم يدكي بشکه سازي اصفهان"</f>
        <v>انبار قطعات و لوازم يدكي بشکه سازي اصفهان</v>
      </c>
      <c r="E1360" s="1" t="str">
        <f>"4311700314"</f>
        <v>4311700314</v>
      </c>
      <c r="F1360" s="1" t="str">
        <f>"درپوش 3/4."</f>
        <v>درپوش 3/4.</v>
      </c>
      <c r="G1360" s="1" t="str">
        <f>"عدد"</f>
        <v>عدد</v>
      </c>
      <c r="H1360" s="1">
        <v>0</v>
      </c>
      <c r="I1360" s="1">
        <v>0</v>
      </c>
      <c r="J1360" s="1">
        <v>6</v>
      </c>
      <c r="K1360" s="1">
        <v>36000</v>
      </c>
      <c r="L1360" s="1">
        <v>0</v>
      </c>
      <c r="M1360" s="1">
        <v>0</v>
      </c>
      <c r="O1360" s="1">
        <v>97</v>
      </c>
      <c r="P1360" s="4">
        <f t="shared" si="63"/>
        <v>36000</v>
      </c>
      <c r="Q1360" s="4">
        <f t="shared" si="64"/>
        <v>6</v>
      </c>
      <c r="R1360" s="4">
        <f t="shared" si="65"/>
        <v>6000</v>
      </c>
    </row>
    <row r="1361" spans="1:18">
      <c r="A1361" s="1">
        <v>2</v>
      </c>
      <c r="B1361" s="1" t="str">
        <f>"قطعات و لوازم يدكي"</f>
        <v>قطعات و لوازم يدكي</v>
      </c>
      <c r="C1361" s="1">
        <v>120</v>
      </c>
      <c r="D1361" s="1" t="str">
        <f>"انبار قطعات و لوازم يدكي بشکه سازي اصفهان"</f>
        <v>انبار قطعات و لوازم يدكي بشکه سازي اصفهان</v>
      </c>
      <c r="E1361" s="1" t="str">
        <f>"4311700318"</f>
        <v>4311700318</v>
      </c>
      <c r="F1361" s="1" t="str">
        <f>"اورينگ 3/5*5"</f>
        <v>اورينگ 3/5*5</v>
      </c>
      <c r="G1361" s="1" t="str">
        <f>"عدد"</f>
        <v>عدد</v>
      </c>
      <c r="H1361" s="1">
        <v>0</v>
      </c>
      <c r="I1361" s="1">
        <v>0</v>
      </c>
      <c r="J1361" s="1">
        <v>11</v>
      </c>
      <c r="K1361" s="1">
        <v>110000</v>
      </c>
      <c r="L1361" s="1">
        <v>0</v>
      </c>
      <c r="M1361" s="1">
        <v>0</v>
      </c>
      <c r="O1361" s="1">
        <v>97</v>
      </c>
      <c r="P1361" s="4">
        <f t="shared" si="63"/>
        <v>110000</v>
      </c>
      <c r="Q1361" s="4">
        <f t="shared" si="64"/>
        <v>11</v>
      </c>
      <c r="R1361" s="4">
        <f t="shared" si="65"/>
        <v>10000</v>
      </c>
    </row>
    <row r="1362" spans="1:18">
      <c r="A1362" s="1">
        <v>2</v>
      </c>
      <c r="B1362" s="1" t="str">
        <f>"قطعات و لوازم يدكي"</f>
        <v>قطعات و لوازم يدكي</v>
      </c>
      <c r="C1362" s="1">
        <v>120</v>
      </c>
      <c r="D1362" s="1" t="str">
        <f>"انبار قطعات و لوازم يدكي بشکه سازي اصفهان"</f>
        <v>انبار قطعات و لوازم يدكي بشکه سازي اصفهان</v>
      </c>
      <c r="E1362" s="1" t="str">
        <f>"4311700332"</f>
        <v>4311700332</v>
      </c>
      <c r="F1362" s="1" t="str">
        <f>"پيچ آلن 8*6m"</f>
        <v>پيچ آلن 8*6m</v>
      </c>
      <c r="G1362" s="1" t="str">
        <f>"عدد"</f>
        <v>عدد</v>
      </c>
      <c r="H1362" s="1">
        <v>0</v>
      </c>
      <c r="I1362" s="1">
        <v>0</v>
      </c>
      <c r="J1362" s="1">
        <v>12</v>
      </c>
      <c r="K1362" s="1">
        <v>42000</v>
      </c>
      <c r="L1362" s="1">
        <v>0</v>
      </c>
      <c r="M1362" s="1">
        <v>0</v>
      </c>
      <c r="O1362" s="1">
        <v>97</v>
      </c>
      <c r="P1362" s="4">
        <f t="shared" si="63"/>
        <v>42000</v>
      </c>
      <c r="Q1362" s="4">
        <f t="shared" si="64"/>
        <v>12</v>
      </c>
      <c r="R1362" s="4">
        <f t="shared" si="65"/>
        <v>3500</v>
      </c>
    </row>
    <row r="1363" spans="1:18">
      <c r="A1363" s="1">
        <v>2</v>
      </c>
      <c r="B1363" s="1" t="str">
        <f>"قطعات و لوازم يدكي"</f>
        <v>قطعات و لوازم يدكي</v>
      </c>
      <c r="C1363" s="1">
        <v>120</v>
      </c>
      <c r="D1363" s="1" t="str">
        <f>"انبار قطعات و لوازم يدكي بشکه سازي اصفهان"</f>
        <v>انبار قطعات و لوازم يدكي بشکه سازي اصفهان</v>
      </c>
      <c r="E1363" s="1" t="str">
        <f>"4311700365"</f>
        <v>4311700365</v>
      </c>
      <c r="F1363" s="1" t="str">
        <f>"کاسه نمد 13-100-75"</f>
        <v>کاسه نمد 13-100-75</v>
      </c>
      <c r="G1363" s="1" t="str">
        <f>"عدد"</f>
        <v>عدد</v>
      </c>
      <c r="H1363" s="1">
        <v>0</v>
      </c>
      <c r="I1363" s="1">
        <v>0</v>
      </c>
      <c r="J1363" s="1">
        <v>3</v>
      </c>
      <c r="K1363" s="1">
        <v>150000</v>
      </c>
      <c r="L1363" s="1">
        <v>0</v>
      </c>
      <c r="M1363" s="1">
        <v>0</v>
      </c>
      <c r="O1363" s="1">
        <v>97</v>
      </c>
      <c r="P1363" s="4">
        <f t="shared" si="63"/>
        <v>150000</v>
      </c>
      <c r="Q1363" s="4">
        <f t="shared" si="64"/>
        <v>3</v>
      </c>
      <c r="R1363" s="4">
        <f t="shared" si="65"/>
        <v>50000</v>
      </c>
    </row>
    <row r="1364" spans="1:18">
      <c r="A1364" s="1">
        <v>2</v>
      </c>
      <c r="B1364" s="1" t="str">
        <f>"قطعات و لوازم يدكي"</f>
        <v>قطعات و لوازم يدكي</v>
      </c>
      <c r="C1364" s="1">
        <v>120</v>
      </c>
      <c r="D1364" s="1" t="str">
        <f>"انبار قطعات و لوازم يدكي بشکه سازي اصفهان"</f>
        <v>انبار قطعات و لوازم يدكي بشکه سازي اصفهان</v>
      </c>
      <c r="E1364" s="1" t="str">
        <f>"4311700367"</f>
        <v>4311700367</v>
      </c>
      <c r="F1364" s="1" t="str">
        <f>"پکينگ پرس 40 تن"</f>
        <v>پکينگ پرس 40 تن</v>
      </c>
      <c r="G1364" s="1" t="str">
        <f>"عدد"</f>
        <v>عدد</v>
      </c>
      <c r="H1364" s="1">
        <v>0</v>
      </c>
      <c r="I1364" s="1">
        <v>0</v>
      </c>
      <c r="J1364" s="1">
        <v>2</v>
      </c>
      <c r="K1364" s="1">
        <v>200000</v>
      </c>
      <c r="L1364" s="1">
        <v>0</v>
      </c>
      <c r="M1364" s="1">
        <v>0</v>
      </c>
      <c r="O1364" s="1">
        <v>97</v>
      </c>
      <c r="P1364" s="4">
        <f t="shared" si="63"/>
        <v>200000</v>
      </c>
      <c r="Q1364" s="4">
        <f t="shared" si="64"/>
        <v>2</v>
      </c>
      <c r="R1364" s="4">
        <f t="shared" si="65"/>
        <v>100000</v>
      </c>
    </row>
    <row r="1365" spans="1:18">
      <c r="A1365" s="1">
        <v>2</v>
      </c>
      <c r="B1365" s="1" t="str">
        <f>"قطعات و لوازم يدكي"</f>
        <v>قطعات و لوازم يدكي</v>
      </c>
      <c r="C1365" s="1">
        <v>120</v>
      </c>
      <c r="D1365" s="1" t="str">
        <f>"انبار قطعات و لوازم يدكي بشکه سازي اصفهان"</f>
        <v>انبار قطعات و لوازم يدكي بشکه سازي اصفهان</v>
      </c>
      <c r="E1365" s="1" t="str">
        <f>"4311700368"</f>
        <v>4311700368</v>
      </c>
      <c r="F1365" s="1" t="str">
        <f>"اورينگ پرس 40 تن"</f>
        <v>اورينگ پرس 40 تن</v>
      </c>
      <c r="G1365" s="1" t="str">
        <f>"عدد"</f>
        <v>عدد</v>
      </c>
      <c r="H1365" s="1">
        <v>0</v>
      </c>
      <c r="I1365" s="1">
        <v>0</v>
      </c>
      <c r="J1365" s="1">
        <v>10</v>
      </c>
      <c r="K1365" s="1">
        <v>560000</v>
      </c>
      <c r="L1365" s="1">
        <v>4</v>
      </c>
      <c r="M1365" s="1">
        <v>224000</v>
      </c>
      <c r="O1365" s="1">
        <v>97</v>
      </c>
      <c r="P1365" s="4">
        <f t="shared" si="63"/>
        <v>336000</v>
      </c>
      <c r="Q1365" s="4">
        <f t="shared" si="64"/>
        <v>6</v>
      </c>
      <c r="R1365" s="4">
        <f t="shared" si="65"/>
        <v>56000</v>
      </c>
    </row>
    <row r="1366" spans="1:18" hidden="1">
      <c r="A1366" s="1">
        <v>2</v>
      </c>
      <c r="B1366" s="1" t="str">
        <f>"قطعات و لوازم يدكي"</f>
        <v>قطعات و لوازم يدكي</v>
      </c>
      <c r="C1366" s="1">
        <v>120</v>
      </c>
      <c r="D1366" s="1" t="str">
        <f>"انبار قطعات و لوازم يدكي بشکه سازي اصفهان"</f>
        <v>انبار قطعات و لوازم يدكي بشکه سازي اصفهان</v>
      </c>
      <c r="E1366" s="1" t="str">
        <f>"6211700008"</f>
        <v>6211700008</v>
      </c>
      <c r="F1366" s="1" t="str">
        <f>"باند سر"</f>
        <v>باند سر</v>
      </c>
      <c r="G1366" s="1" t="str">
        <f>"عدد"</f>
        <v>عدد</v>
      </c>
      <c r="H1366" s="1">
        <v>0</v>
      </c>
      <c r="I1366" s="1">
        <v>0</v>
      </c>
      <c r="J1366" s="1">
        <v>7</v>
      </c>
      <c r="K1366" s="1">
        <v>49000</v>
      </c>
      <c r="L1366" s="1">
        <v>7</v>
      </c>
      <c r="M1366" s="1">
        <v>49000</v>
      </c>
      <c r="O1366" s="1">
        <v>97</v>
      </c>
      <c r="P1366" s="1">
        <f t="shared" si="63"/>
        <v>0</v>
      </c>
      <c r="Q1366" s="1">
        <f t="shared" si="64"/>
        <v>0</v>
      </c>
      <c r="R1366" s="1" t="e">
        <f t="shared" si="65"/>
        <v>#DIV/0!</v>
      </c>
    </row>
    <row r="1367" spans="1:18" hidden="1">
      <c r="A1367" s="1">
        <v>2</v>
      </c>
      <c r="B1367" s="1" t="str">
        <f>"قطعات و لوازم يدكي"</f>
        <v>قطعات و لوازم يدكي</v>
      </c>
      <c r="C1367" s="1">
        <v>120</v>
      </c>
      <c r="D1367" s="1" t="str">
        <f>"انبار قطعات و لوازم يدكي بشکه سازي اصفهان"</f>
        <v>انبار قطعات و لوازم يدكي بشکه سازي اصفهان</v>
      </c>
      <c r="E1367" s="1" t="str">
        <f>"6211700011"</f>
        <v>6211700011</v>
      </c>
      <c r="F1367" s="1" t="str">
        <f>"بتادين."</f>
        <v>بتادين.</v>
      </c>
      <c r="G1367" s="1" t="str">
        <f>"عدد"</f>
        <v>عدد</v>
      </c>
      <c r="H1367" s="1">
        <v>0</v>
      </c>
      <c r="I1367" s="1">
        <v>0</v>
      </c>
      <c r="J1367" s="1">
        <v>1</v>
      </c>
      <c r="K1367" s="1">
        <v>20000</v>
      </c>
      <c r="L1367" s="1">
        <v>1</v>
      </c>
      <c r="M1367" s="1">
        <v>20000</v>
      </c>
      <c r="O1367" s="1">
        <v>97</v>
      </c>
      <c r="P1367" s="1">
        <f t="shared" si="63"/>
        <v>0</v>
      </c>
      <c r="Q1367" s="1">
        <f t="shared" si="64"/>
        <v>0</v>
      </c>
      <c r="R1367" s="1" t="e">
        <f t="shared" si="65"/>
        <v>#DIV/0!</v>
      </c>
    </row>
    <row r="1368" spans="1:18" hidden="1">
      <c r="A1368" s="1">
        <v>2</v>
      </c>
      <c r="B1368" s="1" t="str">
        <f>"قطعات و لوازم يدكي"</f>
        <v>قطعات و لوازم يدكي</v>
      </c>
      <c r="C1368" s="1">
        <v>120</v>
      </c>
      <c r="D1368" s="1" t="str">
        <f>"انبار قطعات و لوازم يدكي بشکه سازي اصفهان"</f>
        <v>انبار قطعات و لوازم يدكي بشکه سازي اصفهان</v>
      </c>
      <c r="E1368" s="1" t="str">
        <f>"7111700015"</f>
        <v>7111700015</v>
      </c>
      <c r="F1368" s="1" t="str">
        <f>"سوزن ته گرد."</f>
        <v>سوزن ته گرد.</v>
      </c>
      <c r="G1368" s="1" t="str">
        <f>"بسته"</f>
        <v>بسته</v>
      </c>
      <c r="H1368" s="1">
        <v>0</v>
      </c>
      <c r="I1368" s="1">
        <v>0</v>
      </c>
      <c r="J1368" s="1">
        <v>1</v>
      </c>
      <c r="K1368" s="1">
        <v>20000</v>
      </c>
      <c r="L1368" s="1">
        <v>1</v>
      </c>
      <c r="M1368" s="1">
        <v>20000</v>
      </c>
      <c r="O1368" s="1">
        <v>97</v>
      </c>
      <c r="P1368" s="1">
        <f t="shared" si="63"/>
        <v>0</v>
      </c>
      <c r="Q1368" s="1">
        <f t="shared" si="64"/>
        <v>0</v>
      </c>
      <c r="R1368" s="1" t="e">
        <f t="shared" si="65"/>
        <v>#DIV/0!</v>
      </c>
    </row>
    <row r="1369" spans="1:18" hidden="1">
      <c r="A1369" s="1">
        <v>2</v>
      </c>
      <c r="B1369" s="1" t="str">
        <f>"قطعات و لوازم يدكي"</f>
        <v>قطعات و لوازم يدكي</v>
      </c>
      <c r="C1369" s="1">
        <v>120</v>
      </c>
      <c r="D1369" s="1" t="str">
        <f>"انبار قطعات و لوازم يدكي بشکه سازي اصفهان"</f>
        <v>انبار قطعات و لوازم يدكي بشکه سازي اصفهان</v>
      </c>
      <c r="E1369" s="1" t="str">
        <f>"7111700023"</f>
        <v>7111700023</v>
      </c>
      <c r="F1369" s="1" t="str">
        <f>"کاتريج"</f>
        <v>کاتريج</v>
      </c>
      <c r="G1369" s="1" t="str">
        <f>"عدد"</f>
        <v>عدد</v>
      </c>
      <c r="H1369" s="1">
        <v>0</v>
      </c>
      <c r="I1369" s="1">
        <v>0</v>
      </c>
      <c r="J1369" s="1">
        <v>1</v>
      </c>
      <c r="K1369" s="1">
        <v>280000</v>
      </c>
      <c r="L1369" s="1">
        <v>1</v>
      </c>
      <c r="M1369" s="1">
        <v>280000</v>
      </c>
      <c r="O1369" s="1">
        <v>97</v>
      </c>
      <c r="P1369" s="1">
        <f t="shared" si="63"/>
        <v>0</v>
      </c>
      <c r="Q1369" s="1">
        <f t="shared" si="64"/>
        <v>0</v>
      </c>
      <c r="R1369" s="1" t="e">
        <f t="shared" si="65"/>
        <v>#DIV/0!</v>
      </c>
    </row>
    <row r="1370" spans="1:18">
      <c r="A1370" s="1">
        <v>2</v>
      </c>
      <c r="B1370" s="1" t="str">
        <f>"قطعات و لوازم يدكي"</f>
        <v>قطعات و لوازم يدكي</v>
      </c>
      <c r="C1370" s="1">
        <v>205</v>
      </c>
      <c r="D1370" s="1" t="str">
        <f>"انبار قطعات و لوازم يدكي بندرعباس"</f>
        <v>انبار قطعات و لوازم يدكي بندرعباس</v>
      </c>
      <c r="E1370" s="1" t="str">
        <f>"1800000001"</f>
        <v>1800000001</v>
      </c>
      <c r="F1370" s="1" t="str">
        <f>"بال ولو 3/4"</f>
        <v>بال ولو 3/4</v>
      </c>
      <c r="G1370" s="1" t="str">
        <f>"عدد"</f>
        <v>عدد</v>
      </c>
      <c r="H1370" s="1">
        <v>5</v>
      </c>
      <c r="I1370" s="1">
        <v>5750000</v>
      </c>
      <c r="J1370" s="1">
        <v>0</v>
      </c>
      <c r="K1370" s="1">
        <v>0</v>
      </c>
      <c r="L1370" s="1">
        <v>0</v>
      </c>
      <c r="M1370" s="1">
        <v>0</v>
      </c>
      <c r="O1370" s="1">
        <v>97</v>
      </c>
      <c r="P1370" s="4">
        <f t="shared" si="63"/>
        <v>5750000</v>
      </c>
      <c r="Q1370" s="4">
        <f t="shared" si="64"/>
        <v>5</v>
      </c>
      <c r="R1370" s="4">
        <f t="shared" si="65"/>
        <v>1150000</v>
      </c>
    </row>
    <row r="1371" spans="1:18" hidden="1">
      <c r="A1371" s="1">
        <v>2</v>
      </c>
      <c r="B1371" s="1" t="str">
        <f>"قطعات و لوازم يدكي"</f>
        <v>قطعات و لوازم يدكي</v>
      </c>
      <c r="C1371" s="1">
        <v>205</v>
      </c>
      <c r="D1371" s="1" t="str">
        <f>"انبار قطعات و لوازم يدكي بندرعباس"</f>
        <v>انبار قطعات و لوازم يدكي بندرعباس</v>
      </c>
      <c r="E1371" s="1" t="str">
        <f>"1800000005"</f>
        <v>1800000005</v>
      </c>
      <c r="F1371" s="1" t="str">
        <f>"بال ولو 3/4 اينچ"</f>
        <v>بال ولو 3/4 اينچ</v>
      </c>
      <c r="G1371" s="1" t="str">
        <f>"عدد"</f>
        <v>عدد</v>
      </c>
      <c r="H1371" s="1">
        <v>1</v>
      </c>
      <c r="I1371" s="1">
        <v>200000</v>
      </c>
      <c r="J1371" s="1">
        <v>0</v>
      </c>
      <c r="K1371" s="1">
        <v>0</v>
      </c>
      <c r="L1371" s="1">
        <v>1</v>
      </c>
      <c r="M1371" s="1">
        <v>200000</v>
      </c>
      <c r="O1371" s="1">
        <v>97</v>
      </c>
      <c r="P1371" s="1">
        <f t="shared" si="63"/>
        <v>0</v>
      </c>
      <c r="Q1371" s="1">
        <f t="shared" si="64"/>
        <v>0</v>
      </c>
      <c r="R1371" s="1" t="e">
        <f t="shared" si="65"/>
        <v>#DIV/0!</v>
      </c>
    </row>
    <row r="1372" spans="1:18" hidden="1">
      <c r="A1372" s="1">
        <v>2</v>
      </c>
      <c r="B1372" s="1" t="str">
        <f>"قطعات و لوازم يدكي"</f>
        <v>قطعات و لوازم يدكي</v>
      </c>
      <c r="C1372" s="1">
        <v>205</v>
      </c>
      <c r="D1372" s="1" t="str">
        <f>"انبار قطعات و لوازم يدكي بندرعباس"</f>
        <v>انبار قطعات و لوازم يدكي بندرعباس</v>
      </c>
      <c r="E1372" s="1" t="str">
        <f>"1800000014"</f>
        <v>1800000014</v>
      </c>
      <c r="F1372" s="1" t="str">
        <f>"بلايند فلنج 14"</f>
        <v>بلايند فلنج 14</v>
      </c>
      <c r="G1372" s="1" t="str">
        <f>"عدد"</f>
        <v>عدد</v>
      </c>
      <c r="H1372" s="1">
        <v>1</v>
      </c>
      <c r="I1372" s="1">
        <v>3500000</v>
      </c>
      <c r="J1372" s="1">
        <v>0</v>
      </c>
      <c r="K1372" s="1">
        <v>0</v>
      </c>
      <c r="L1372" s="1">
        <v>1</v>
      </c>
      <c r="M1372" s="1">
        <v>3500000</v>
      </c>
      <c r="O1372" s="1">
        <v>97</v>
      </c>
      <c r="P1372" s="1">
        <f t="shared" si="63"/>
        <v>0</v>
      </c>
      <c r="Q1372" s="1">
        <f t="shared" si="64"/>
        <v>0</v>
      </c>
      <c r="R1372" s="1" t="e">
        <f t="shared" si="65"/>
        <v>#DIV/0!</v>
      </c>
    </row>
    <row r="1373" spans="1:18">
      <c r="A1373" s="1">
        <v>2</v>
      </c>
      <c r="B1373" s="1" t="str">
        <f>"قطعات و لوازم يدكي"</f>
        <v>قطعات و لوازم يدكي</v>
      </c>
      <c r="C1373" s="1">
        <v>205</v>
      </c>
      <c r="D1373" s="1" t="str">
        <f>"انبار قطعات و لوازم يدكي بندرعباس"</f>
        <v>انبار قطعات و لوازم يدكي بندرعباس</v>
      </c>
      <c r="E1373" s="1" t="str">
        <f>"1800000024"</f>
        <v>1800000024</v>
      </c>
      <c r="F1373" s="1" t="str">
        <f>"چک ولو 1"</f>
        <v>چک ولو 1</v>
      </c>
      <c r="G1373" s="1" t="str">
        <f>"عدد"</f>
        <v>عدد</v>
      </c>
      <c r="H1373" s="1">
        <v>5</v>
      </c>
      <c r="I1373" s="1">
        <v>8950000</v>
      </c>
      <c r="J1373" s="1">
        <v>0</v>
      </c>
      <c r="K1373" s="1">
        <v>0</v>
      </c>
      <c r="L1373" s="1">
        <v>0</v>
      </c>
      <c r="M1373" s="1">
        <v>0</v>
      </c>
      <c r="O1373" s="1">
        <v>97</v>
      </c>
      <c r="P1373" s="4">
        <f t="shared" si="63"/>
        <v>8950000</v>
      </c>
      <c r="Q1373" s="4">
        <f t="shared" si="64"/>
        <v>5</v>
      </c>
      <c r="R1373" s="4">
        <f t="shared" si="65"/>
        <v>1790000</v>
      </c>
    </row>
    <row r="1374" spans="1:18">
      <c r="A1374" s="1">
        <v>2</v>
      </c>
      <c r="B1374" s="1" t="str">
        <f>"قطعات و لوازم يدكي"</f>
        <v>قطعات و لوازم يدكي</v>
      </c>
      <c r="C1374" s="1">
        <v>205</v>
      </c>
      <c r="D1374" s="1" t="str">
        <f>"انبار قطعات و لوازم يدكي بندرعباس"</f>
        <v>انبار قطعات و لوازم يدكي بندرعباس</v>
      </c>
      <c r="E1374" s="1" t="str">
        <f>"1800000027"</f>
        <v>1800000027</v>
      </c>
      <c r="F1374" s="1" t="str">
        <f>"فلنج 4"</f>
        <v>فلنج 4</v>
      </c>
      <c r="G1374" s="1" t="str">
        <f>"عدد"</f>
        <v>عدد</v>
      </c>
      <c r="H1374" s="1">
        <v>2</v>
      </c>
      <c r="I1374" s="1">
        <v>1906000</v>
      </c>
      <c r="J1374" s="1">
        <v>0</v>
      </c>
      <c r="K1374" s="1">
        <v>0</v>
      </c>
      <c r="L1374" s="1">
        <v>0</v>
      </c>
      <c r="M1374" s="1">
        <v>0</v>
      </c>
      <c r="O1374" s="1">
        <v>97</v>
      </c>
      <c r="P1374" s="4">
        <f t="shared" si="63"/>
        <v>1906000</v>
      </c>
      <c r="Q1374" s="4">
        <f t="shared" si="64"/>
        <v>2</v>
      </c>
      <c r="R1374" s="4">
        <f t="shared" si="65"/>
        <v>953000</v>
      </c>
    </row>
    <row r="1375" spans="1:18">
      <c r="A1375" s="1">
        <v>2</v>
      </c>
      <c r="B1375" s="1" t="str">
        <f>"قطعات و لوازم يدكي"</f>
        <v>قطعات و لوازم يدكي</v>
      </c>
      <c r="C1375" s="1">
        <v>205</v>
      </c>
      <c r="D1375" s="1" t="str">
        <f>"انبار قطعات و لوازم يدكي بندرعباس"</f>
        <v>انبار قطعات و لوازم يدكي بندرعباس</v>
      </c>
      <c r="E1375" s="1" t="str">
        <f>"1800000029"</f>
        <v>1800000029</v>
      </c>
      <c r="F1375" s="1" t="str">
        <f>"فلنج 12"</f>
        <v>فلنج 12</v>
      </c>
      <c r="G1375" s="1" t="str">
        <f>"عدد"</f>
        <v>عدد</v>
      </c>
      <c r="H1375" s="1">
        <v>1</v>
      </c>
      <c r="I1375" s="1">
        <v>6062000</v>
      </c>
      <c r="J1375" s="1">
        <v>0</v>
      </c>
      <c r="K1375" s="1">
        <v>0</v>
      </c>
      <c r="L1375" s="1">
        <v>0</v>
      </c>
      <c r="M1375" s="1">
        <v>0</v>
      </c>
      <c r="O1375" s="1">
        <v>97</v>
      </c>
      <c r="P1375" s="4">
        <f t="shared" si="63"/>
        <v>6062000</v>
      </c>
      <c r="Q1375" s="4">
        <f t="shared" si="64"/>
        <v>1</v>
      </c>
      <c r="R1375" s="4">
        <f t="shared" si="65"/>
        <v>6062000</v>
      </c>
    </row>
    <row r="1376" spans="1:18">
      <c r="A1376" s="1">
        <v>2</v>
      </c>
      <c r="B1376" s="1" t="str">
        <f>"قطعات و لوازم يدكي"</f>
        <v>قطعات و لوازم يدكي</v>
      </c>
      <c r="C1376" s="1">
        <v>205</v>
      </c>
      <c r="D1376" s="1" t="str">
        <f>"انبار قطعات و لوازم يدكي بندرعباس"</f>
        <v>انبار قطعات و لوازم يدكي بندرعباس</v>
      </c>
      <c r="E1376" s="1" t="str">
        <f>"1800000036"</f>
        <v>1800000036</v>
      </c>
      <c r="F1376" s="1" t="str">
        <f>"فلنج 3/4"</f>
        <v>فلنج 3/4</v>
      </c>
      <c r="G1376" s="1" t="str">
        <f>"عدد"</f>
        <v>عدد</v>
      </c>
      <c r="H1376" s="1">
        <v>2</v>
      </c>
      <c r="I1376" s="1">
        <v>344000</v>
      </c>
      <c r="J1376" s="1">
        <v>0</v>
      </c>
      <c r="K1376" s="1">
        <v>0</v>
      </c>
      <c r="L1376" s="1">
        <v>0</v>
      </c>
      <c r="M1376" s="1">
        <v>0</v>
      </c>
      <c r="O1376" s="1">
        <v>97</v>
      </c>
      <c r="P1376" s="4">
        <f t="shared" si="63"/>
        <v>344000</v>
      </c>
      <c r="Q1376" s="4">
        <f t="shared" si="64"/>
        <v>2</v>
      </c>
      <c r="R1376" s="4">
        <f t="shared" si="65"/>
        <v>172000</v>
      </c>
    </row>
    <row r="1377" spans="1:18">
      <c r="A1377" s="1">
        <v>2</v>
      </c>
      <c r="B1377" s="1" t="str">
        <f>"قطعات و لوازم يدكي"</f>
        <v>قطعات و لوازم يدكي</v>
      </c>
      <c r="C1377" s="1">
        <v>205</v>
      </c>
      <c r="D1377" s="1" t="str">
        <f>"انبار قطعات و لوازم يدكي بندرعباس"</f>
        <v>انبار قطعات و لوازم يدكي بندرعباس</v>
      </c>
      <c r="E1377" s="1" t="str">
        <f>"1800000043"</f>
        <v>1800000043</v>
      </c>
      <c r="F1377" s="1" t="str">
        <f>"فلنج 1/2*1 اينچي"</f>
        <v>فلنج 1/2*1 اينچي</v>
      </c>
      <c r="G1377" s="1" t="str">
        <f>"عدد"</f>
        <v>عدد</v>
      </c>
      <c r="H1377" s="1">
        <v>6</v>
      </c>
      <c r="I1377" s="1">
        <v>2202000</v>
      </c>
      <c r="J1377" s="1">
        <v>0</v>
      </c>
      <c r="K1377" s="1">
        <v>0</v>
      </c>
      <c r="L1377" s="1">
        <v>1</v>
      </c>
      <c r="M1377" s="1">
        <v>367000</v>
      </c>
      <c r="O1377" s="1">
        <v>97</v>
      </c>
      <c r="P1377" s="4">
        <f t="shared" si="63"/>
        <v>1835000</v>
      </c>
      <c r="Q1377" s="4">
        <f t="shared" si="64"/>
        <v>5</v>
      </c>
      <c r="R1377" s="4">
        <f t="shared" si="65"/>
        <v>367000</v>
      </c>
    </row>
    <row r="1378" spans="1:18">
      <c r="A1378" s="1">
        <v>2</v>
      </c>
      <c r="B1378" s="1" t="str">
        <f>"قطعات و لوازم يدكي"</f>
        <v>قطعات و لوازم يدكي</v>
      </c>
      <c r="C1378" s="1">
        <v>205</v>
      </c>
      <c r="D1378" s="1" t="str">
        <f>"انبار قطعات و لوازم يدكي بندرعباس"</f>
        <v>انبار قطعات و لوازم يدكي بندرعباس</v>
      </c>
      <c r="E1378" s="1" t="str">
        <f>"1800000061"</f>
        <v>1800000061</v>
      </c>
      <c r="F1378" s="1" t="str">
        <f>"پاک کننده دست"</f>
        <v>پاک کننده دست</v>
      </c>
      <c r="G1378" s="1" t="str">
        <f>"عدد"</f>
        <v>عدد</v>
      </c>
      <c r="H1378" s="1">
        <v>2</v>
      </c>
      <c r="I1378" s="1">
        <v>190000</v>
      </c>
      <c r="J1378" s="1">
        <v>5</v>
      </c>
      <c r="K1378" s="1">
        <v>750000</v>
      </c>
      <c r="L1378" s="1">
        <v>5</v>
      </c>
      <c r="M1378" s="1">
        <v>671429</v>
      </c>
      <c r="O1378" s="1">
        <v>97</v>
      </c>
      <c r="P1378" s="4">
        <f t="shared" si="63"/>
        <v>268571</v>
      </c>
      <c r="Q1378" s="4">
        <f t="shared" si="64"/>
        <v>2</v>
      </c>
      <c r="R1378" s="4">
        <f t="shared" si="65"/>
        <v>134285.5</v>
      </c>
    </row>
    <row r="1379" spans="1:18">
      <c r="A1379" s="1">
        <v>2</v>
      </c>
      <c r="B1379" s="1" t="str">
        <f>"قطعات و لوازم يدكي"</f>
        <v>قطعات و لوازم يدكي</v>
      </c>
      <c r="C1379" s="1">
        <v>205</v>
      </c>
      <c r="D1379" s="1" t="str">
        <f>"انبار قطعات و لوازم يدكي بندرعباس"</f>
        <v>انبار قطعات و لوازم يدكي بندرعباس</v>
      </c>
      <c r="E1379" s="1" t="str">
        <f>"1800000070"</f>
        <v>1800000070</v>
      </c>
      <c r="F1379" s="1" t="str">
        <f>"زانو 4"</f>
        <v>زانو 4</v>
      </c>
      <c r="G1379" s="1" t="str">
        <f>"عدد"</f>
        <v>عدد</v>
      </c>
      <c r="H1379" s="1">
        <v>7</v>
      </c>
      <c r="I1379" s="1">
        <v>1813000</v>
      </c>
      <c r="J1379" s="1">
        <v>0</v>
      </c>
      <c r="K1379" s="1">
        <v>0</v>
      </c>
      <c r="L1379" s="1">
        <v>1</v>
      </c>
      <c r="M1379" s="1">
        <v>259000</v>
      </c>
      <c r="O1379" s="1">
        <v>97</v>
      </c>
      <c r="P1379" s="4">
        <f t="shared" si="63"/>
        <v>1554000</v>
      </c>
      <c r="Q1379" s="4">
        <f t="shared" si="64"/>
        <v>6</v>
      </c>
      <c r="R1379" s="4">
        <f t="shared" si="65"/>
        <v>259000</v>
      </c>
    </row>
    <row r="1380" spans="1:18">
      <c r="A1380" s="1">
        <v>2</v>
      </c>
      <c r="B1380" s="1" t="str">
        <f>"قطعات و لوازم يدكي"</f>
        <v>قطعات و لوازم يدكي</v>
      </c>
      <c r="C1380" s="1">
        <v>205</v>
      </c>
      <c r="D1380" s="1" t="str">
        <f>"انبار قطعات و لوازم يدكي بندرعباس"</f>
        <v>انبار قطعات و لوازم يدكي بندرعباس</v>
      </c>
      <c r="E1380" s="1" t="str">
        <f>"1800000083"</f>
        <v>1800000083</v>
      </c>
      <c r="F1380" s="1" t="str">
        <f>"زانو3/4"</f>
        <v>زانو3/4</v>
      </c>
      <c r="G1380" s="1" t="str">
        <f>"عدد"</f>
        <v>عدد</v>
      </c>
      <c r="H1380" s="1">
        <v>90</v>
      </c>
      <c r="I1380" s="1">
        <v>3890520</v>
      </c>
      <c r="J1380" s="1">
        <v>0</v>
      </c>
      <c r="K1380" s="1">
        <v>0</v>
      </c>
      <c r="L1380" s="1">
        <v>13</v>
      </c>
      <c r="M1380" s="1">
        <v>561964</v>
      </c>
      <c r="O1380" s="1">
        <v>97</v>
      </c>
      <c r="P1380" s="4">
        <f t="shared" si="63"/>
        <v>3328556</v>
      </c>
      <c r="Q1380" s="4">
        <f t="shared" si="64"/>
        <v>77</v>
      </c>
      <c r="R1380" s="4">
        <f t="shared" si="65"/>
        <v>43228</v>
      </c>
    </row>
    <row r="1381" spans="1:18">
      <c r="A1381" s="1">
        <v>2</v>
      </c>
      <c r="B1381" s="1" t="str">
        <f>"قطعات و لوازم يدكي"</f>
        <v>قطعات و لوازم يدكي</v>
      </c>
      <c r="C1381" s="1">
        <v>205</v>
      </c>
      <c r="D1381" s="1" t="str">
        <f>"انبار قطعات و لوازم يدكي بندرعباس"</f>
        <v>انبار قطعات و لوازم يدكي بندرعباس</v>
      </c>
      <c r="E1381" s="1" t="str">
        <f>"1800000084"</f>
        <v>1800000084</v>
      </c>
      <c r="F1381" s="1" t="str">
        <f>"زانو 3 اينچ"</f>
        <v>زانو 3 اينچ</v>
      </c>
      <c r="G1381" s="1" t="str">
        <f>"عدد"</f>
        <v>عدد</v>
      </c>
      <c r="H1381" s="1">
        <v>26</v>
      </c>
      <c r="I1381" s="1">
        <v>11239280</v>
      </c>
      <c r="J1381" s="1">
        <v>0</v>
      </c>
      <c r="K1381" s="1">
        <v>0</v>
      </c>
      <c r="L1381" s="1">
        <v>0</v>
      </c>
      <c r="M1381" s="1">
        <v>0</v>
      </c>
      <c r="O1381" s="1">
        <v>97</v>
      </c>
      <c r="P1381" s="4">
        <f t="shared" si="63"/>
        <v>11239280</v>
      </c>
      <c r="Q1381" s="4">
        <f t="shared" si="64"/>
        <v>26</v>
      </c>
      <c r="R1381" s="4">
        <f t="shared" si="65"/>
        <v>432280</v>
      </c>
    </row>
    <row r="1382" spans="1:18">
      <c r="A1382" s="1">
        <v>2</v>
      </c>
      <c r="B1382" s="1" t="str">
        <f>"قطعات و لوازم يدكي"</f>
        <v>قطعات و لوازم يدكي</v>
      </c>
      <c r="C1382" s="1">
        <v>205</v>
      </c>
      <c r="D1382" s="1" t="str">
        <f>"انبار قطعات و لوازم يدكي بندرعباس"</f>
        <v>انبار قطعات و لوازم يدكي بندرعباس</v>
      </c>
      <c r="E1382" s="1" t="str">
        <f>"1800000105"</f>
        <v>1800000105</v>
      </c>
      <c r="F1382" s="1" t="str">
        <f>"تي 1/2 اينچ"</f>
        <v>تي 1/2 اينچ</v>
      </c>
      <c r="G1382" s="1" t="str">
        <f>"عدد"</f>
        <v>عدد</v>
      </c>
      <c r="H1382" s="1">
        <v>24</v>
      </c>
      <c r="I1382" s="1">
        <v>6216000</v>
      </c>
      <c r="J1382" s="1">
        <v>0</v>
      </c>
      <c r="K1382" s="1">
        <v>0</v>
      </c>
      <c r="L1382" s="1">
        <v>1</v>
      </c>
      <c r="M1382" s="1">
        <v>259000</v>
      </c>
      <c r="O1382" s="1">
        <v>97</v>
      </c>
      <c r="P1382" s="4">
        <f t="shared" si="63"/>
        <v>5957000</v>
      </c>
      <c r="Q1382" s="4">
        <f t="shared" si="64"/>
        <v>23</v>
      </c>
      <c r="R1382" s="4">
        <f t="shared" si="65"/>
        <v>259000</v>
      </c>
    </row>
    <row r="1383" spans="1:18">
      <c r="A1383" s="1">
        <v>2</v>
      </c>
      <c r="B1383" s="1" t="str">
        <f>"قطعات و لوازم يدكي"</f>
        <v>قطعات و لوازم يدكي</v>
      </c>
      <c r="C1383" s="1">
        <v>205</v>
      </c>
      <c r="D1383" s="1" t="str">
        <f>"انبار قطعات و لوازم يدكي بندرعباس"</f>
        <v>انبار قطعات و لوازم يدكي بندرعباس</v>
      </c>
      <c r="E1383" s="1" t="str">
        <f>"1800000109"</f>
        <v>1800000109</v>
      </c>
      <c r="F1383" s="1" t="str">
        <f>"تي12"</f>
        <v>تي12</v>
      </c>
      <c r="G1383" s="1" t="str">
        <f>"عدد"</f>
        <v>عدد</v>
      </c>
      <c r="H1383" s="1">
        <v>2</v>
      </c>
      <c r="I1383" s="1">
        <v>4667998</v>
      </c>
      <c r="J1383" s="1">
        <v>0</v>
      </c>
      <c r="K1383" s="1">
        <v>0</v>
      </c>
      <c r="L1383" s="1">
        <v>0</v>
      </c>
      <c r="M1383" s="1">
        <v>0</v>
      </c>
      <c r="O1383" s="1">
        <v>97</v>
      </c>
      <c r="P1383" s="4">
        <f t="shared" si="63"/>
        <v>4667998</v>
      </c>
      <c r="Q1383" s="4">
        <f t="shared" si="64"/>
        <v>2</v>
      </c>
      <c r="R1383" s="4">
        <f t="shared" si="65"/>
        <v>2333999</v>
      </c>
    </row>
    <row r="1384" spans="1:18">
      <c r="A1384" s="1">
        <v>2</v>
      </c>
      <c r="B1384" s="1" t="str">
        <f>"قطعات و لوازم يدكي"</f>
        <v>قطعات و لوازم يدكي</v>
      </c>
      <c r="C1384" s="1">
        <v>205</v>
      </c>
      <c r="D1384" s="1" t="str">
        <f>"انبار قطعات و لوازم يدكي بندرعباس"</f>
        <v>انبار قطعات و لوازم يدكي بندرعباس</v>
      </c>
      <c r="E1384" s="1" t="str">
        <f>"1800000125"</f>
        <v>1800000125</v>
      </c>
      <c r="F1384" s="1" t="str">
        <f>"تي ولد تبديل 1/2*1-1"</f>
        <v>تي ولد تبديل 1/2*1-1</v>
      </c>
      <c r="G1384" s="1" t="str">
        <f>"عدد"</f>
        <v>عدد</v>
      </c>
      <c r="H1384" s="1">
        <v>51</v>
      </c>
      <c r="I1384" s="1">
        <v>11526000</v>
      </c>
      <c r="J1384" s="1">
        <v>0</v>
      </c>
      <c r="K1384" s="1">
        <v>0</v>
      </c>
      <c r="L1384" s="1">
        <v>0</v>
      </c>
      <c r="M1384" s="1">
        <v>0</v>
      </c>
      <c r="O1384" s="1">
        <v>97</v>
      </c>
      <c r="P1384" s="4">
        <f t="shared" si="63"/>
        <v>11526000</v>
      </c>
      <c r="Q1384" s="4">
        <f t="shared" si="64"/>
        <v>51</v>
      </c>
      <c r="R1384" s="4">
        <f t="shared" si="65"/>
        <v>226000</v>
      </c>
    </row>
    <row r="1385" spans="1:18">
      <c r="A1385" s="1">
        <v>2</v>
      </c>
      <c r="B1385" s="1" t="str">
        <f>"قطعات و لوازم يدكي"</f>
        <v>قطعات و لوازم يدكي</v>
      </c>
      <c r="C1385" s="1">
        <v>205</v>
      </c>
      <c r="D1385" s="1" t="str">
        <f>"انبار قطعات و لوازم يدكي بندرعباس"</f>
        <v>انبار قطعات و لوازم يدكي بندرعباس</v>
      </c>
      <c r="E1385" s="1" t="str">
        <f>"1800000166"</f>
        <v>1800000166</v>
      </c>
      <c r="F1385" s="1" t="str">
        <f>"باکس ضد گردوغبار15*15"</f>
        <v>باکس ضد گردوغبار15*15</v>
      </c>
      <c r="G1385" s="1" t="str">
        <f>"عدد"</f>
        <v>عدد</v>
      </c>
      <c r="H1385" s="1">
        <v>1</v>
      </c>
      <c r="I1385" s="1">
        <v>100000</v>
      </c>
      <c r="J1385" s="1">
        <v>0</v>
      </c>
      <c r="K1385" s="1">
        <v>0</v>
      </c>
      <c r="L1385" s="1">
        <v>0</v>
      </c>
      <c r="M1385" s="1">
        <v>0</v>
      </c>
      <c r="O1385" s="1">
        <v>97</v>
      </c>
      <c r="P1385" s="4">
        <f t="shared" si="63"/>
        <v>100000</v>
      </c>
      <c r="Q1385" s="4">
        <f t="shared" si="64"/>
        <v>1</v>
      </c>
      <c r="R1385" s="4">
        <f t="shared" si="65"/>
        <v>100000</v>
      </c>
    </row>
    <row r="1386" spans="1:18">
      <c r="A1386" s="1">
        <v>2</v>
      </c>
      <c r="B1386" s="1" t="str">
        <f>"قطعات و لوازم يدكي"</f>
        <v>قطعات و لوازم يدكي</v>
      </c>
      <c r="C1386" s="1">
        <v>205</v>
      </c>
      <c r="D1386" s="1" t="str">
        <f>"انبار قطعات و لوازم يدكي بندرعباس"</f>
        <v>انبار قطعات و لوازم يدكي بندرعباس</v>
      </c>
      <c r="E1386" s="1" t="str">
        <f>"1800000183"</f>
        <v>1800000183</v>
      </c>
      <c r="F1386" s="1" t="str">
        <f>"بست فلزي 30-20"</f>
        <v>بست فلزي 30-20</v>
      </c>
      <c r="G1386" s="1" t="str">
        <f>"عدد"</f>
        <v>عدد</v>
      </c>
      <c r="H1386" s="1">
        <v>1</v>
      </c>
      <c r="I1386" s="1">
        <v>200</v>
      </c>
      <c r="J1386" s="1">
        <v>0</v>
      </c>
      <c r="K1386" s="1">
        <v>0</v>
      </c>
      <c r="L1386" s="1">
        <v>0</v>
      </c>
      <c r="M1386" s="1">
        <v>0</v>
      </c>
      <c r="O1386" s="1">
        <v>97</v>
      </c>
      <c r="P1386" s="4">
        <f t="shared" si="63"/>
        <v>200</v>
      </c>
      <c r="Q1386" s="4">
        <f t="shared" si="64"/>
        <v>1</v>
      </c>
      <c r="R1386" s="4">
        <f t="shared" si="65"/>
        <v>200</v>
      </c>
    </row>
    <row r="1387" spans="1:18" hidden="1">
      <c r="A1387" s="1">
        <v>2</v>
      </c>
      <c r="B1387" s="1" t="str">
        <f>"قطعات و لوازم يدكي"</f>
        <v>قطعات و لوازم يدكي</v>
      </c>
      <c r="C1387" s="1">
        <v>205</v>
      </c>
      <c r="D1387" s="1" t="str">
        <f>"انبار قطعات و لوازم يدكي بندرعباس"</f>
        <v>انبار قطعات و لوازم يدكي بندرعباس</v>
      </c>
      <c r="E1387" s="1" t="str">
        <f>"1800000185"</f>
        <v>1800000185</v>
      </c>
      <c r="F1387" s="1" t="str">
        <f>"بست کمربندي 50"</f>
        <v>بست کمربندي 50</v>
      </c>
      <c r="G1387" s="1" t="str">
        <f>"بسته"</f>
        <v>بسته</v>
      </c>
      <c r="H1387" s="1">
        <v>5</v>
      </c>
      <c r="I1387" s="1">
        <v>2000</v>
      </c>
      <c r="J1387" s="1">
        <v>0</v>
      </c>
      <c r="K1387" s="1">
        <v>0</v>
      </c>
      <c r="L1387" s="1">
        <v>5</v>
      </c>
      <c r="M1387" s="1">
        <v>2000</v>
      </c>
      <c r="O1387" s="1">
        <v>97</v>
      </c>
      <c r="P1387" s="1">
        <f t="shared" si="63"/>
        <v>0</v>
      </c>
      <c r="Q1387" s="1">
        <f t="shared" si="64"/>
        <v>0</v>
      </c>
      <c r="R1387" s="1" t="e">
        <f t="shared" si="65"/>
        <v>#DIV/0!</v>
      </c>
    </row>
    <row r="1388" spans="1:18" hidden="1">
      <c r="A1388" s="1">
        <v>2</v>
      </c>
      <c r="B1388" s="1" t="str">
        <f>"قطعات و لوازم يدكي"</f>
        <v>قطعات و لوازم يدكي</v>
      </c>
      <c r="C1388" s="1">
        <v>205</v>
      </c>
      <c r="D1388" s="1" t="str">
        <f>"انبار قطعات و لوازم يدكي بندرعباس"</f>
        <v>انبار قطعات و لوازم يدكي بندرعباس</v>
      </c>
      <c r="E1388" s="1" t="str">
        <f>"1800000206"</f>
        <v>1800000206</v>
      </c>
      <c r="F1388" s="1" t="str">
        <f>"بوشن گالوانيزه 4"</f>
        <v>بوشن گالوانيزه 4</v>
      </c>
      <c r="G1388" s="1" t="str">
        <f>"عدد"</f>
        <v>عدد</v>
      </c>
      <c r="H1388" s="1">
        <v>5</v>
      </c>
      <c r="I1388" s="1">
        <v>250000</v>
      </c>
      <c r="J1388" s="1">
        <v>6</v>
      </c>
      <c r="K1388" s="1">
        <v>1650000</v>
      </c>
      <c r="L1388" s="1">
        <v>11</v>
      </c>
      <c r="M1388" s="1">
        <v>1900000</v>
      </c>
      <c r="O1388" s="1">
        <v>97</v>
      </c>
      <c r="P1388" s="1">
        <f t="shared" si="63"/>
        <v>0</v>
      </c>
      <c r="Q1388" s="1">
        <f t="shared" si="64"/>
        <v>0</v>
      </c>
      <c r="R1388" s="1" t="e">
        <f t="shared" si="65"/>
        <v>#DIV/0!</v>
      </c>
    </row>
    <row r="1389" spans="1:18">
      <c r="A1389" s="1">
        <v>2</v>
      </c>
      <c r="B1389" s="1" t="str">
        <f>"قطعات و لوازم يدكي"</f>
        <v>قطعات و لوازم يدكي</v>
      </c>
      <c r="C1389" s="1">
        <v>101</v>
      </c>
      <c r="D1389" s="1" t="str">
        <f>"انبار قطعات و لوازم يدكي اصفهان"</f>
        <v>انبار قطعات و لوازم يدكي اصفهان</v>
      </c>
      <c r="E1389" s="1" t="str">
        <f>"8541331242"</f>
        <v>8541331242</v>
      </c>
      <c r="F1389" s="1" t="s">
        <v>99</v>
      </c>
      <c r="G1389" s="1" t="str">
        <f>"عدد"</f>
        <v>عدد</v>
      </c>
      <c r="H1389" s="1">
        <v>3</v>
      </c>
      <c r="I1389" s="1">
        <v>119453</v>
      </c>
      <c r="J1389" s="1">
        <v>413</v>
      </c>
      <c r="K1389" s="1">
        <v>42673000</v>
      </c>
      <c r="L1389" s="1">
        <v>155</v>
      </c>
      <c r="M1389" s="1">
        <v>16547691</v>
      </c>
      <c r="O1389" s="1">
        <v>97</v>
      </c>
      <c r="P1389" s="4">
        <f t="shared" si="63"/>
        <v>26244762</v>
      </c>
      <c r="Q1389" s="4">
        <f t="shared" si="64"/>
        <v>261</v>
      </c>
      <c r="R1389" s="4">
        <f t="shared" si="65"/>
        <v>100554.64367816092</v>
      </c>
    </row>
    <row r="1390" spans="1:18" hidden="1">
      <c r="A1390" s="1">
        <v>2</v>
      </c>
      <c r="B1390" s="1" t="str">
        <f>"قطعات و لوازم يدكي"</f>
        <v>قطعات و لوازم يدكي</v>
      </c>
      <c r="C1390" s="1">
        <v>101</v>
      </c>
      <c r="D1390" s="1" t="str">
        <f>"انبار قطعات و لوازم يدكي اصفهان"</f>
        <v>انبار قطعات و لوازم يدكي اصفهان</v>
      </c>
      <c r="E1390" s="1" t="str">
        <f>"8564012232"</f>
        <v>8564012232</v>
      </c>
      <c r="F1390" s="1" t="str">
        <f>"كلسيم سيليكات 8 اينچ(ايزوپايپ)"</f>
        <v>كلسيم سيليكات 8 اينچ(ايزوپايپ)</v>
      </c>
      <c r="G1390" s="1" t="str">
        <f>"متر"</f>
        <v>متر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O1390" s="1">
        <v>97</v>
      </c>
      <c r="P1390" s="1">
        <f t="shared" si="63"/>
        <v>0</v>
      </c>
      <c r="Q1390" s="1">
        <f t="shared" si="64"/>
        <v>0</v>
      </c>
      <c r="R1390" s="1" t="e">
        <f t="shared" si="65"/>
        <v>#DIV/0!</v>
      </c>
    </row>
    <row r="1391" spans="1:18" hidden="1">
      <c r="A1391" s="1">
        <v>2</v>
      </c>
      <c r="B1391" s="1" t="str">
        <f>"قطعات و لوازم يدكي"</f>
        <v>قطعات و لوازم يدكي</v>
      </c>
      <c r="C1391" s="1">
        <v>101</v>
      </c>
      <c r="D1391" s="1" t="str">
        <f>"انبار قطعات و لوازم يدكي اصفهان"</f>
        <v>انبار قطعات و لوازم يدكي اصفهان</v>
      </c>
      <c r="E1391" s="1" t="str">
        <f>"8574402032"</f>
        <v>8574402032</v>
      </c>
      <c r="F1391" s="1" t="str">
        <f>"تسمه استنلس استيل سايز 16mm*./5mm"</f>
        <v>تسمه استنلس استيل سايز 16mm*./5mm</v>
      </c>
      <c r="G1391" s="1" t="str">
        <f>"كيلوگرم"</f>
        <v>كيلوگرم</v>
      </c>
      <c r="H1391" s="1">
        <v>0</v>
      </c>
      <c r="I1391" s="1">
        <v>0</v>
      </c>
      <c r="J1391" s="1">
        <v>1800</v>
      </c>
      <c r="K1391" s="1">
        <v>68445000</v>
      </c>
      <c r="L1391" s="1">
        <v>1800</v>
      </c>
      <c r="M1391" s="1">
        <v>68445000</v>
      </c>
      <c r="O1391" s="1">
        <v>97</v>
      </c>
      <c r="P1391" s="1">
        <f t="shared" si="63"/>
        <v>0</v>
      </c>
      <c r="Q1391" s="1">
        <f t="shared" si="64"/>
        <v>0</v>
      </c>
      <c r="R1391" s="1" t="e">
        <f t="shared" si="65"/>
        <v>#DIV/0!</v>
      </c>
    </row>
    <row r="1392" spans="1:18" hidden="1">
      <c r="A1392" s="1">
        <v>2</v>
      </c>
      <c r="B1392" s="1" t="str">
        <f>"قطعات و لوازم يدكي"</f>
        <v>قطعات و لوازم يدكي</v>
      </c>
      <c r="C1392" s="1">
        <v>101</v>
      </c>
      <c r="D1392" s="1" t="str">
        <f>"انبار قطعات و لوازم يدكي اصفهان"</f>
        <v>انبار قطعات و لوازم يدكي اصفهان</v>
      </c>
      <c r="E1392" s="1" t="str">
        <f>"8574402052"</f>
        <v>8574402052</v>
      </c>
      <c r="F1392" s="1" t="str">
        <f>"سيم مفتول 1/5"</f>
        <v>سيم مفتول 1/5</v>
      </c>
      <c r="G1392" s="1" t="str">
        <f>"كيلوگرم"</f>
        <v>كيلوگرم</v>
      </c>
      <c r="H1392" s="1">
        <v>0</v>
      </c>
      <c r="I1392" s="1">
        <v>0</v>
      </c>
      <c r="J1392" s="1">
        <v>25</v>
      </c>
      <c r="K1392" s="1">
        <v>2900000</v>
      </c>
      <c r="L1392" s="1">
        <v>25</v>
      </c>
      <c r="M1392" s="1">
        <v>2900000</v>
      </c>
      <c r="O1392" s="1">
        <v>97</v>
      </c>
      <c r="P1392" s="1">
        <f t="shared" si="63"/>
        <v>0</v>
      </c>
      <c r="Q1392" s="1">
        <f t="shared" si="64"/>
        <v>0</v>
      </c>
      <c r="R1392" s="1" t="e">
        <f t="shared" si="65"/>
        <v>#DIV/0!</v>
      </c>
    </row>
    <row r="1393" spans="1:18" hidden="1">
      <c r="A1393" s="1">
        <v>2</v>
      </c>
      <c r="B1393" s="1" t="str">
        <f>"قطعات و لوازم يدكي"</f>
        <v>قطعات و لوازم يدكي</v>
      </c>
      <c r="C1393" s="1">
        <v>101</v>
      </c>
      <c r="D1393" s="1" t="str">
        <f>"انبار قطعات و لوازم يدكي اصفهان"</f>
        <v>انبار قطعات و لوازم يدكي اصفهان</v>
      </c>
      <c r="E1393" s="1" t="str">
        <f>"8574402212"</f>
        <v>8574402212</v>
      </c>
      <c r="F1393" s="1" t="str">
        <f>"پيچ استنلس استيل سايز 13*2/4"</f>
        <v>پيچ استنلس استيل سايز 13*2/4</v>
      </c>
      <c r="G1393" s="1" t="str">
        <f>"عدد"</f>
        <v>عدد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O1393" s="1">
        <v>97</v>
      </c>
      <c r="P1393" s="1">
        <f t="shared" si="63"/>
        <v>0</v>
      </c>
      <c r="Q1393" s="1">
        <f t="shared" si="64"/>
        <v>0</v>
      </c>
      <c r="R1393" s="1" t="e">
        <f t="shared" si="65"/>
        <v>#DIV/0!</v>
      </c>
    </row>
    <row r="1394" spans="1:18">
      <c r="A1394" s="1">
        <v>2</v>
      </c>
      <c r="B1394" s="1" t="str">
        <f>"قطعات و لوازم يدكي"</f>
        <v>قطعات و لوازم يدكي</v>
      </c>
      <c r="C1394" s="1">
        <v>101</v>
      </c>
      <c r="D1394" s="1" t="str">
        <f>"انبار قطعات و لوازم يدكي اصفهان"</f>
        <v>انبار قطعات و لوازم يدكي اصفهان</v>
      </c>
      <c r="E1394" s="1" t="str">
        <f>"8701021022"</f>
        <v>8701021022</v>
      </c>
      <c r="F1394" s="1" t="str">
        <f>"ضد زنگ اسپري"</f>
        <v>ضد زنگ اسپري</v>
      </c>
      <c r="G1394" s="1" t="str">
        <f>"عدد"</f>
        <v>عدد</v>
      </c>
      <c r="H1394" s="1">
        <v>15</v>
      </c>
      <c r="I1394" s="1">
        <v>870000</v>
      </c>
      <c r="J1394" s="1">
        <v>0</v>
      </c>
      <c r="K1394" s="1">
        <v>0</v>
      </c>
      <c r="L1394" s="1">
        <v>0</v>
      </c>
      <c r="M1394" s="1">
        <v>0</v>
      </c>
      <c r="O1394" s="1">
        <v>97</v>
      </c>
      <c r="P1394" s="4">
        <f t="shared" si="63"/>
        <v>870000</v>
      </c>
      <c r="Q1394" s="4">
        <f t="shared" si="64"/>
        <v>15</v>
      </c>
      <c r="R1394" s="4">
        <f t="shared" si="65"/>
        <v>58000</v>
      </c>
    </row>
    <row r="1395" spans="1:18" hidden="1">
      <c r="A1395" s="1">
        <v>2</v>
      </c>
      <c r="B1395" s="1" t="str">
        <f>"قطعات و لوازم يدكي"</f>
        <v>قطعات و لوازم يدكي</v>
      </c>
      <c r="C1395" s="1">
        <v>101</v>
      </c>
      <c r="D1395" s="1" t="str">
        <f>"انبار قطعات و لوازم يدكي اصفهان"</f>
        <v>انبار قطعات و لوازم يدكي اصفهان</v>
      </c>
      <c r="E1395" s="1" t="str">
        <f>"8701021082"</f>
        <v>8701021082</v>
      </c>
      <c r="F1395" s="1" t="str">
        <f>"گرن پودر زبر و نرم"</f>
        <v>گرن پودر زبر و نرم</v>
      </c>
      <c r="G1395" s="1" t="str">
        <f>"عدد"</f>
        <v>عدد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O1395" s="1">
        <v>97</v>
      </c>
      <c r="P1395" s="1">
        <f t="shared" si="63"/>
        <v>0</v>
      </c>
      <c r="Q1395" s="1">
        <f t="shared" si="64"/>
        <v>0</v>
      </c>
      <c r="R1395" s="1" t="e">
        <f t="shared" si="65"/>
        <v>#DIV/0!</v>
      </c>
    </row>
    <row r="1396" spans="1:18">
      <c r="A1396" s="1">
        <v>2</v>
      </c>
      <c r="B1396" s="1" t="str">
        <f>"قطعات و لوازم يدكي"</f>
        <v>قطعات و لوازم يدكي</v>
      </c>
      <c r="C1396" s="1">
        <v>101</v>
      </c>
      <c r="D1396" s="1" t="str">
        <f>"انبار قطعات و لوازم يدكي اصفهان"</f>
        <v>انبار قطعات و لوازم يدكي اصفهان</v>
      </c>
      <c r="E1396" s="1" t="str">
        <f>"8765523462"</f>
        <v>8765523462</v>
      </c>
      <c r="F1396" s="1" t="str">
        <f>"گريس قلمي سايز G"</f>
        <v>گريس قلمي سايز G</v>
      </c>
      <c r="G1396" s="1" t="str">
        <f>"عدد"</f>
        <v>عدد</v>
      </c>
      <c r="H1396" s="1">
        <v>120</v>
      </c>
      <c r="I1396" s="1">
        <v>5250000</v>
      </c>
      <c r="J1396" s="1">
        <v>0</v>
      </c>
      <c r="K1396" s="1">
        <v>0</v>
      </c>
      <c r="L1396" s="1">
        <v>0</v>
      </c>
      <c r="M1396" s="1">
        <v>0</v>
      </c>
      <c r="O1396" s="1">
        <v>97</v>
      </c>
      <c r="P1396" s="4">
        <f t="shared" si="63"/>
        <v>5250000</v>
      </c>
      <c r="Q1396" s="4">
        <f t="shared" si="64"/>
        <v>120</v>
      </c>
      <c r="R1396" s="4">
        <f t="shared" si="65"/>
        <v>43750</v>
      </c>
    </row>
    <row r="1397" spans="1:18">
      <c r="A1397" s="1">
        <v>2</v>
      </c>
      <c r="B1397" s="1" t="str">
        <f>"قطعات و لوازم يدكي"</f>
        <v>قطعات و لوازم يدكي</v>
      </c>
      <c r="C1397" s="1">
        <v>101</v>
      </c>
      <c r="D1397" s="1" t="str">
        <f>"انبار قطعات و لوازم يدكي اصفهان"</f>
        <v>انبار قطعات و لوازم يدكي اصفهان</v>
      </c>
      <c r="E1397" s="1" t="str">
        <f>"8765523522"</f>
        <v>8765523522</v>
      </c>
      <c r="F1397" s="1" t="str">
        <f>"گريس Alvania EP2"</f>
        <v>گريس Alvania EP2</v>
      </c>
      <c r="G1397" s="1" t="str">
        <f>"كيلوگرم"</f>
        <v>كيلوگرم</v>
      </c>
      <c r="H1397" s="1">
        <v>4</v>
      </c>
      <c r="I1397" s="1">
        <v>2620000</v>
      </c>
      <c r="J1397" s="1">
        <v>0</v>
      </c>
      <c r="K1397" s="1">
        <v>0</v>
      </c>
      <c r="L1397" s="1">
        <v>0</v>
      </c>
      <c r="M1397" s="1">
        <v>0</v>
      </c>
      <c r="O1397" s="1">
        <v>97</v>
      </c>
      <c r="P1397" s="4">
        <f t="shared" si="63"/>
        <v>2620000</v>
      </c>
      <c r="Q1397" s="4">
        <f t="shared" si="64"/>
        <v>4</v>
      </c>
      <c r="R1397" s="4">
        <f t="shared" si="65"/>
        <v>655000</v>
      </c>
    </row>
    <row r="1398" spans="1:18">
      <c r="A1398" s="1">
        <v>2</v>
      </c>
      <c r="B1398" s="1" t="str">
        <f>"قطعات و لوازم يدكي"</f>
        <v>قطعات و لوازم يدكي</v>
      </c>
      <c r="C1398" s="1">
        <v>101</v>
      </c>
      <c r="D1398" s="1" t="str">
        <f>"انبار قطعات و لوازم يدكي اصفهان"</f>
        <v>انبار قطعات و لوازم يدكي اصفهان</v>
      </c>
      <c r="E1398" s="1" t="str">
        <f>"8765524302"</f>
        <v>8765524302</v>
      </c>
      <c r="F1398" s="1" t="str">
        <f>"گريس نسوز RT3"</f>
        <v>گريس نسوز RT3</v>
      </c>
      <c r="G1398" s="1" t="str">
        <f>"كيلوگرم"</f>
        <v>كيلوگرم</v>
      </c>
      <c r="H1398" s="1">
        <v>16</v>
      </c>
      <c r="I1398" s="1">
        <v>1872682</v>
      </c>
      <c r="J1398" s="1">
        <v>36</v>
      </c>
      <c r="K1398" s="1">
        <v>10556057</v>
      </c>
      <c r="L1398" s="1">
        <v>8</v>
      </c>
      <c r="M1398" s="1">
        <v>1912114</v>
      </c>
      <c r="O1398" s="1">
        <v>97</v>
      </c>
      <c r="P1398" s="4">
        <f t="shared" si="63"/>
        <v>10516625</v>
      </c>
      <c r="Q1398" s="4">
        <f t="shared" si="64"/>
        <v>44</v>
      </c>
      <c r="R1398" s="4">
        <f t="shared" si="65"/>
        <v>239014.20454545456</v>
      </c>
    </row>
    <row r="1399" spans="1:18" hidden="1">
      <c r="A1399" s="1">
        <v>2</v>
      </c>
      <c r="B1399" s="1" t="str">
        <f>"قطعات و لوازم يدكي"</f>
        <v>قطعات و لوازم يدكي</v>
      </c>
      <c r="C1399" s="1">
        <v>101</v>
      </c>
      <c r="D1399" s="1" t="str">
        <f>"انبار قطعات و لوازم يدكي اصفهان"</f>
        <v>انبار قطعات و لوازم يدكي اصفهان</v>
      </c>
      <c r="E1399" s="1" t="str">
        <f>"8900000012"</f>
        <v>8900000012</v>
      </c>
      <c r="F1399" s="1" t="str">
        <f>"تري كلرواتيلن محرك اصل 818717"</f>
        <v>تري كلرواتيلن محرك اصل 818717</v>
      </c>
      <c r="G1399" s="1" t="str">
        <f>"ليتر"</f>
        <v>ليتر</v>
      </c>
      <c r="H1399" s="1">
        <v>0</v>
      </c>
      <c r="I1399" s="1">
        <v>0</v>
      </c>
      <c r="J1399" s="1">
        <v>5</v>
      </c>
      <c r="K1399" s="1">
        <v>11000000</v>
      </c>
      <c r="L1399" s="1">
        <v>5</v>
      </c>
      <c r="M1399" s="1">
        <v>11000000</v>
      </c>
      <c r="O1399" s="1">
        <v>97</v>
      </c>
      <c r="P1399" s="1">
        <f t="shared" si="63"/>
        <v>0</v>
      </c>
      <c r="Q1399" s="1">
        <f t="shared" si="64"/>
        <v>0</v>
      </c>
      <c r="R1399" s="1" t="e">
        <f t="shared" si="65"/>
        <v>#DIV/0!</v>
      </c>
    </row>
    <row r="1400" spans="1:18" hidden="1">
      <c r="A1400" s="1">
        <v>2</v>
      </c>
      <c r="B1400" s="1" t="str">
        <f>"قطعات و لوازم يدكي"</f>
        <v>قطعات و لوازم يدكي</v>
      </c>
      <c r="C1400" s="1">
        <v>101</v>
      </c>
      <c r="D1400" s="1" t="str">
        <f>"انبار قطعات و لوازم يدكي اصفهان"</f>
        <v>انبار قطعات و لوازم يدكي اصفهان</v>
      </c>
      <c r="E1400" s="1" t="str">
        <f>"8900000022"</f>
        <v>8900000022</v>
      </c>
      <c r="F1400" s="1" t="str">
        <f>"اتانول خالص محرك اصل 983"</f>
        <v>اتانول خالص محرك اصل 983</v>
      </c>
      <c r="G1400" s="1" t="str">
        <f>"ليتر"</f>
        <v>ليتر</v>
      </c>
      <c r="H1400" s="1">
        <v>0</v>
      </c>
      <c r="I1400" s="1">
        <v>0</v>
      </c>
      <c r="J1400" s="1">
        <v>5</v>
      </c>
      <c r="K1400" s="1">
        <v>7000000</v>
      </c>
      <c r="L1400" s="1">
        <v>5</v>
      </c>
      <c r="M1400" s="1">
        <v>7000000</v>
      </c>
      <c r="O1400" s="1">
        <v>97</v>
      </c>
      <c r="P1400" s="1">
        <f t="shared" si="63"/>
        <v>0</v>
      </c>
      <c r="Q1400" s="1">
        <f t="shared" si="64"/>
        <v>0</v>
      </c>
      <c r="R1400" s="1" t="e">
        <f t="shared" si="65"/>
        <v>#DIV/0!</v>
      </c>
    </row>
    <row r="1401" spans="1:18" hidden="1">
      <c r="A1401" s="1">
        <v>2</v>
      </c>
      <c r="B1401" s="1" t="str">
        <f>"قطعات و لوازم يدكي"</f>
        <v>قطعات و لوازم يدكي</v>
      </c>
      <c r="C1401" s="1">
        <v>101</v>
      </c>
      <c r="D1401" s="1" t="str">
        <f>"انبار قطعات و لوازم يدكي اصفهان"</f>
        <v>انبار قطعات و لوازم يدكي اصفهان</v>
      </c>
      <c r="E1401" s="1" t="str">
        <f>"8900000592"</f>
        <v>8900000592</v>
      </c>
      <c r="F1401" s="1" t="str">
        <f>"روغن سيليکون 20 ليتري آلماني ويسکوزيته 1000"</f>
        <v>روغن سيليکون 20 ليتري آلماني ويسکوزيته 1000</v>
      </c>
      <c r="G1401" s="1" t="str">
        <f>"عدد"</f>
        <v>عدد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O1401" s="1">
        <v>97</v>
      </c>
      <c r="P1401" s="1">
        <f t="shared" si="63"/>
        <v>0</v>
      </c>
      <c r="Q1401" s="1">
        <f t="shared" si="64"/>
        <v>0</v>
      </c>
      <c r="R1401" s="1" t="e">
        <f t="shared" si="65"/>
        <v>#DIV/0!</v>
      </c>
    </row>
    <row r="1402" spans="1:18" hidden="1">
      <c r="A1402" s="1">
        <v>2</v>
      </c>
      <c r="B1402" s="1" t="str">
        <f>"قطعات و لوازم يدكي"</f>
        <v>قطعات و لوازم يدكي</v>
      </c>
      <c r="C1402" s="1">
        <v>101</v>
      </c>
      <c r="D1402" s="1" t="str">
        <f>"انبار قطعات و لوازم يدكي اصفهان"</f>
        <v>انبار قطعات و لوازم يدكي اصفهان</v>
      </c>
      <c r="E1402" s="1" t="str">
        <f>"9000000072"</f>
        <v>9000000072</v>
      </c>
      <c r="F1402" s="1" t="str">
        <f>"کپسول (ظرف تبخير)"</f>
        <v>کپسول (ظرف تبخير)</v>
      </c>
      <c r="G1402" s="1" t="str">
        <f>"عدد"</f>
        <v>عدد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O1402" s="1">
        <v>97</v>
      </c>
      <c r="P1402" s="1">
        <f t="shared" si="63"/>
        <v>0</v>
      </c>
      <c r="Q1402" s="1">
        <f t="shared" si="64"/>
        <v>0</v>
      </c>
      <c r="R1402" s="1" t="e">
        <f t="shared" si="65"/>
        <v>#DIV/0!</v>
      </c>
    </row>
    <row r="1403" spans="1:18" hidden="1">
      <c r="A1403" s="1">
        <v>2</v>
      </c>
      <c r="B1403" s="1" t="str">
        <f>"قطعات و لوازم يدكي"</f>
        <v>قطعات و لوازم يدكي</v>
      </c>
      <c r="C1403" s="1">
        <v>101</v>
      </c>
      <c r="D1403" s="1" t="str">
        <f>"انبار قطعات و لوازم يدكي اصفهان"</f>
        <v>انبار قطعات و لوازم يدكي اصفهان</v>
      </c>
      <c r="E1403" s="1" t="str">
        <f>"9000000112"</f>
        <v>9000000112</v>
      </c>
      <c r="F1403" s="1" t="str">
        <f>"کاغذ کارتوش"</f>
        <v>کاغذ کارتوش</v>
      </c>
      <c r="G1403" s="1" t="str">
        <f>"بسته"</f>
        <v>بسته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O1403" s="1">
        <v>97</v>
      </c>
      <c r="P1403" s="1">
        <f t="shared" si="63"/>
        <v>0</v>
      </c>
      <c r="Q1403" s="1">
        <f t="shared" si="64"/>
        <v>0</v>
      </c>
      <c r="R1403" s="1" t="e">
        <f t="shared" si="65"/>
        <v>#DIV/0!</v>
      </c>
    </row>
    <row r="1404" spans="1:18" hidden="1">
      <c r="A1404" s="1">
        <v>2</v>
      </c>
      <c r="B1404" s="1" t="str">
        <f>"قطعات و لوازم يدكي"</f>
        <v>قطعات و لوازم يدكي</v>
      </c>
      <c r="C1404" s="1">
        <v>101</v>
      </c>
      <c r="D1404" s="1" t="str">
        <f>"انبار قطعات و لوازم يدكي اصفهان"</f>
        <v>انبار قطعات و لوازم يدكي اصفهان</v>
      </c>
      <c r="E1404" s="1" t="str">
        <f>"9000000122"</f>
        <v>9000000122</v>
      </c>
      <c r="F1404" s="1" t="str">
        <f>"گيره بورت نوادار"</f>
        <v>گيره بورت نوادار</v>
      </c>
      <c r="G1404" s="1" t="str">
        <f>"عدد"</f>
        <v>عدد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O1404" s="1">
        <v>97</v>
      </c>
      <c r="P1404" s="1">
        <f t="shared" si="63"/>
        <v>0</v>
      </c>
      <c r="Q1404" s="1">
        <f t="shared" si="64"/>
        <v>0</v>
      </c>
      <c r="R1404" s="1" t="e">
        <f t="shared" si="65"/>
        <v>#DIV/0!</v>
      </c>
    </row>
    <row r="1405" spans="1:18" hidden="1">
      <c r="A1405" s="1">
        <v>2</v>
      </c>
      <c r="B1405" s="1" t="str">
        <f>"قطعات و لوازم يدكي"</f>
        <v>قطعات و لوازم يدكي</v>
      </c>
      <c r="C1405" s="1">
        <v>101</v>
      </c>
      <c r="D1405" s="1" t="str">
        <f>"انبار قطعات و لوازم يدكي اصفهان"</f>
        <v>انبار قطعات و لوازم يدكي اصفهان</v>
      </c>
      <c r="E1405" s="1" t="str">
        <f>"9001020032"</f>
        <v>9001020032</v>
      </c>
      <c r="F1405" s="1" t="str">
        <f>"بافر 9 محرک"</f>
        <v>بافر 9 محرک</v>
      </c>
      <c r="G1405" s="1" t="str">
        <f>"عدد"</f>
        <v>عدد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O1405" s="1">
        <v>97</v>
      </c>
      <c r="P1405" s="1">
        <f t="shared" si="63"/>
        <v>0</v>
      </c>
      <c r="Q1405" s="1">
        <f t="shared" si="64"/>
        <v>0</v>
      </c>
      <c r="R1405" s="1" t="e">
        <f t="shared" si="65"/>
        <v>#DIV/0!</v>
      </c>
    </row>
    <row r="1406" spans="1:18" hidden="1">
      <c r="A1406" s="1">
        <v>2</v>
      </c>
      <c r="B1406" s="1" t="str">
        <f>"قطعات و لوازم يدكي"</f>
        <v>قطعات و لوازم يدكي</v>
      </c>
      <c r="C1406" s="1">
        <v>101</v>
      </c>
      <c r="D1406" s="1" t="str">
        <f>"انبار قطعات و لوازم يدكي اصفهان"</f>
        <v>انبار قطعات و لوازم يدكي اصفهان</v>
      </c>
      <c r="E1406" s="1" t="str">
        <f>"9500000012"</f>
        <v>9500000012</v>
      </c>
      <c r="F1406" s="1" t="str">
        <f>"لوله فولادي 6 رده 40"</f>
        <v>لوله فولادي 6 رده 40</v>
      </c>
      <c r="G1406" s="1" t="str">
        <f>"متر"</f>
        <v>متر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O1406" s="1">
        <v>97</v>
      </c>
      <c r="P1406" s="1">
        <f t="shared" si="63"/>
        <v>0</v>
      </c>
      <c r="Q1406" s="1">
        <f t="shared" si="64"/>
        <v>0</v>
      </c>
      <c r="R1406" s="1" t="e">
        <f t="shared" si="65"/>
        <v>#DIV/0!</v>
      </c>
    </row>
    <row r="1407" spans="1:18" hidden="1">
      <c r="A1407" s="1">
        <v>2</v>
      </c>
      <c r="B1407" s="1" t="str">
        <f>"قطعات و لوازم يدكي"</f>
        <v>قطعات و لوازم يدكي</v>
      </c>
      <c r="C1407" s="1">
        <v>101</v>
      </c>
      <c r="D1407" s="1" t="str">
        <f>"انبار قطعات و لوازم يدكي اصفهان"</f>
        <v>انبار قطعات و لوازم يدكي اصفهان</v>
      </c>
      <c r="E1407" s="1" t="str">
        <f>"9500000052"</f>
        <v>9500000052</v>
      </c>
      <c r="F1407" s="1" t="str">
        <f>"فلنج لبه دار 6 کلاس  150"</f>
        <v>فلنج لبه دار 6 کلاس  150</v>
      </c>
      <c r="G1407" s="1" t="str">
        <f>"عدد"</f>
        <v>عدد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O1407" s="1">
        <v>97</v>
      </c>
      <c r="P1407" s="1">
        <f t="shared" si="63"/>
        <v>0</v>
      </c>
      <c r="Q1407" s="1">
        <f t="shared" si="64"/>
        <v>0</v>
      </c>
      <c r="R1407" s="1" t="e">
        <f t="shared" si="65"/>
        <v>#DIV/0!</v>
      </c>
    </row>
    <row r="1408" spans="1:18" hidden="1">
      <c r="A1408" s="1">
        <v>2</v>
      </c>
      <c r="B1408" s="1" t="str">
        <f>"قطعات و لوازم يدكي"</f>
        <v>قطعات و لوازم يدكي</v>
      </c>
      <c r="C1408" s="1">
        <v>101</v>
      </c>
      <c r="D1408" s="1" t="str">
        <f>"انبار قطعات و لوازم يدكي اصفهان"</f>
        <v>انبار قطعات و لوازم يدكي اصفهان</v>
      </c>
      <c r="E1408" s="1" t="str">
        <f>"9500000092"</f>
        <v>9500000092</v>
      </c>
      <c r="F1408" s="1" t="str">
        <f>"کپ 6"</f>
        <v>کپ 6</v>
      </c>
      <c r="G1408" s="1" t="str">
        <f>"عدد"</f>
        <v>عدد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O1408" s="1">
        <v>97</v>
      </c>
      <c r="P1408" s="1">
        <f t="shared" si="63"/>
        <v>0</v>
      </c>
      <c r="Q1408" s="1">
        <f t="shared" si="64"/>
        <v>0</v>
      </c>
      <c r="R1408" s="1" t="e">
        <f t="shared" si="65"/>
        <v>#DIV/0!</v>
      </c>
    </row>
    <row r="1409" spans="1:18" hidden="1">
      <c r="A1409" s="1">
        <v>2</v>
      </c>
      <c r="B1409" s="1" t="str">
        <f>"قطعات و لوازم يدكي"</f>
        <v>قطعات و لوازم يدكي</v>
      </c>
      <c r="C1409" s="1">
        <v>101</v>
      </c>
      <c r="D1409" s="1" t="str">
        <f>"انبار قطعات و لوازم يدكي اصفهان"</f>
        <v>انبار قطعات و لوازم يدكي اصفهان</v>
      </c>
      <c r="E1409" s="1" t="str">
        <f>"9500000142"</f>
        <v>9500000142</v>
      </c>
      <c r="F1409" s="1" t="str">
        <f>"زانو فشار قوي 3/4 3000"</f>
        <v>زانو فشار قوي 3/4 3000</v>
      </c>
      <c r="G1409" s="1" t="str">
        <f>"عدد"</f>
        <v>عدد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O1409" s="1">
        <v>97</v>
      </c>
      <c r="P1409" s="1">
        <f t="shared" si="63"/>
        <v>0</v>
      </c>
      <c r="Q1409" s="1">
        <f t="shared" si="64"/>
        <v>0</v>
      </c>
      <c r="R1409" s="1" t="e">
        <f t="shared" si="65"/>
        <v>#DIV/0!</v>
      </c>
    </row>
    <row r="1410" spans="1:18" hidden="1">
      <c r="A1410" s="1">
        <v>2</v>
      </c>
      <c r="B1410" s="1" t="str">
        <f>"قطعات و لوازم يدكي"</f>
        <v>قطعات و لوازم يدكي</v>
      </c>
      <c r="C1410" s="1">
        <v>101</v>
      </c>
      <c r="D1410" s="1" t="str">
        <f>"انبار قطعات و لوازم يدكي اصفهان"</f>
        <v>انبار قطعات و لوازم يدكي اصفهان</v>
      </c>
      <c r="E1410" s="1" t="str">
        <f>"9500000192"</f>
        <v>9500000192</v>
      </c>
      <c r="F1410" s="1" t="str">
        <f>"نيم بوشن 3/4 فشار قوي 3000"</f>
        <v>نيم بوشن 3/4 فشار قوي 3000</v>
      </c>
      <c r="G1410" s="1" t="str">
        <f>"عدد"</f>
        <v>عدد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O1410" s="1">
        <v>97</v>
      </c>
      <c r="P1410" s="1">
        <f t="shared" si="63"/>
        <v>0</v>
      </c>
      <c r="Q1410" s="1">
        <f t="shared" si="64"/>
        <v>0</v>
      </c>
      <c r="R1410" s="1" t="e">
        <f t="shared" si="65"/>
        <v>#DIV/0!</v>
      </c>
    </row>
    <row r="1411" spans="1:18">
      <c r="A1411" s="1">
        <v>2</v>
      </c>
      <c r="B1411" s="1" t="str">
        <f>"قطعات و لوازم يدكي"</f>
        <v>قطعات و لوازم يدكي</v>
      </c>
      <c r="C1411" s="1">
        <v>120</v>
      </c>
      <c r="D1411" s="1" t="str">
        <f>"انبار قطعات و لوازم يدكي بشکه سازي اصفهان"</f>
        <v>انبار قطعات و لوازم يدكي بشکه سازي اصفهان</v>
      </c>
      <c r="E1411" s="1" t="str">
        <f>"4111700007"</f>
        <v>4111700007</v>
      </c>
      <c r="F1411" s="1" t="str">
        <f>"پريز صنعتي روکار"</f>
        <v>پريز صنعتي روکار</v>
      </c>
      <c r="G1411" s="1" t="str">
        <f>"عدد"</f>
        <v>عدد</v>
      </c>
      <c r="H1411" s="1">
        <v>0</v>
      </c>
      <c r="I1411" s="1">
        <v>0</v>
      </c>
      <c r="J1411" s="1">
        <v>43</v>
      </c>
      <c r="K1411" s="1">
        <v>1505000</v>
      </c>
      <c r="L1411" s="1">
        <v>13</v>
      </c>
      <c r="M1411" s="1">
        <v>455000</v>
      </c>
      <c r="O1411" s="1">
        <v>97</v>
      </c>
      <c r="P1411" s="4">
        <f t="shared" ref="P1411:P1474" si="66">I1411+K1411-M1411</f>
        <v>1050000</v>
      </c>
      <c r="Q1411" s="4">
        <f t="shared" ref="Q1411:Q1474" si="67">H1411+J1411-L1411</f>
        <v>30</v>
      </c>
      <c r="R1411" s="4">
        <f t="shared" ref="R1411:R1474" si="68">P1411/Q1411</f>
        <v>35000</v>
      </c>
    </row>
    <row r="1412" spans="1:18">
      <c r="A1412" s="1">
        <v>2</v>
      </c>
      <c r="B1412" s="1" t="str">
        <f>"قطعات و لوازم يدكي"</f>
        <v>قطعات و لوازم يدكي</v>
      </c>
      <c r="C1412" s="1">
        <v>120</v>
      </c>
      <c r="D1412" s="1" t="str">
        <f>"انبار قطعات و لوازم يدكي بشکه سازي اصفهان"</f>
        <v>انبار قطعات و لوازم يدكي بشکه سازي اصفهان</v>
      </c>
      <c r="E1412" s="1" t="str">
        <f>"4111700009"</f>
        <v>4111700009</v>
      </c>
      <c r="F1412" s="1" t="str">
        <f>"کليد دوپل صنعتي روکار"</f>
        <v>کليد دوپل صنعتي روکار</v>
      </c>
      <c r="G1412" s="1" t="str">
        <f>"عدد"</f>
        <v>عدد</v>
      </c>
      <c r="H1412" s="1">
        <v>0</v>
      </c>
      <c r="I1412" s="1">
        <v>0</v>
      </c>
      <c r="J1412" s="1">
        <v>16</v>
      </c>
      <c r="K1412" s="1">
        <v>384000</v>
      </c>
      <c r="L1412" s="1">
        <v>0</v>
      </c>
      <c r="M1412" s="1">
        <v>0</v>
      </c>
      <c r="O1412" s="1">
        <v>97</v>
      </c>
      <c r="P1412" s="4">
        <f t="shared" si="66"/>
        <v>384000</v>
      </c>
      <c r="Q1412" s="4">
        <f t="shared" si="67"/>
        <v>16</v>
      </c>
      <c r="R1412" s="4">
        <f t="shared" si="68"/>
        <v>24000</v>
      </c>
    </row>
    <row r="1413" spans="1:18">
      <c r="A1413" s="1">
        <v>2</v>
      </c>
      <c r="B1413" s="1" t="str">
        <f>"قطعات و لوازم يدكي"</f>
        <v>قطعات و لوازم يدكي</v>
      </c>
      <c r="C1413" s="1">
        <v>120</v>
      </c>
      <c r="D1413" s="1" t="str">
        <f>"انبار قطعات و لوازم يدكي بشکه سازي اصفهان"</f>
        <v>انبار قطعات و لوازم يدكي بشکه سازي اصفهان</v>
      </c>
      <c r="E1413" s="1" t="str">
        <f>"4111700013"</f>
        <v>4111700013</v>
      </c>
      <c r="F1413" s="1" t="str">
        <f>"4 شاخ 3 فاز صنعتي"</f>
        <v>4 شاخ 3 فاز صنعتي</v>
      </c>
      <c r="G1413" s="1" t="str">
        <f>"عدد"</f>
        <v>عدد</v>
      </c>
      <c r="H1413" s="1">
        <v>0</v>
      </c>
      <c r="I1413" s="1">
        <v>0</v>
      </c>
      <c r="J1413" s="1">
        <v>4</v>
      </c>
      <c r="K1413" s="1">
        <v>80000</v>
      </c>
      <c r="L1413" s="1">
        <v>1</v>
      </c>
      <c r="M1413" s="1">
        <v>20000</v>
      </c>
      <c r="O1413" s="1">
        <v>97</v>
      </c>
      <c r="P1413" s="4">
        <f t="shared" si="66"/>
        <v>60000</v>
      </c>
      <c r="Q1413" s="4">
        <f t="shared" si="67"/>
        <v>3</v>
      </c>
      <c r="R1413" s="4">
        <f t="shared" si="68"/>
        <v>20000</v>
      </c>
    </row>
    <row r="1414" spans="1:18">
      <c r="A1414" s="1">
        <v>2</v>
      </c>
      <c r="B1414" s="1" t="str">
        <f>"قطعات و لوازم يدكي"</f>
        <v>قطعات و لوازم يدكي</v>
      </c>
      <c r="C1414" s="1">
        <v>120</v>
      </c>
      <c r="D1414" s="1" t="str">
        <f>"انبار قطعات و لوازم يدكي بشکه سازي اصفهان"</f>
        <v>انبار قطعات و لوازم يدكي بشکه سازي اصفهان</v>
      </c>
      <c r="E1414" s="1" t="str">
        <f>"4111700014"</f>
        <v>4111700014</v>
      </c>
      <c r="F1414" s="1" t="str">
        <f>"پريز برق 3 فاز مادگي صنعتي"</f>
        <v>پريز برق 3 فاز مادگي صنعتي</v>
      </c>
      <c r="G1414" s="1" t="str">
        <f>"عدد"</f>
        <v>عدد</v>
      </c>
      <c r="H1414" s="1">
        <v>0</v>
      </c>
      <c r="I1414" s="1">
        <v>0</v>
      </c>
      <c r="J1414" s="1">
        <v>5</v>
      </c>
      <c r="K1414" s="1">
        <v>100000</v>
      </c>
      <c r="L1414" s="1">
        <v>0</v>
      </c>
      <c r="M1414" s="1">
        <v>0</v>
      </c>
      <c r="O1414" s="1">
        <v>97</v>
      </c>
      <c r="P1414" s="4">
        <f t="shared" si="66"/>
        <v>100000</v>
      </c>
      <c r="Q1414" s="4">
        <f t="shared" si="67"/>
        <v>5</v>
      </c>
      <c r="R1414" s="4">
        <f t="shared" si="68"/>
        <v>20000</v>
      </c>
    </row>
    <row r="1415" spans="1:18">
      <c r="A1415" s="1">
        <v>2</v>
      </c>
      <c r="B1415" s="1" t="str">
        <f>"قطعات و لوازم يدكي"</f>
        <v>قطعات و لوازم يدكي</v>
      </c>
      <c r="C1415" s="1">
        <v>120</v>
      </c>
      <c r="D1415" s="1" t="str">
        <f>"انبار قطعات و لوازم يدكي بشکه سازي اصفهان"</f>
        <v>انبار قطعات و لوازم يدكي بشکه سازي اصفهان</v>
      </c>
      <c r="E1415" s="1" t="str">
        <f>"4111700021"</f>
        <v>4111700021</v>
      </c>
      <c r="F1415" s="1" t="str">
        <f>"استارت معمولي مهتابي"</f>
        <v>استارت معمولي مهتابي</v>
      </c>
      <c r="G1415" s="1" t="str">
        <f>"عدد"</f>
        <v>عدد</v>
      </c>
      <c r="H1415" s="1">
        <v>0</v>
      </c>
      <c r="I1415" s="1">
        <v>0</v>
      </c>
      <c r="J1415" s="1">
        <v>10</v>
      </c>
      <c r="K1415" s="1">
        <v>100000</v>
      </c>
      <c r="L1415" s="1">
        <v>0</v>
      </c>
      <c r="M1415" s="1">
        <v>0</v>
      </c>
      <c r="O1415" s="1">
        <v>97</v>
      </c>
      <c r="P1415" s="4">
        <f t="shared" si="66"/>
        <v>100000</v>
      </c>
      <c r="Q1415" s="4">
        <f t="shared" si="67"/>
        <v>10</v>
      </c>
      <c r="R1415" s="4">
        <f t="shared" si="68"/>
        <v>10000</v>
      </c>
    </row>
    <row r="1416" spans="1:18">
      <c r="A1416" s="1">
        <v>2</v>
      </c>
      <c r="B1416" s="1" t="str">
        <f>"قطعات و لوازم يدكي"</f>
        <v>قطعات و لوازم يدكي</v>
      </c>
      <c r="C1416" s="1">
        <v>120</v>
      </c>
      <c r="D1416" s="1" t="str">
        <f>"انبار قطعات و لوازم يدكي بشکه سازي اصفهان"</f>
        <v>انبار قطعات و لوازم يدكي بشکه سازي اصفهان</v>
      </c>
      <c r="E1416" s="1" t="str">
        <f>"4111700024"</f>
        <v>4111700024</v>
      </c>
      <c r="F1416" s="1" t="str">
        <f>"چراغ خطر کوچک ليفتراک"</f>
        <v>چراغ خطر کوچک ليفتراک</v>
      </c>
      <c r="G1416" s="1" t="str">
        <f>"عدد"</f>
        <v>عدد</v>
      </c>
      <c r="H1416" s="1">
        <v>0</v>
      </c>
      <c r="I1416" s="1">
        <v>0</v>
      </c>
      <c r="J1416" s="1">
        <v>4</v>
      </c>
      <c r="K1416" s="1">
        <v>3800000</v>
      </c>
      <c r="L1416" s="1">
        <v>0</v>
      </c>
      <c r="M1416" s="1">
        <v>0</v>
      </c>
      <c r="O1416" s="1">
        <v>97</v>
      </c>
      <c r="P1416" s="4">
        <f t="shared" si="66"/>
        <v>3800000</v>
      </c>
      <c r="Q1416" s="4">
        <f t="shared" si="67"/>
        <v>4</v>
      </c>
      <c r="R1416" s="4">
        <f t="shared" si="68"/>
        <v>950000</v>
      </c>
    </row>
    <row r="1417" spans="1:18">
      <c r="A1417" s="1">
        <v>2</v>
      </c>
      <c r="B1417" s="1" t="str">
        <f>"قطعات و لوازم يدكي"</f>
        <v>قطعات و لوازم يدكي</v>
      </c>
      <c r="C1417" s="1">
        <v>120</v>
      </c>
      <c r="D1417" s="1" t="str">
        <f>"انبار قطعات و لوازم يدكي بشکه سازي اصفهان"</f>
        <v>انبار قطعات و لوازم يدكي بشکه سازي اصفهان</v>
      </c>
      <c r="E1417" s="1" t="str">
        <f>"4111700036"</f>
        <v>4111700036</v>
      </c>
      <c r="F1417" s="1" t="str">
        <f>"پدال برقي فوکا"</f>
        <v>پدال برقي فوکا</v>
      </c>
      <c r="G1417" s="1" t="str">
        <f>"عدد"</f>
        <v>عدد</v>
      </c>
      <c r="H1417" s="1">
        <v>0</v>
      </c>
      <c r="I1417" s="1">
        <v>0</v>
      </c>
      <c r="J1417" s="1">
        <v>34</v>
      </c>
      <c r="K1417" s="1">
        <v>12430000</v>
      </c>
      <c r="L1417" s="1">
        <v>9</v>
      </c>
      <c r="M1417" s="1">
        <v>2443888</v>
      </c>
      <c r="O1417" s="1">
        <v>97</v>
      </c>
      <c r="P1417" s="4">
        <f t="shared" si="66"/>
        <v>9986112</v>
      </c>
      <c r="Q1417" s="4">
        <f t="shared" si="67"/>
        <v>25</v>
      </c>
      <c r="R1417" s="4">
        <f t="shared" si="68"/>
        <v>399444.47999999998</v>
      </c>
    </row>
    <row r="1418" spans="1:18">
      <c r="A1418" s="1">
        <v>2</v>
      </c>
      <c r="B1418" s="1" t="str">
        <f>"قطعات و لوازم يدكي"</f>
        <v>قطعات و لوازم يدكي</v>
      </c>
      <c r="C1418" s="1">
        <v>120</v>
      </c>
      <c r="D1418" s="1" t="str">
        <f>"انبار قطعات و لوازم يدكي بشکه سازي اصفهان"</f>
        <v>انبار قطعات و لوازم يدكي بشکه سازي اصفهان</v>
      </c>
      <c r="E1418" s="1" t="str">
        <f>"4111700044"</f>
        <v>4111700044</v>
      </c>
      <c r="F1418" s="1" t="str">
        <f>"پايه رله 11 تيغ"</f>
        <v>پايه رله 11 تيغ</v>
      </c>
      <c r="G1418" s="1" t="str">
        <f>"عدد"</f>
        <v>عدد</v>
      </c>
      <c r="H1418" s="1">
        <v>0</v>
      </c>
      <c r="I1418" s="1">
        <v>0</v>
      </c>
      <c r="J1418" s="1">
        <v>9</v>
      </c>
      <c r="K1418" s="1">
        <v>2970000</v>
      </c>
      <c r="L1418" s="1">
        <v>0</v>
      </c>
      <c r="M1418" s="1">
        <v>0</v>
      </c>
      <c r="O1418" s="1">
        <v>97</v>
      </c>
      <c r="P1418" s="4">
        <f t="shared" si="66"/>
        <v>2970000</v>
      </c>
      <c r="Q1418" s="4">
        <f t="shared" si="67"/>
        <v>9</v>
      </c>
      <c r="R1418" s="4">
        <f t="shared" si="68"/>
        <v>330000</v>
      </c>
    </row>
    <row r="1419" spans="1:18">
      <c r="A1419" s="1">
        <v>2</v>
      </c>
      <c r="B1419" s="1" t="str">
        <f>"قطعات و لوازم يدكي"</f>
        <v>قطعات و لوازم يدكي</v>
      </c>
      <c r="C1419" s="1">
        <v>120</v>
      </c>
      <c r="D1419" s="1" t="str">
        <f>"انبار قطعات و لوازم يدكي بشکه سازي اصفهان"</f>
        <v>انبار قطعات و لوازم يدكي بشکه سازي اصفهان</v>
      </c>
      <c r="E1419" s="1" t="str">
        <f>"4111700046"</f>
        <v>4111700046</v>
      </c>
      <c r="F1419" s="1" t="str">
        <f>"ترمينال سايز 6"</f>
        <v>ترمينال سايز 6</v>
      </c>
      <c r="G1419" s="1" t="str">
        <f>"عدد"</f>
        <v>عدد</v>
      </c>
      <c r="H1419" s="1">
        <v>0</v>
      </c>
      <c r="I1419" s="1">
        <v>0</v>
      </c>
      <c r="J1419" s="1">
        <v>4</v>
      </c>
      <c r="K1419" s="1">
        <v>200000</v>
      </c>
      <c r="L1419" s="1">
        <v>0</v>
      </c>
      <c r="M1419" s="1">
        <v>0</v>
      </c>
      <c r="O1419" s="1">
        <v>97</v>
      </c>
      <c r="P1419" s="4">
        <f t="shared" si="66"/>
        <v>200000</v>
      </c>
      <c r="Q1419" s="4">
        <f t="shared" si="67"/>
        <v>4</v>
      </c>
      <c r="R1419" s="4">
        <f t="shared" si="68"/>
        <v>50000</v>
      </c>
    </row>
    <row r="1420" spans="1:18">
      <c r="A1420" s="1">
        <v>2</v>
      </c>
      <c r="B1420" s="1" t="str">
        <f>"قطعات و لوازم يدكي"</f>
        <v>قطعات و لوازم يدكي</v>
      </c>
      <c r="C1420" s="1">
        <v>120</v>
      </c>
      <c r="D1420" s="1" t="str">
        <f>"انبار قطعات و لوازم يدكي بشکه سازي اصفهان"</f>
        <v>انبار قطعات و لوازم يدكي بشکه سازي اصفهان</v>
      </c>
      <c r="E1420" s="1" t="str">
        <f>"4111700049"</f>
        <v>4111700049</v>
      </c>
      <c r="F1420" s="1" t="str">
        <f>"کمک کنتاکتور 4 تيغه مدل پارس فنل"</f>
        <v>کمک کنتاکتور 4 تيغه مدل پارس فنل</v>
      </c>
      <c r="G1420" s="1" t="str">
        <f>"عدد"</f>
        <v>عدد</v>
      </c>
      <c r="H1420" s="1">
        <v>0</v>
      </c>
      <c r="I1420" s="1">
        <v>0</v>
      </c>
      <c r="J1420" s="1">
        <v>1</v>
      </c>
      <c r="K1420" s="1">
        <v>80000</v>
      </c>
      <c r="L1420" s="1">
        <v>0</v>
      </c>
      <c r="M1420" s="1">
        <v>0</v>
      </c>
      <c r="O1420" s="1">
        <v>97</v>
      </c>
      <c r="P1420" s="4">
        <f t="shared" si="66"/>
        <v>80000</v>
      </c>
      <c r="Q1420" s="4">
        <f t="shared" si="67"/>
        <v>1</v>
      </c>
      <c r="R1420" s="4">
        <f t="shared" si="68"/>
        <v>80000</v>
      </c>
    </row>
    <row r="1421" spans="1:18">
      <c r="A1421" s="1">
        <v>2</v>
      </c>
      <c r="B1421" s="1" t="str">
        <f>"قطعات و لوازم يدكي"</f>
        <v>قطعات و لوازم يدكي</v>
      </c>
      <c r="C1421" s="1">
        <v>120</v>
      </c>
      <c r="D1421" s="1" t="str">
        <f>"انبار قطعات و لوازم يدكي بشکه سازي اصفهان"</f>
        <v>انبار قطعات و لوازم يدكي بشکه سازي اصفهان</v>
      </c>
      <c r="E1421" s="1" t="str">
        <f>"4111700072"</f>
        <v>4111700072</v>
      </c>
      <c r="F1421" s="1" t="str">
        <f>"کليد مينياتوري تک فاز 25 آمپر"</f>
        <v>کليد مينياتوري تک فاز 25 آمپر</v>
      </c>
      <c r="G1421" s="1" t="str">
        <f>"عدد"</f>
        <v>عدد</v>
      </c>
      <c r="H1421" s="1">
        <v>0</v>
      </c>
      <c r="I1421" s="1">
        <v>0</v>
      </c>
      <c r="J1421" s="1">
        <v>7</v>
      </c>
      <c r="K1421" s="1">
        <v>1960000</v>
      </c>
      <c r="L1421" s="1">
        <v>0</v>
      </c>
      <c r="M1421" s="1">
        <v>0</v>
      </c>
      <c r="O1421" s="1">
        <v>97</v>
      </c>
      <c r="P1421" s="4">
        <f t="shared" si="66"/>
        <v>1960000</v>
      </c>
      <c r="Q1421" s="4">
        <f t="shared" si="67"/>
        <v>7</v>
      </c>
      <c r="R1421" s="4">
        <f t="shared" si="68"/>
        <v>280000</v>
      </c>
    </row>
    <row r="1422" spans="1:18">
      <c r="A1422" s="1">
        <v>2</v>
      </c>
      <c r="B1422" s="1" t="str">
        <f>"قطعات و لوازم يدكي"</f>
        <v>قطعات و لوازم يدكي</v>
      </c>
      <c r="C1422" s="1">
        <v>120</v>
      </c>
      <c r="D1422" s="1" t="str">
        <f>"انبار قطعات و لوازم يدكي بشکه سازي اصفهان"</f>
        <v>انبار قطعات و لوازم يدكي بشکه سازي اصفهان</v>
      </c>
      <c r="E1422" s="1" t="str">
        <f>"4111700095"</f>
        <v>4111700095</v>
      </c>
      <c r="F1422" s="1" t="str">
        <f>"فيوز کاردي پايه بلند 400 امپر"</f>
        <v>فيوز کاردي پايه بلند 400 امپر</v>
      </c>
      <c r="G1422" s="1" t="str">
        <f>"عدد"</f>
        <v>عدد</v>
      </c>
      <c r="H1422" s="1">
        <v>0</v>
      </c>
      <c r="I1422" s="1">
        <v>0</v>
      </c>
      <c r="J1422" s="1">
        <v>6</v>
      </c>
      <c r="K1422" s="1">
        <v>750000</v>
      </c>
      <c r="L1422" s="1">
        <v>0</v>
      </c>
      <c r="M1422" s="1">
        <v>0</v>
      </c>
      <c r="O1422" s="1">
        <v>97</v>
      </c>
      <c r="P1422" s="4">
        <f t="shared" si="66"/>
        <v>750000</v>
      </c>
      <c r="Q1422" s="4">
        <f t="shared" si="67"/>
        <v>6</v>
      </c>
      <c r="R1422" s="4">
        <f t="shared" si="68"/>
        <v>125000</v>
      </c>
    </row>
    <row r="1423" spans="1:18">
      <c r="A1423" s="1">
        <v>2</v>
      </c>
      <c r="B1423" s="1" t="str">
        <f>"قطعات و لوازم يدكي"</f>
        <v>قطعات و لوازم يدكي</v>
      </c>
      <c r="C1423" s="1">
        <v>120</v>
      </c>
      <c r="D1423" s="1" t="str">
        <f>"انبار قطعات و لوازم يدكي بشکه سازي اصفهان"</f>
        <v>انبار قطعات و لوازم يدكي بشکه سازي اصفهان</v>
      </c>
      <c r="E1423" s="1" t="str">
        <f>"4211700011"</f>
        <v>4211700011</v>
      </c>
      <c r="F1423" s="1" t="str">
        <f>"صافي گازوئيل ليفتراک 3 تن"</f>
        <v>صافي گازوئيل ليفتراک 3 تن</v>
      </c>
      <c r="G1423" s="1" t="str">
        <f>"عدد"</f>
        <v>عدد</v>
      </c>
      <c r="H1423" s="1">
        <v>0</v>
      </c>
      <c r="I1423" s="1">
        <v>0</v>
      </c>
      <c r="J1423" s="1">
        <v>34</v>
      </c>
      <c r="K1423" s="1">
        <v>16490000</v>
      </c>
      <c r="L1423" s="1">
        <v>0</v>
      </c>
      <c r="M1423" s="1">
        <v>0</v>
      </c>
      <c r="O1423" s="1">
        <v>97</v>
      </c>
      <c r="P1423" s="4">
        <f t="shared" si="66"/>
        <v>16490000</v>
      </c>
      <c r="Q1423" s="4">
        <f t="shared" si="67"/>
        <v>34</v>
      </c>
      <c r="R1423" s="4">
        <f t="shared" si="68"/>
        <v>485000</v>
      </c>
    </row>
    <row r="1424" spans="1:18">
      <c r="A1424" s="1">
        <v>2</v>
      </c>
      <c r="B1424" s="1" t="str">
        <f>"قطعات و لوازم يدكي"</f>
        <v>قطعات و لوازم يدكي</v>
      </c>
      <c r="C1424" s="1">
        <v>120</v>
      </c>
      <c r="D1424" s="1" t="str">
        <f>"انبار قطعات و لوازم يدكي بشکه سازي اصفهان"</f>
        <v>انبار قطعات و لوازم يدكي بشکه سازي اصفهان</v>
      </c>
      <c r="E1424" s="1" t="str">
        <f>"4211700027"</f>
        <v>4211700027</v>
      </c>
      <c r="F1424" s="1" t="str">
        <f>"ضربه گير جک"</f>
        <v>ضربه گير جک</v>
      </c>
      <c r="G1424" s="1" t="str">
        <f>"عدد"</f>
        <v>عدد</v>
      </c>
      <c r="H1424" s="1">
        <v>0</v>
      </c>
      <c r="I1424" s="1">
        <v>0</v>
      </c>
      <c r="J1424" s="1">
        <v>38</v>
      </c>
      <c r="K1424" s="1">
        <v>190000</v>
      </c>
      <c r="L1424" s="1">
        <v>0</v>
      </c>
      <c r="M1424" s="1">
        <v>0</v>
      </c>
      <c r="O1424" s="1">
        <v>97</v>
      </c>
      <c r="P1424" s="4">
        <f t="shared" si="66"/>
        <v>190000</v>
      </c>
      <c r="Q1424" s="4">
        <f t="shared" si="67"/>
        <v>38</v>
      </c>
      <c r="R1424" s="4">
        <f t="shared" si="68"/>
        <v>5000</v>
      </c>
    </row>
    <row r="1425" spans="1:18">
      <c r="A1425" s="1">
        <v>2</v>
      </c>
      <c r="B1425" s="1" t="str">
        <f>"قطعات و لوازم يدكي"</f>
        <v>قطعات و لوازم يدكي</v>
      </c>
      <c r="C1425" s="1">
        <v>101</v>
      </c>
      <c r="D1425" s="1" t="str">
        <f>"انبار قطعات و لوازم يدكي اصفهان"</f>
        <v>انبار قطعات و لوازم يدكي اصفهان</v>
      </c>
      <c r="E1425" s="1" t="str">
        <f>"7605661122"</f>
        <v>7605661122</v>
      </c>
      <c r="F1425" s="1" t="s">
        <v>100</v>
      </c>
      <c r="G1425" s="1" t="str">
        <f>"عدد"</f>
        <v>عدد</v>
      </c>
      <c r="H1425" s="1">
        <v>21</v>
      </c>
      <c r="I1425" s="1">
        <v>626159</v>
      </c>
      <c r="J1425" s="1">
        <v>0</v>
      </c>
      <c r="K1425" s="1">
        <v>0</v>
      </c>
      <c r="L1425" s="1">
        <v>9</v>
      </c>
      <c r="M1425" s="1">
        <v>268354</v>
      </c>
      <c r="O1425" s="1">
        <v>97</v>
      </c>
      <c r="P1425" s="4">
        <f t="shared" si="66"/>
        <v>357805</v>
      </c>
      <c r="Q1425" s="4">
        <f t="shared" si="67"/>
        <v>12</v>
      </c>
      <c r="R1425" s="4">
        <f t="shared" si="68"/>
        <v>29817.083333333332</v>
      </c>
    </row>
    <row r="1426" spans="1:18">
      <c r="A1426" s="1">
        <v>2</v>
      </c>
      <c r="B1426" s="1" t="str">
        <f>"قطعات و لوازم يدكي"</f>
        <v>قطعات و لوازم يدكي</v>
      </c>
      <c r="C1426" s="1">
        <v>101</v>
      </c>
      <c r="D1426" s="1" t="str">
        <f>"انبار قطعات و لوازم يدكي اصفهان"</f>
        <v>انبار قطعات و لوازم يدكي اصفهان</v>
      </c>
      <c r="E1426" s="1" t="str">
        <f>"7605662122"</f>
        <v>7605662122</v>
      </c>
      <c r="F1426" s="1" t="str">
        <f>"پلاگ 3/4 دنده اي 3000"</f>
        <v>پلاگ 3/4 دنده اي 3000</v>
      </c>
      <c r="G1426" s="1" t="str">
        <f>"عدد"</f>
        <v>عدد</v>
      </c>
      <c r="H1426" s="1">
        <v>30</v>
      </c>
      <c r="I1426" s="1">
        <v>2100000</v>
      </c>
      <c r="J1426" s="1">
        <v>0</v>
      </c>
      <c r="K1426" s="1">
        <v>0</v>
      </c>
      <c r="L1426" s="1">
        <v>0</v>
      </c>
      <c r="M1426" s="1">
        <v>0</v>
      </c>
      <c r="O1426" s="1">
        <v>97</v>
      </c>
      <c r="P1426" s="4">
        <f t="shared" si="66"/>
        <v>2100000</v>
      </c>
      <c r="Q1426" s="4">
        <f t="shared" si="67"/>
        <v>30</v>
      </c>
      <c r="R1426" s="4">
        <f t="shared" si="68"/>
        <v>70000</v>
      </c>
    </row>
    <row r="1427" spans="1:18">
      <c r="A1427" s="1">
        <v>2</v>
      </c>
      <c r="B1427" s="1" t="str">
        <f>"قطعات و لوازم يدكي"</f>
        <v>قطعات و لوازم يدكي</v>
      </c>
      <c r="C1427" s="1">
        <v>101</v>
      </c>
      <c r="D1427" s="1" t="str">
        <f>"انبار قطعات و لوازم يدكي اصفهان"</f>
        <v>انبار قطعات و لوازم يدكي اصفهان</v>
      </c>
      <c r="E1427" s="1" t="str">
        <f>"7605841162"</f>
        <v>7605841162</v>
      </c>
      <c r="F1427" s="1" t="str">
        <f>"سه راهي دنده اي 1 اينچ 3000"</f>
        <v>سه راهي دنده اي 1 اينچ 3000</v>
      </c>
      <c r="G1427" s="1" t="str">
        <f>"عدد"</f>
        <v>عدد</v>
      </c>
      <c r="H1427" s="1">
        <v>10</v>
      </c>
      <c r="I1427" s="1">
        <v>750000</v>
      </c>
      <c r="J1427" s="1">
        <v>5</v>
      </c>
      <c r="K1427" s="1">
        <v>6162500</v>
      </c>
      <c r="L1427" s="1">
        <v>5</v>
      </c>
      <c r="M1427" s="1">
        <v>375000</v>
      </c>
      <c r="O1427" s="1">
        <v>97</v>
      </c>
      <c r="P1427" s="4">
        <f t="shared" si="66"/>
        <v>6537500</v>
      </c>
      <c r="Q1427" s="4">
        <f t="shared" si="67"/>
        <v>10</v>
      </c>
      <c r="R1427" s="4">
        <f t="shared" si="68"/>
        <v>653750</v>
      </c>
    </row>
    <row r="1428" spans="1:18" hidden="1">
      <c r="A1428" s="1">
        <v>2</v>
      </c>
      <c r="B1428" s="1" t="str">
        <f>"قطعات و لوازم يدكي"</f>
        <v>قطعات و لوازم يدكي</v>
      </c>
      <c r="C1428" s="1">
        <v>101</v>
      </c>
      <c r="D1428" s="1" t="str">
        <f>"انبار قطعات و لوازم يدكي اصفهان"</f>
        <v>انبار قطعات و لوازم يدكي اصفهان</v>
      </c>
      <c r="E1428" s="1" t="str">
        <f>"7606281082"</f>
        <v>7606281082</v>
      </c>
      <c r="F1428" s="1" t="str">
        <f>"کاپلينگ 1/2 دنده اي گالوانيزه 2000"</f>
        <v>کاپلينگ 1/2 دنده اي گالوانيزه 2000</v>
      </c>
      <c r="G1428" s="1" t="str">
        <f>"عدد"</f>
        <v>عدد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O1428" s="1">
        <v>97</v>
      </c>
      <c r="P1428" s="1">
        <f t="shared" si="66"/>
        <v>0</v>
      </c>
      <c r="Q1428" s="1">
        <f t="shared" si="67"/>
        <v>0</v>
      </c>
      <c r="R1428" s="1" t="e">
        <f t="shared" si="68"/>
        <v>#DIV/0!</v>
      </c>
    </row>
    <row r="1429" spans="1:18">
      <c r="A1429" s="1">
        <v>2</v>
      </c>
      <c r="B1429" s="1" t="str">
        <f>"قطعات و لوازم يدكي"</f>
        <v>قطعات و لوازم يدكي</v>
      </c>
      <c r="C1429" s="1">
        <v>101</v>
      </c>
      <c r="D1429" s="1" t="str">
        <f>"انبار قطعات و لوازم يدكي اصفهان"</f>
        <v>انبار قطعات و لوازم يدكي اصفهان</v>
      </c>
      <c r="E1429" s="1" t="str">
        <f>"7606390122"</f>
        <v>7606390122</v>
      </c>
      <c r="F1429" s="1" t="str">
        <f>"زانو 90 دنده اي 3/4 گالوانيزه"</f>
        <v>زانو 90 دنده اي 3/4 گالوانيزه</v>
      </c>
      <c r="G1429" s="1" t="str">
        <f>"عدد"</f>
        <v>عدد</v>
      </c>
      <c r="H1429" s="1">
        <v>50</v>
      </c>
      <c r="I1429" s="1">
        <v>657500</v>
      </c>
      <c r="J1429" s="1">
        <v>0</v>
      </c>
      <c r="K1429" s="1">
        <v>0</v>
      </c>
      <c r="L1429" s="1">
        <v>18</v>
      </c>
      <c r="M1429" s="1">
        <v>236700</v>
      </c>
      <c r="O1429" s="1">
        <v>97</v>
      </c>
      <c r="P1429" s="4">
        <f t="shared" si="66"/>
        <v>420800</v>
      </c>
      <c r="Q1429" s="4">
        <f t="shared" si="67"/>
        <v>32</v>
      </c>
      <c r="R1429" s="4">
        <f t="shared" si="68"/>
        <v>13150</v>
      </c>
    </row>
    <row r="1430" spans="1:18">
      <c r="A1430" s="1">
        <v>2</v>
      </c>
      <c r="B1430" s="1" t="str">
        <f>"قطعات و لوازم يدكي"</f>
        <v>قطعات و لوازم يدكي</v>
      </c>
      <c r="C1430" s="1">
        <v>101</v>
      </c>
      <c r="D1430" s="1" t="str">
        <f>"انبار قطعات و لوازم يدكي اصفهان"</f>
        <v>انبار قطعات و لوازم يدكي اصفهان</v>
      </c>
      <c r="E1430" s="1" t="str">
        <f>"7606391162"</f>
        <v>7606391162</v>
      </c>
      <c r="F1430" s="1" t="s">
        <v>101</v>
      </c>
      <c r="G1430" s="1" t="str">
        <f>"عدد"</f>
        <v>عدد</v>
      </c>
      <c r="H1430" s="1">
        <v>15</v>
      </c>
      <c r="I1430" s="1">
        <v>3150000</v>
      </c>
      <c r="J1430" s="1">
        <v>0</v>
      </c>
      <c r="K1430" s="1">
        <v>0</v>
      </c>
      <c r="L1430" s="1">
        <v>0</v>
      </c>
      <c r="M1430" s="1">
        <v>0</v>
      </c>
      <c r="O1430" s="1">
        <v>97</v>
      </c>
      <c r="P1430" s="4">
        <f t="shared" si="66"/>
        <v>3150000</v>
      </c>
      <c r="Q1430" s="4">
        <f t="shared" si="67"/>
        <v>15</v>
      </c>
      <c r="R1430" s="4">
        <f t="shared" si="68"/>
        <v>210000</v>
      </c>
    </row>
    <row r="1431" spans="1:18">
      <c r="A1431" s="1">
        <v>2</v>
      </c>
      <c r="B1431" s="1" t="str">
        <f>"قطعات و لوازم يدكي"</f>
        <v>قطعات و لوازم يدكي</v>
      </c>
      <c r="C1431" s="1">
        <v>101</v>
      </c>
      <c r="D1431" s="1" t="str">
        <f>"انبار قطعات و لوازم يدكي اصفهان"</f>
        <v>انبار قطعات و لوازم يدكي اصفهان</v>
      </c>
      <c r="E1431" s="1" t="str">
        <f>"7606701282"</f>
        <v>7606701282</v>
      </c>
      <c r="F1431" s="1" t="str">
        <f>"رديوس کاپلينگ 1/2*3/4"</f>
        <v>رديوس کاپلينگ 1/2*3/4</v>
      </c>
      <c r="G1431" s="1" t="str">
        <f>"عدد"</f>
        <v>عدد</v>
      </c>
      <c r="H1431" s="1">
        <v>7</v>
      </c>
      <c r="I1431" s="1">
        <v>140000</v>
      </c>
      <c r="J1431" s="1">
        <v>0</v>
      </c>
      <c r="K1431" s="1">
        <v>0</v>
      </c>
      <c r="L1431" s="1">
        <v>0</v>
      </c>
      <c r="M1431" s="1">
        <v>0</v>
      </c>
      <c r="O1431" s="1">
        <v>97</v>
      </c>
      <c r="P1431" s="4">
        <f t="shared" si="66"/>
        <v>140000</v>
      </c>
      <c r="Q1431" s="4">
        <f t="shared" si="67"/>
        <v>7</v>
      </c>
      <c r="R1431" s="4">
        <f t="shared" si="68"/>
        <v>20000</v>
      </c>
    </row>
    <row r="1432" spans="1:18">
      <c r="A1432" s="1">
        <v>2</v>
      </c>
      <c r="B1432" s="1" t="str">
        <f>"قطعات و لوازم يدكي"</f>
        <v>قطعات و لوازم يدكي</v>
      </c>
      <c r="C1432" s="1">
        <v>101</v>
      </c>
      <c r="D1432" s="1" t="str">
        <f>"انبار قطعات و لوازم يدكي اصفهان"</f>
        <v>انبار قطعات و لوازم يدكي اصفهان</v>
      </c>
      <c r="E1432" s="1" t="str">
        <f>"7606840082"</f>
        <v>7606840082</v>
      </c>
      <c r="F1432" s="1" t="str">
        <f>"سه راهي 1/2 دنده اي گالوانيزه"</f>
        <v>سه راهي 1/2 دنده اي گالوانيزه</v>
      </c>
      <c r="G1432" s="1" t="str">
        <f>"عدد"</f>
        <v>عدد</v>
      </c>
      <c r="H1432" s="1">
        <v>37</v>
      </c>
      <c r="I1432" s="1">
        <v>425500</v>
      </c>
      <c r="J1432" s="1">
        <v>0</v>
      </c>
      <c r="K1432" s="1">
        <v>0</v>
      </c>
      <c r="L1432" s="1">
        <v>2</v>
      </c>
      <c r="M1432" s="1">
        <v>23000</v>
      </c>
      <c r="O1432" s="1">
        <v>97</v>
      </c>
      <c r="P1432" s="4">
        <f t="shared" si="66"/>
        <v>402500</v>
      </c>
      <c r="Q1432" s="4">
        <f t="shared" si="67"/>
        <v>35</v>
      </c>
      <c r="R1432" s="4">
        <f t="shared" si="68"/>
        <v>11500</v>
      </c>
    </row>
    <row r="1433" spans="1:18">
      <c r="A1433" s="1">
        <v>2</v>
      </c>
      <c r="B1433" s="1" t="str">
        <f>"قطعات و لوازم يدكي"</f>
        <v>قطعات و لوازم يدكي</v>
      </c>
      <c r="C1433" s="1">
        <v>101</v>
      </c>
      <c r="D1433" s="1" t="str">
        <f>"انبار قطعات و لوازم يدكي اصفهان"</f>
        <v>انبار قطعات و لوازم يدكي اصفهان</v>
      </c>
      <c r="E1433" s="1" t="str">
        <f>"7608841662"</f>
        <v>7608841662</v>
      </c>
      <c r="F1433" s="1" t="s">
        <v>102</v>
      </c>
      <c r="G1433" s="1" t="str">
        <f>"عدد"</f>
        <v>عدد</v>
      </c>
      <c r="H1433" s="1">
        <v>3</v>
      </c>
      <c r="I1433" s="1">
        <v>2897</v>
      </c>
      <c r="J1433" s="1">
        <v>0</v>
      </c>
      <c r="K1433" s="1">
        <v>0</v>
      </c>
      <c r="L1433" s="1">
        <v>0</v>
      </c>
      <c r="M1433" s="1">
        <v>0</v>
      </c>
      <c r="O1433" s="1">
        <v>97</v>
      </c>
      <c r="P1433" s="4">
        <f t="shared" si="66"/>
        <v>2897</v>
      </c>
      <c r="Q1433" s="4">
        <f t="shared" si="67"/>
        <v>3</v>
      </c>
      <c r="R1433" s="4">
        <f t="shared" si="68"/>
        <v>965.66666666666663</v>
      </c>
    </row>
    <row r="1434" spans="1:18">
      <c r="A1434" s="1">
        <v>2</v>
      </c>
      <c r="B1434" s="1" t="str">
        <f>"قطعات و لوازم يدكي"</f>
        <v>قطعات و لوازم يدكي</v>
      </c>
      <c r="C1434" s="1">
        <v>101</v>
      </c>
      <c r="D1434" s="1" t="str">
        <f>"انبار قطعات و لوازم يدكي اصفهان"</f>
        <v>انبار قطعات و لوازم يدكي اصفهان</v>
      </c>
      <c r="E1434" s="1" t="str">
        <f>"7630388052"</f>
        <v>7630388052</v>
      </c>
      <c r="F1434" s="1" t="s">
        <v>103</v>
      </c>
      <c r="G1434" s="1" t="str">
        <f>"عدد"</f>
        <v>عدد</v>
      </c>
      <c r="H1434" s="1">
        <v>4</v>
      </c>
      <c r="I1434" s="1">
        <v>1920000</v>
      </c>
      <c r="J1434" s="1">
        <v>0</v>
      </c>
      <c r="K1434" s="1">
        <v>0</v>
      </c>
      <c r="L1434" s="1">
        <v>0</v>
      </c>
      <c r="M1434" s="1">
        <v>0</v>
      </c>
      <c r="O1434" s="1">
        <v>97</v>
      </c>
      <c r="P1434" s="4">
        <f t="shared" si="66"/>
        <v>1920000</v>
      </c>
      <c r="Q1434" s="4">
        <f t="shared" si="67"/>
        <v>4</v>
      </c>
      <c r="R1434" s="4">
        <f t="shared" si="68"/>
        <v>480000</v>
      </c>
    </row>
    <row r="1435" spans="1:18">
      <c r="A1435" s="1">
        <v>2</v>
      </c>
      <c r="B1435" s="1" t="str">
        <f>"قطعات و لوازم يدكي"</f>
        <v>قطعات و لوازم يدكي</v>
      </c>
      <c r="C1435" s="1">
        <v>101</v>
      </c>
      <c r="D1435" s="1" t="str">
        <f>"انبار قطعات و لوازم يدكي اصفهان"</f>
        <v>انبار قطعات و لوازم يدكي اصفهان</v>
      </c>
      <c r="E1435" s="1" t="str">
        <f>"7630581742"</f>
        <v>7630581742</v>
      </c>
      <c r="F1435" s="1" t="str">
        <f>"رديوس نيپل 2*1 جوشي"</f>
        <v>رديوس نيپل 2*1 جوشي</v>
      </c>
      <c r="G1435" s="1" t="str">
        <f>"عدد"</f>
        <v>عدد</v>
      </c>
      <c r="H1435" s="1">
        <v>1</v>
      </c>
      <c r="I1435" s="1">
        <v>166750</v>
      </c>
      <c r="J1435" s="1">
        <v>0</v>
      </c>
      <c r="K1435" s="1">
        <v>0</v>
      </c>
      <c r="L1435" s="1">
        <v>0</v>
      </c>
      <c r="M1435" s="1">
        <v>0</v>
      </c>
      <c r="O1435" s="1">
        <v>97</v>
      </c>
      <c r="P1435" s="4">
        <f t="shared" si="66"/>
        <v>166750</v>
      </c>
      <c r="Q1435" s="4">
        <f t="shared" si="67"/>
        <v>1</v>
      </c>
      <c r="R1435" s="4">
        <f t="shared" si="68"/>
        <v>166750</v>
      </c>
    </row>
    <row r="1436" spans="1:18">
      <c r="A1436" s="1">
        <v>2</v>
      </c>
      <c r="B1436" s="1" t="str">
        <f>"قطعات و لوازم يدكي"</f>
        <v>قطعات و لوازم يدكي</v>
      </c>
      <c r="C1436" s="1">
        <v>101</v>
      </c>
      <c r="D1436" s="1" t="str">
        <f>"انبار قطعات و لوازم يدكي اصفهان"</f>
        <v>انبار قطعات و لوازم يدكي اصفهان</v>
      </c>
      <c r="E1436" s="1" t="str">
        <f>"7630724342"</f>
        <v>7630724342</v>
      </c>
      <c r="F1436" s="1" t="s">
        <v>104</v>
      </c>
      <c r="G1436" s="1" t="str">
        <f>"عدد"</f>
        <v>عدد</v>
      </c>
      <c r="H1436" s="1">
        <v>4</v>
      </c>
      <c r="I1436" s="1">
        <v>7840000</v>
      </c>
      <c r="J1436" s="1">
        <v>0</v>
      </c>
      <c r="K1436" s="1">
        <v>0</v>
      </c>
      <c r="L1436" s="1">
        <v>0</v>
      </c>
      <c r="M1436" s="1">
        <v>0</v>
      </c>
      <c r="O1436" s="1">
        <v>97</v>
      </c>
      <c r="P1436" s="4">
        <f t="shared" si="66"/>
        <v>7840000</v>
      </c>
      <c r="Q1436" s="4">
        <f t="shared" si="67"/>
        <v>4</v>
      </c>
      <c r="R1436" s="4">
        <f t="shared" si="68"/>
        <v>1960000</v>
      </c>
    </row>
    <row r="1437" spans="1:18">
      <c r="A1437" s="1">
        <v>2</v>
      </c>
      <c r="B1437" s="1" t="str">
        <f>"قطعات و لوازم يدكي"</f>
        <v>قطعات و لوازم يدكي</v>
      </c>
      <c r="C1437" s="1">
        <v>101</v>
      </c>
      <c r="D1437" s="1" t="str">
        <f>"انبار قطعات و لوازم يدكي اصفهان"</f>
        <v>انبار قطعات و لوازم يدكي اصفهان</v>
      </c>
      <c r="E1437" s="1" t="str">
        <f>"7630732352"</f>
        <v>7630732352</v>
      </c>
      <c r="F1437" s="1" t="str">
        <f>"رديسر 3*2"</f>
        <v>رديسر 3*2</v>
      </c>
      <c r="G1437" s="1" t="str">
        <f>"عدد"</f>
        <v>عدد</v>
      </c>
      <c r="H1437" s="1">
        <v>3</v>
      </c>
      <c r="I1437" s="1">
        <v>183207</v>
      </c>
      <c r="J1437" s="1">
        <v>0</v>
      </c>
      <c r="K1437" s="1">
        <v>0</v>
      </c>
      <c r="L1437" s="1">
        <v>0</v>
      </c>
      <c r="M1437" s="1">
        <v>0</v>
      </c>
      <c r="O1437" s="1">
        <v>97</v>
      </c>
      <c r="P1437" s="4">
        <f t="shared" si="66"/>
        <v>183207</v>
      </c>
      <c r="Q1437" s="4">
        <f t="shared" si="67"/>
        <v>3</v>
      </c>
      <c r="R1437" s="4">
        <f t="shared" si="68"/>
        <v>61069</v>
      </c>
    </row>
    <row r="1438" spans="1:18">
      <c r="A1438" s="1">
        <v>2</v>
      </c>
      <c r="B1438" s="1" t="str">
        <f>"قطعات و لوازم يدكي"</f>
        <v>قطعات و لوازم يدكي</v>
      </c>
      <c r="C1438" s="1">
        <v>101</v>
      </c>
      <c r="D1438" s="1" t="str">
        <f>"انبار قطعات و لوازم يدكي اصفهان"</f>
        <v>انبار قطعات و لوازم يدكي اصفهان</v>
      </c>
      <c r="E1438" s="1" t="str">
        <f>"7630732372"</f>
        <v>7630732372</v>
      </c>
      <c r="F1438" s="1" t="str">
        <f>"تبديل 3*2 اينچ 80"</f>
        <v>تبديل 3*2 اينچ 80</v>
      </c>
      <c r="G1438" s="1" t="str">
        <f>"عدد"</f>
        <v>عدد</v>
      </c>
      <c r="H1438" s="1">
        <v>2</v>
      </c>
      <c r="I1438" s="1">
        <v>2</v>
      </c>
      <c r="J1438" s="1">
        <v>0</v>
      </c>
      <c r="K1438" s="1">
        <v>0</v>
      </c>
      <c r="L1438" s="1">
        <v>0</v>
      </c>
      <c r="M1438" s="1">
        <v>0</v>
      </c>
      <c r="O1438" s="1">
        <v>97</v>
      </c>
      <c r="P1438" s="4">
        <f t="shared" si="66"/>
        <v>2</v>
      </c>
      <c r="Q1438" s="4">
        <f t="shared" si="67"/>
        <v>2</v>
      </c>
      <c r="R1438" s="4">
        <f t="shared" si="68"/>
        <v>1</v>
      </c>
    </row>
    <row r="1439" spans="1:18" hidden="1">
      <c r="A1439" s="1">
        <v>2</v>
      </c>
      <c r="B1439" s="1" t="str">
        <f>"قطعات و لوازم يدكي"</f>
        <v>قطعات و لوازم يدكي</v>
      </c>
      <c r="C1439" s="1">
        <v>101</v>
      </c>
      <c r="D1439" s="1" t="str">
        <f>"انبار قطعات و لوازم يدكي اصفهان"</f>
        <v>انبار قطعات و لوازم يدكي اصفهان</v>
      </c>
      <c r="E1439" s="1" t="str">
        <f>"7630751002"</f>
        <v>7630751002</v>
      </c>
      <c r="F1439" s="1" t="str">
        <f>"ولدولت کربن استيل 1/2-1 به 4 اينچ"</f>
        <v>ولدولت کربن استيل 1/2-1 به 4 اينچ</v>
      </c>
      <c r="G1439" s="1" t="str">
        <f>"عدد"</f>
        <v>عدد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O1439" s="1">
        <v>97</v>
      </c>
      <c r="P1439" s="1">
        <f t="shared" si="66"/>
        <v>0</v>
      </c>
      <c r="Q1439" s="1">
        <f t="shared" si="67"/>
        <v>0</v>
      </c>
      <c r="R1439" s="1" t="e">
        <f t="shared" si="68"/>
        <v>#DIV/0!</v>
      </c>
    </row>
    <row r="1440" spans="1:18">
      <c r="A1440" s="1">
        <v>2</v>
      </c>
      <c r="B1440" s="1" t="str">
        <f>"قطعات و لوازم يدكي"</f>
        <v>قطعات و لوازم يدكي</v>
      </c>
      <c r="C1440" s="1">
        <v>101</v>
      </c>
      <c r="D1440" s="1" t="str">
        <f>"انبار قطعات و لوازم يدكي اصفهان"</f>
        <v>انبار قطعات و لوازم يدكي اصفهان</v>
      </c>
      <c r="E1440" s="1" t="str">
        <f>"7630841252"</f>
        <v>7630841252</v>
      </c>
      <c r="F1440" s="1" t="str">
        <f>"سه راهي جوشي 2اينچ رده 40"</f>
        <v>سه راهي جوشي 2اينچ رده 40</v>
      </c>
      <c r="G1440" s="1" t="str">
        <f>"عدد"</f>
        <v>عدد</v>
      </c>
      <c r="H1440" s="1">
        <v>8</v>
      </c>
      <c r="I1440" s="1">
        <v>464000</v>
      </c>
      <c r="J1440" s="1">
        <v>1</v>
      </c>
      <c r="K1440" s="1">
        <v>58000</v>
      </c>
      <c r="L1440" s="1">
        <v>1</v>
      </c>
      <c r="M1440" s="1">
        <v>58000</v>
      </c>
      <c r="O1440" s="1">
        <v>97</v>
      </c>
      <c r="P1440" s="4">
        <f t="shared" si="66"/>
        <v>464000</v>
      </c>
      <c r="Q1440" s="4">
        <f t="shared" si="67"/>
        <v>8</v>
      </c>
      <c r="R1440" s="4">
        <f t="shared" si="68"/>
        <v>58000</v>
      </c>
    </row>
    <row r="1441" spans="1:18">
      <c r="A1441" s="1">
        <v>2</v>
      </c>
      <c r="B1441" s="1" t="str">
        <f>"قطعات و لوازم يدكي"</f>
        <v>قطعات و لوازم يدكي</v>
      </c>
      <c r="C1441" s="1">
        <v>101</v>
      </c>
      <c r="D1441" s="1" t="str">
        <f>"انبار قطعات و لوازم يدكي اصفهان"</f>
        <v>انبار قطعات و لوازم يدكي اصفهان</v>
      </c>
      <c r="E1441" s="1" t="str">
        <f>"7630841372"</f>
        <v>7630841372</v>
      </c>
      <c r="F1441" s="1" t="s">
        <v>105</v>
      </c>
      <c r="G1441" s="1" t="str">
        <f>"عدد"</f>
        <v>عدد</v>
      </c>
      <c r="H1441" s="1">
        <v>3</v>
      </c>
      <c r="I1441" s="1">
        <v>459000</v>
      </c>
      <c r="J1441" s="1">
        <v>0</v>
      </c>
      <c r="K1441" s="1">
        <v>0</v>
      </c>
      <c r="L1441" s="1">
        <v>0</v>
      </c>
      <c r="M1441" s="1">
        <v>0</v>
      </c>
      <c r="O1441" s="1">
        <v>97</v>
      </c>
      <c r="P1441" s="4">
        <f t="shared" si="66"/>
        <v>459000</v>
      </c>
      <c r="Q1441" s="4">
        <f t="shared" si="67"/>
        <v>3</v>
      </c>
      <c r="R1441" s="4">
        <f t="shared" si="68"/>
        <v>153000</v>
      </c>
    </row>
    <row r="1442" spans="1:18">
      <c r="A1442" s="1">
        <v>2</v>
      </c>
      <c r="B1442" s="1" t="str">
        <f>"قطعات و لوازم يدكي"</f>
        <v>قطعات و لوازم يدكي</v>
      </c>
      <c r="C1442" s="1">
        <v>101</v>
      </c>
      <c r="D1442" s="1" t="str">
        <f>"انبار قطعات و لوازم يدكي اصفهان"</f>
        <v>انبار قطعات و لوازم يدكي اصفهان</v>
      </c>
      <c r="E1442" s="1" t="str">
        <f>"7634182122"</f>
        <v>7634182122</v>
      </c>
      <c r="F1442" s="1" t="str">
        <f>"كپ جوشي 3/4 اينچ رده 40"</f>
        <v>كپ جوشي 3/4 اينچ رده 40</v>
      </c>
      <c r="G1442" s="1" t="str">
        <f>"عدد"</f>
        <v>عدد</v>
      </c>
      <c r="H1442" s="1">
        <v>27</v>
      </c>
      <c r="I1442" s="1">
        <v>1080000</v>
      </c>
      <c r="J1442" s="1">
        <v>1</v>
      </c>
      <c r="K1442" s="1">
        <v>40000</v>
      </c>
      <c r="L1442" s="1">
        <v>4</v>
      </c>
      <c r="M1442" s="1">
        <v>160000</v>
      </c>
      <c r="O1442" s="1">
        <v>97</v>
      </c>
      <c r="P1442" s="4">
        <f t="shared" si="66"/>
        <v>960000</v>
      </c>
      <c r="Q1442" s="4">
        <f t="shared" si="67"/>
        <v>24</v>
      </c>
      <c r="R1442" s="4">
        <f t="shared" si="68"/>
        <v>40000</v>
      </c>
    </row>
    <row r="1443" spans="1:18">
      <c r="A1443" s="1">
        <v>2</v>
      </c>
      <c r="B1443" s="1" t="str">
        <f>"قطعات و لوازم يدكي"</f>
        <v>قطعات و لوازم يدكي</v>
      </c>
      <c r="C1443" s="1">
        <v>101</v>
      </c>
      <c r="D1443" s="1" t="str">
        <f>"انبار قطعات و لوازم يدكي اصفهان"</f>
        <v>انبار قطعات و لوازم يدكي اصفهان</v>
      </c>
      <c r="E1443" s="1" t="str">
        <f>"7634382182"</f>
        <v>7634382182</v>
      </c>
      <c r="F1443" s="1" t="str">
        <f>"زانو 45 درجه ساكت ولد 1/2-1 اينچ 3000"</f>
        <v>زانو 45 درجه ساكت ولد 1/2-1 اينچ 3000</v>
      </c>
      <c r="G1443" s="1" t="str">
        <f>"عدد"</f>
        <v>عدد</v>
      </c>
      <c r="H1443" s="1">
        <v>4</v>
      </c>
      <c r="I1443" s="1">
        <v>182186</v>
      </c>
      <c r="J1443" s="1">
        <v>0</v>
      </c>
      <c r="K1443" s="1">
        <v>0</v>
      </c>
      <c r="L1443" s="1">
        <v>0</v>
      </c>
      <c r="M1443" s="1">
        <v>0</v>
      </c>
      <c r="O1443" s="1">
        <v>97</v>
      </c>
      <c r="P1443" s="4">
        <f t="shared" si="66"/>
        <v>182186</v>
      </c>
      <c r="Q1443" s="4">
        <f t="shared" si="67"/>
        <v>4</v>
      </c>
      <c r="R1443" s="4">
        <f t="shared" si="68"/>
        <v>45546.5</v>
      </c>
    </row>
    <row r="1444" spans="1:18">
      <c r="A1444" s="1">
        <v>2</v>
      </c>
      <c r="B1444" s="1" t="str">
        <f>"قطعات و لوازم يدكي"</f>
        <v>قطعات و لوازم يدكي</v>
      </c>
      <c r="C1444" s="1">
        <v>101</v>
      </c>
      <c r="D1444" s="1" t="str">
        <f>"انبار قطعات و لوازم يدكي اصفهان"</f>
        <v>انبار قطعات و لوازم يدكي اصفهان</v>
      </c>
      <c r="E1444" s="1" t="str">
        <f>"7634392082"</f>
        <v>7634392082</v>
      </c>
      <c r="F1444" s="1" t="str">
        <f>"زانو 90 درجه ساكت ولد 1/2 اينچ 3000"</f>
        <v>زانو 90 درجه ساكت ولد 1/2 اينچ 3000</v>
      </c>
      <c r="G1444" s="1" t="str">
        <f>"عدد"</f>
        <v>عدد</v>
      </c>
      <c r="H1444" s="1">
        <v>59</v>
      </c>
      <c r="I1444" s="1">
        <v>3461627</v>
      </c>
      <c r="J1444" s="1">
        <v>39</v>
      </c>
      <c r="K1444" s="1">
        <v>5158872</v>
      </c>
      <c r="L1444" s="1">
        <v>22</v>
      </c>
      <c r="M1444" s="1">
        <v>1790024</v>
      </c>
      <c r="O1444" s="1">
        <v>97</v>
      </c>
      <c r="P1444" s="4">
        <f t="shared" si="66"/>
        <v>6830475</v>
      </c>
      <c r="Q1444" s="4">
        <f t="shared" si="67"/>
        <v>76</v>
      </c>
      <c r="R1444" s="4">
        <f t="shared" si="68"/>
        <v>89874.671052631573</v>
      </c>
    </row>
    <row r="1445" spans="1:18">
      <c r="A1445" s="1">
        <v>2</v>
      </c>
      <c r="B1445" s="1" t="str">
        <f>"قطعات و لوازم يدكي"</f>
        <v>قطعات و لوازم يدكي</v>
      </c>
      <c r="C1445" s="1">
        <v>101</v>
      </c>
      <c r="D1445" s="1" t="str">
        <f>"انبار قطعات و لوازم يدكي اصفهان"</f>
        <v>انبار قطعات و لوازم يدكي اصفهان</v>
      </c>
      <c r="E1445" s="1" t="str">
        <f>"7634702002"</f>
        <v>7634702002</v>
      </c>
      <c r="F1445" s="1" t="s">
        <v>106</v>
      </c>
      <c r="G1445" s="1" t="str">
        <f>"عدد"</f>
        <v>عدد</v>
      </c>
      <c r="H1445" s="1">
        <v>43</v>
      </c>
      <c r="I1445" s="1">
        <v>2553827</v>
      </c>
      <c r="J1445" s="1">
        <v>0</v>
      </c>
      <c r="K1445" s="1">
        <v>0</v>
      </c>
      <c r="L1445" s="1">
        <v>3</v>
      </c>
      <c r="M1445" s="1">
        <v>178174</v>
      </c>
      <c r="O1445" s="1">
        <v>97</v>
      </c>
      <c r="P1445" s="4">
        <f t="shared" si="66"/>
        <v>2375653</v>
      </c>
      <c r="Q1445" s="4">
        <f t="shared" si="67"/>
        <v>40</v>
      </c>
      <c r="R1445" s="4">
        <f t="shared" si="68"/>
        <v>59391.324999999997</v>
      </c>
    </row>
    <row r="1446" spans="1:18">
      <c r="A1446" s="1">
        <v>2</v>
      </c>
      <c r="B1446" s="1" t="str">
        <f>"قطعات و لوازم يدكي"</f>
        <v>قطعات و لوازم يدكي</v>
      </c>
      <c r="C1446" s="1">
        <v>101</v>
      </c>
      <c r="D1446" s="1" t="str">
        <f>"انبار قطعات و لوازم يدكي اصفهان"</f>
        <v>انبار قطعات و لوازم يدكي اصفهان</v>
      </c>
      <c r="E1446" s="1" t="str">
        <f>"7634902122"</f>
        <v>7634902122</v>
      </c>
      <c r="F1446" s="1" t="s">
        <v>107</v>
      </c>
      <c r="G1446" s="1" t="str">
        <f>"عدد"</f>
        <v>عدد</v>
      </c>
      <c r="H1446" s="1">
        <v>69</v>
      </c>
      <c r="I1446" s="1">
        <v>10549721</v>
      </c>
      <c r="J1446" s="1">
        <v>0</v>
      </c>
      <c r="K1446" s="1">
        <v>0</v>
      </c>
      <c r="L1446" s="1">
        <v>8</v>
      </c>
      <c r="M1446" s="1">
        <v>1223156</v>
      </c>
      <c r="O1446" s="1">
        <v>97</v>
      </c>
      <c r="P1446" s="4">
        <f t="shared" si="66"/>
        <v>9326565</v>
      </c>
      <c r="Q1446" s="4">
        <f t="shared" si="67"/>
        <v>61</v>
      </c>
      <c r="R1446" s="4">
        <f t="shared" si="68"/>
        <v>152894.50819672132</v>
      </c>
    </row>
    <row r="1447" spans="1:18">
      <c r="A1447" s="1">
        <v>2</v>
      </c>
      <c r="B1447" s="1" t="str">
        <f>"قطعات و لوازم يدكي"</f>
        <v>قطعات و لوازم يدكي</v>
      </c>
      <c r="C1447" s="1">
        <v>101</v>
      </c>
      <c r="D1447" s="1" t="str">
        <f>"انبار قطعات و لوازم يدكي اصفهان"</f>
        <v>انبار قطعات و لوازم يدكي اصفهان</v>
      </c>
      <c r="E1447" s="1" t="str">
        <f>"7634902162"</f>
        <v>7634902162</v>
      </c>
      <c r="F1447" s="1" t="str">
        <f>"يونيو ن 1 اينچ جوشي 3000"</f>
        <v>يونيو ن 1 اينچ جوشي 3000</v>
      </c>
      <c r="G1447" s="1" t="str">
        <f>"عدد"</f>
        <v>عدد</v>
      </c>
      <c r="H1447" s="1">
        <v>12</v>
      </c>
      <c r="I1447" s="1">
        <v>2388403</v>
      </c>
      <c r="J1447" s="1">
        <v>0</v>
      </c>
      <c r="K1447" s="1">
        <v>0</v>
      </c>
      <c r="L1447" s="1">
        <v>0</v>
      </c>
      <c r="M1447" s="1">
        <v>0</v>
      </c>
      <c r="O1447" s="1">
        <v>97</v>
      </c>
      <c r="P1447" s="4">
        <f t="shared" si="66"/>
        <v>2388403</v>
      </c>
      <c r="Q1447" s="4">
        <f t="shared" si="67"/>
        <v>12</v>
      </c>
      <c r="R1447" s="4">
        <f t="shared" si="68"/>
        <v>199033.58333333334</v>
      </c>
    </row>
    <row r="1448" spans="1:18">
      <c r="A1448" s="1">
        <v>2</v>
      </c>
      <c r="B1448" s="1" t="str">
        <f>"قطعات و لوازم يدكي"</f>
        <v>قطعات و لوازم يدكي</v>
      </c>
      <c r="C1448" s="1">
        <v>101</v>
      </c>
      <c r="D1448" s="1" t="str">
        <f>"انبار قطعات و لوازم يدكي اصفهان"</f>
        <v>انبار قطعات و لوازم يدكي اصفهان</v>
      </c>
      <c r="E1448" s="1" t="str">
        <f>"7640260222"</f>
        <v>7640260222</v>
      </c>
      <c r="F1448" s="1" t="str">
        <f>"STUD CONNECTOR 3/8*1/4 M"</f>
        <v>STUD CONNECTOR 3/8*1/4 M</v>
      </c>
      <c r="G1448" s="1" t="str">
        <f>"عدد"</f>
        <v>عدد</v>
      </c>
      <c r="H1448" s="1">
        <v>10</v>
      </c>
      <c r="I1448" s="1">
        <v>1150000</v>
      </c>
      <c r="J1448" s="1">
        <v>3</v>
      </c>
      <c r="K1448" s="1">
        <v>345000</v>
      </c>
      <c r="L1448" s="1">
        <v>6</v>
      </c>
      <c r="M1448" s="1">
        <v>690000</v>
      </c>
      <c r="O1448" s="1">
        <v>97</v>
      </c>
      <c r="P1448" s="4">
        <f t="shared" si="66"/>
        <v>805000</v>
      </c>
      <c r="Q1448" s="4">
        <f t="shared" si="67"/>
        <v>7</v>
      </c>
      <c r="R1448" s="4">
        <f t="shared" si="68"/>
        <v>115000</v>
      </c>
    </row>
    <row r="1449" spans="1:18">
      <c r="A1449" s="1">
        <v>2</v>
      </c>
      <c r="B1449" s="1" t="str">
        <f>"قطعات و لوازم يدكي"</f>
        <v>قطعات و لوازم يدكي</v>
      </c>
      <c r="C1449" s="1">
        <v>101</v>
      </c>
      <c r="D1449" s="1" t="str">
        <f>"انبار قطعات و لوازم يدكي اصفهان"</f>
        <v>انبار قطعات و لوازم يدكي اصفهان</v>
      </c>
      <c r="E1449" s="1" t="str">
        <f>"7640260282"</f>
        <v>7640260282</v>
      </c>
      <c r="F1449" s="1" t="str">
        <f>"STUD CONNECTOR 1/2*1/2 M"</f>
        <v>STUD CONNECTOR 1/2*1/2 M</v>
      </c>
      <c r="G1449" s="1" t="str">
        <f>"عدد"</f>
        <v>عدد</v>
      </c>
      <c r="H1449" s="1">
        <v>14</v>
      </c>
      <c r="I1449" s="1">
        <v>2088955</v>
      </c>
      <c r="J1449" s="1">
        <v>12</v>
      </c>
      <c r="K1449" s="1">
        <v>6348422</v>
      </c>
      <c r="L1449" s="1">
        <v>8</v>
      </c>
      <c r="M1449" s="1">
        <v>1193688</v>
      </c>
      <c r="O1449" s="1">
        <v>97</v>
      </c>
      <c r="P1449" s="4">
        <f t="shared" si="66"/>
        <v>7243689</v>
      </c>
      <c r="Q1449" s="4">
        <f t="shared" si="67"/>
        <v>18</v>
      </c>
      <c r="R1449" s="4">
        <f t="shared" si="68"/>
        <v>402427.16666666669</v>
      </c>
    </row>
    <row r="1450" spans="1:18">
      <c r="A1450" s="1">
        <v>2</v>
      </c>
      <c r="B1450" s="1" t="str">
        <f>"قطعات و لوازم يدكي"</f>
        <v>قطعات و لوازم يدكي</v>
      </c>
      <c r="C1450" s="1">
        <v>101</v>
      </c>
      <c r="D1450" s="1" t="str">
        <f>"انبار قطعات و لوازم يدكي اصفهان"</f>
        <v>انبار قطعات و لوازم يدكي اصفهان</v>
      </c>
      <c r="E1450" s="1" t="str">
        <f>"7640390042"</f>
        <v>7640390042</v>
      </c>
      <c r="F1450" s="1" t="str">
        <f>"ELBOW 90 deg 1/4 tube*tube"</f>
        <v>ELBOW 90 deg 1/4 tube*tube</v>
      </c>
      <c r="G1450" s="1" t="str">
        <f>"عدد"</f>
        <v>عدد</v>
      </c>
      <c r="H1450" s="1">
        <v>10</v>
      </c>
      <c r="I1450" s="1">
        <v>3450000</v>
      </c>
      <c r="J1450" s="1">
        <v>0</v>
      </c>
      <c r="K1450" s="1">
        <v>0</v>
      </c>
      <c r="L1450" s="1">
        <v>0</v>
      </c>
      <c r="M1450" s="1">
        <v>0</v>
      </c>
      <c r="O1450" s="1">
        <v>97</v>
      </c>
      <c r="P1450" s="4">
        <f t="shared" si="66"/>
        <v>3450000</v>
      </c>
      <c r="Q1450" s="4">
        <f t="shared" si="67"/>
        <v>10</v>
      </c>
      <c r="R1450" s="4">
        <f t="shared" si="68"/>
        <v>345000</v>
      </c>
    </row>
    <row r="1451" spans="1:18">
      <c r="A1451" s="1">
        <v>2</v>
      </c>
      <c r="B1451" s="1" t="str">
        <f>"قطعات و لوازم يدكي"</f>
        <v>قطعات و لوازم يدكي</v>
      </c>
      <c r="C1451" s="1">
        <v>101</v>
      </c>
      <c r="D1451" s="1" t="str">
        <f>"انبار قطعات و لوازم يدكي اصفهان"</f>
        <v>انبار قطعات و لوازم يدكي اصفهان</v>
      </c>
      <c r="E1451" s="1" t="str">
        <f>"7640490062"</f>
        <v>7640490062</v>
      </c>
      <c r="F1451" s="1" t="str">
        <f>"FROL BACK FROL 3/8"</f>
        <v>FROL BACK FROL 3/8</v>
      </c>
      <c r="G1451" s="1" t="str">
        <f>"عدد"</f>
        <v>عدد</v>
      </c>
      <c r="H1451" s="1">
        <v>120</v>
      </c>
      <c r="I1451" s="1">
        <v>4423020</v>
      </c>
      <c r="J1451" s="1">
        <v>150</v>
      </c>
      <c r="K1451" s="1">
        <v>13200000</v>
      </c>
      <c r="L1451" s="1">
        <v>96</v>
      </c>
      <c r="M1451" s="1">
        <v>3955330</v>
      </c>
      <c r="O1451" s="1">
        <v>97</v>
      </c>
      <c r="P1451" s="4">
        <f t="shared" si="66"/>
        <v>13667690</v>
      </c>
      <c r="Q1451" s="4">
        <f t="shared" si="67"/>
        <v>174</v>
      </c>
      <c r="R1451" s="4">
        <f t="shared" si="68"/>
        <v>78549.942528735628</v>
      </c>
    </row>
    <row r="1452" spans="1:18">
      <c r="A1452" s="1">
        <v>2</v>
      </c>
      <c r="B1452" s="1" t="str">
        <f>"قطعات و لوازم يدكي"</f>
        <v>قطعات و لوازم يدكي</v>
      </c>
      <c r="C1452" s="1">
        <v>101</v>
      </c>
      <c r="D1452" s="1" t="str">
        <f>"انبار قطعات و لوازم يدكي اصفهان"</f>
        <v>انبار قطعات و لوازم يدكي اصفهان</v>
      </c>
      <c r="E1452" s="1" t="str">
        <f>"7640840042"</f>
        <v>7640840042</v>
      </c>
      <c r="F1452" s="1" t="str">
        <f>"TEE EQAL 1/4 TUBE*TUBE"</f>
        <v>TEE EQAL 1/4 TUBE*TUBE</v>
      </c>
      <c r="G1452" s="1" t="str">
        <f>"عدد"</f>
        <v>عدد</v>
      </c>
      <c r="H1452" s="1">
        <v>10</v>
      </c>
      <c r="I1452" s="1">
        <v>4830000</v>
      </c>
      <c r="J1452" s="1">
        <v>1</v>
      </c>
      <c r="K1452" s="1">
        <v>483000</v>
      </c>
      <c r="L1452" s="1">
        <v>2</v>
      </c>
      <c r="M1452" s="1">
        <v>966000</v>
      </c>
      <c r="O1452" s="1">
        <v>97</v>
      </c>
      <c r="P1452" s="4">
        <f t="shared" si="66"/>
        <v>4347000</v>
      </c>
      <c r="Q1452" s="4">
        <f t="shared" si="67"/>
        <v>9</v>
      </c>
      <c r="R1452" s="4">
        <f t="shared" si="68"/>
        <v>483000</v>
      </c>
    </row>
    <row r="1453" spans="1:18">
      <c r="A1453" s="1">
        <v>2</v>
      </c>
      <c r="B1453" s="1" t="str">
        <f>"قطعات و لوازم يدكي"</f>
        <v>قطعات و لوازم يدكي</v>
      </c>
      <c r="C1453" s="1">
        <v>101</v>
      </c>
      <c r="D1453" s="1" t="str">
        <f>"انبار قطعات و لوازم يدكي اصفهان"</f>
        <v>انبار قطعات و لوازم يدكي اصفهان</v>
      </c>
      <c r="E1453" s="1" t="str">
        <f>"7640840082"</f>
        <v>7640840082</v>
      </c>
      <c r="F1453" s="1" t="str">
        <f>"TEE EQAL 1/2 TUBE*TUBE"</f>
        <v>TEE EQAL 1/2 TUBE*TUBE</v>
      </c>
      <c r="G1453" s="1" t="str">
        <f>"عدد"</f>
        <v>عدد</v>
      </c>
      <c r="H1453" s="1">
        <v>9</v>
      </c>
      <c r="I1453" s="1">
        <v>7686000</v>
      </c>
      <c r="J1453" s="1">
        <v>10</v>
      </c>
      <c r="K1453" s="1">
        <v>16500000</v>
      </c>
      <c r="L1453" s="1">
        <v>0</v>
      </c>
      <c r="M1453" s="1">
        <v>0</v>
      </c>
      <c r="O1453" s="1">
        <v>97</v>
      </c>
      <c r="P1453" s="4">
        <f t="shared" si="66"/>
        <v>24186000</v>
      </c>
      <c r="Q1453" s="4">
        <f t="shared" si="67"/>
        <v>19</v>
      </c>
      <c r="R1453" s="4">
        <f t="shared" si="68"/>
        <v>1272947.3684210526</v>
      </c>
    </row>
    <row r="1454" spans="1:18">
      <c r="A1454" s="1">
        <v>2</v>
      </c>
      <c r="B1454" s="1" t="str">
        <f>"قطعات و لوازم يدكي"</f>
        <v>قطعات و لوازم يدكي</v>
      </c>
      <c r="C1454" s="1">
        <v>101</v>
      </c>
      <c r="D1454" s="1" t="str">
        <f>"انبار قطعات و لوازم يدكي اصفهان"</f>
        <v>انبار قطعات و لوازم يدكي اصفهان</v>
      </c>
      <c r="E1454" s="1" t="str">
        <f>"7640900082"</f>
        <v>7640900082</v>
      </c>
      <c r="F1454" s="1" t="str">
        <f>"يونيون براس 1/2 اينچ"</f>
        <v>يونيون براس 1/2 اينچ</v>
      </c>
      <c r="G1454" s="1" t="str">
        <f>"عدد"</f>
        <v>عدد</v>
      </c>
      <c r="H1454" s="1">
        <v>47</v>
      </c>
      <c r="I1454" s="1">
        <v>5734000</v>
      </c>
      <c r="J1454" s="1">
        <v>0</v>
      </c>
      <c r="K1454" s="1">
        <v>0</v>
      </c>
      <c r="L1454" s="1">
        <v>3</v>
      </c>
      <c r="M1454" s="1">
        <v>366000</v>
      </c>
      <c r="O1454" s="1">
        <v>97</v>
      </c>
      <c r="P1454" s="4">
        <f t="shared" si="66"/>
        <v>5368000</v>
      </c>
      <c r="Q1454" s="4">
        <f t="shared" si="67"/>
        <v>44</v>
      </c>
      <c r="R1454" s="4">
        <f t="shared" si="68"/>
        <v>122000</v>
      </c>
    </row>
    <row r="1455" spans="1:18">
      <c r="A1455" s="1">
        <v>2</v>
      </c>
      <c r="B1455" s="1" t="str">
        <f>"قطعات و لوازم يدكي"</f>
        <v>قطعات و لوازم يدكي</v>
      </c>
      <c r="C1455" s="1">
        <v>101</v>
      </c>
      <c r="D1455" s="1" t="str">
        <f>"انبار قطعات و لوازم يدكي اصفهان"</f>
        <v>انبار قطعات و لوازم يدكي اصفهان</v>
      </c>
      <c r="E1455" s="1" t="str">
        <f>"7640900122"</f>
        <v>7640900122</v>
      </c>
      <c r="F1455" s="1" t="str">
        <f>"استد يونيون 3/4"</f>
        <v>استد يونيون 3/4</v>
      </c>
      <c r="G1455" s="1" t="str">
        <f>"عدد"</f>
        <v>عدد</v>
      </c>
      <c r="H1455" s="1">
        <v>10</v>
      </c>
      <c r="I1455" s="1">
        <v>5200000</v>
      </c>
      <c r="J1455" s="1">
        <v>2</v>
      </c>
      <c r="K1455" s="1">
        <v>1040000</v>
      </c>
      <c r="L1455" s="1">
        <v>2</v>
      </c>
      <c r="M1455" s="1">
        <v>1040000</v>
      </c>
      <c r="O1455" s="1">
        <v>97</v>
      </c>
      <c r="P1455" s="4">
        <f t="shared" si="66"/>
        <v>5200000</v>
      </c>
      <c r="Q1455" s="4">
        <f t="shared" si="67"/>
        <v>10</v>
      </c>
      <c r="R1455" s="4">
        <f t="shared" si="68"/>
        <v>520000</v>
      </c>
    </row>
    <row r="1456" spans="1:18">
      <c r="A1456" s="1">
        <v>2</v>
      </c>
      <c r="B1456" s="1" t="str">
        <f>"قطعات و لوازم يدكي"</f>
        <v>قطعات و لوازم يدكي</v>
      </c>
      <c r="C1456" s="1">
        <v>101</v>
      </c>
      <c r="D1456" s="1" t="str">
        <f>"انبار قطعات و لوازم يدكي اصفهان"</f>
        <v>انبار قطعات و لوازم يدكي اصفهان</v>
      </c>
      <c r="E1456" s="1" t="str">
        <f>"7662101222"</f>
        <v>7662101222</v>
      </c>
      <c r="F1456" s="1" t="str">
        <f>"فلنج كور 3 اينچ 300"</f>
        <v>فلنج كور 3 اينچ 300</v>
      </c>
      <c r="G1456" s="1" t="str">
        <f>"عدد"</f>
        <v>عدد</v>
      </c>
      <c r="H1456" s="1">
        <v>5</v>
      </c>
      <c r="I1456" s="1">
        <v>3729439</v>
      </c>
      <c r="J1456" s="1">
        <v>0</v>
      </c>
      <c r="K1456" s="1">
        <v>0</v>
      </c>
      <c r="L1456" s="1">
        <v>1</v>
      </c>
      <c r="M1456" s="1">
        <v>745888</v>
      </c>
      <c r="O1456" s="1">
        <v>97</v>
      </c>
      <c r="P1456" s="4">
        <f t="shared" si="66"/>
        <v>2983551</v>
      </c>
      <c r="Q1456" s="4">
        <f t="shared" si="67"/>
        <v>4</v>
      </c>
      <c r="R1456" s="4">
        <f t="shared" si="68"/>
        <v>745887.75</v>
      </c>
    </row>
    <row r="1457" spans="1:18" hidden="1">
      <c r="A1457" s="1">
        <v>2</v>
      </c>
      <c r="B1457" s="1" t="str">
        <f>"قطعات و لوازم يدكي"</f>
        <v>قطعات و لوازم يدكي</v>
      </c>
      <c r="C1457" s="1">
        <v>101</v>
      </c>
      <c r="D1457" s="1" t="str">
        <f>"انبار قطعات و لوازم يدكي اصفهان"</f>
        <v>انبار قطعات و لوازم يدكي اصفهان</v>
      </c>
      <c r="E1457" s="1" t="str">
        <f>"7662300702"</f>
        <v>7662300702</v>
      </c>
      <c r="F1457" s="1" t="str">
        <f>"فلنج سيليپون 4 کلاس 150"</f>
        <v>فلنج سيليپون 4 کلاس 150</v>
      </c>
      <c r="G1457" s="1" t="str">
        <f>"عدد"</f>
        <v>عدد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O1457" s="1">
        <v>97</v>
      </c>
      <c r="P1457" s="1">
        <f t="shared" si="66"/>
        <v>0</v>
      </c>
      <c r="Q1457" s="1">
        <f t="shared" si="67"/>
        <v>0</v>
      </c>
      <c r="R1457" s="1" t="e">
        <f t="shared" si="68"/>
        <v>#DIV/0!</v>
      </c>
    </row>
    <row r="1458" spans="1:18">
      <c r="A1458" s="1">
        <v>2</v>
      </c>
      <c r="B1458" s="1" t="str">
        <f>"قطعات و لوازم يدكي"</f>
        <v>قطعات و لوازم يدكي</v>
      </c>
      <c r="C1458" s="1">
        <v>101</v>
      </c>
      <c r="D1458" s="1" t="str">
        <f>"انبار قطعات و لوازم يدكي اصفهان"</f>
        <v>انبار قطعات و لوازم يدكي اصفهان</v>
      </c>
      <c r="E1458" s="1" t="str">
        <f>"7662400342"</f>
        <v>7662400342</v>
      </c>
      <c r="F1458" s="1" t="str">
        <f>"رديوس فلنج 3*4 کلاس 150"</f>
        <v>رديوس فلنج 3*4 کلاس 150</v>
      </c>
      <c r="G1458" s="1" t="str">
        <f>"عدد"</f>
        <v>عدد</v>
      </c>
      <c r="H1458" s="1">
        <v>6</v>
      </c>
      <c r="I1458" s="1">
        <v>5910000</v>
      </c>
      <c r="J1458" s="1">
        <v>0</v>
      </c>
      <c r="K1458" s="1">
        <v>0</v>
      </c>
      <c r="L1458" s="1">
        <v>1</v>
      </c>
      <c r="M1458" s="1">
        <v>985000</v>
      </c>
      <c r="O1458" s="1">
        <v>97</v>
      </c>
      <c r="P1458" s="4">
        <f t="shared" si="66"/>
        <v>4925000</v>
      </c>
      <c r="Q1458" s="4">
        <f t="shared" si="67"/>
        <v>5</v>
      </c>
      <c r="R1458" s="4">
        <f t="shared" si="68"/>
        <v>985000</v>
      </c>
    </row>
    <row r="1459" spans="1:18" hidden="1">
      <c r="A1459" s="1">
        <v>2</v>
      </c>
      <c r="B1459" s="1" t="str">
        <f>"قطعات و لوازم يدكي"</f>
        <v>قطعات و لوازم يدكي</v>
      </c>
      <c r="C1459" s="1">
        <v>101</v>
      </c>
      <c r="D1459" s="1" t="str">
        <f>"انبار قطعات و لوازم يدكي اصفهان"</f>
        <v>انبار قطعات و لوازم يدكي اصفهان</v>
      </c>
      <c r="E1459" s="1" t="str">
        <f>"8100000072"</f>
        <v>8100000072</v>
      </c>
      <c r="F1459" s="1" t="str">
        <f>"رول پلاک 6 * 1/5 بسته 50 عددي"</f>
        <v>رول پلاک 6 * 1/5 بسته 50 عددي</v>
      </c>
      <c r="G1459" s="1" t="str">
        <f>"عدد"</f>
        <v>عدد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O1459" s="1">
        <v>97</v>
      </c>
      <c r="P1459" s="1">
        <f t="shared" si="66"/>
        <v>0</v>
      </c>
      <c r="Q1459" s="1">
        <f t="shared" si="67"/>
        <v>0</v>
      </c>
      <c r="R1459" s="1" t="e">
        <f t="shared" si="68"/>
        <v>#DIV/0!</v>
      </c>
    </row>
    <row r="1460" spans="1:18" hidden="1">
      <c r="A1460" s="1">
        <v>2</v>
      </c>
      <c r="B1460" s="1" t="str">
        <f>"قطعات و لوازم يدكي"</f>
        <v>قطعات و لوازم يدكي</v>
      </c>
      <c r="C1460" s="1">
        <v>101</v>
      </c>
      <c r="D1460" s="1" t="str">
        <f>"انبار قطعات و لوازم يدكي اصفهان"</f>
        <v>انبار قطعات و لوازم يدكي اصفهان</v>
      </c>
      <c r="E1460" s="1" t="str">
        <f>"8100000142"</f>
        <v>8100000142</v>
      </c>
      <c r="F1460" s="1" t="str">
        <f>"I BOLT 8"</f>
        <v>I BOLT 8</v>
      </c>
      <c r="G1460" s="1" t="str">
        <f>"عدد"</f>
        <v>عدد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O1460" s="1">
        <v>97</v>
      </c>
      <c r="P1460" s="1">
        <f t="shared" si="66"/>
        <v>0</v>
      </c>
      <c r="Q1460" s="1">
        <f t="shared" si="67"/>
        <v>0</v>
      </c>
      <c r="R1460" s="1" t="e">
        <f t="shared" si="68"/>
        <v>#DIV/0!</v>
      </c>
    </row>
    <row r="1461" spans="1:18">
      <c r="A1461" s="1">
        <v>2</v>
      </c>
      <c r="B1461" s="1" t="str">
        <f>"قطعات و لوازم يدكي"</f>
        <v>قطعات و لوازم يدكي</v>
      </c>
      <c r="C1461" s="1">
        <v>101</v>
      </c>
      <c r="D1461" s="1" t="str">
        <f>"انبار قطعات و لوازم يدكي اصفهان"</f>
        <v>انبار قطعات و لوازم يدكي اصفهان</v>
      </c>
      <c r="E1461" s="1" t="str">
        <f>"5948770043"</f>
        <v>5948770043</v>
      </c>
      <c r="F1461" s="1" t="str">
        <f>"Spring Retainer"</f>
        <v>Spring Retainer</v>
      </c>
      <c r="G1461" s="1" t="str">
        <f>"عدد"</f>
        <v>عدد</v>
      </c>
      <c r="H1461" s="1">
        <v>9</v>
      </c>
      <c r="I1461" s="1">
        <v>378000</v>
      </c>
      <c r="J1461" s="1">
        <v>0</v>
      </c>
      <c r="K1461" s="1">
        <v>0</v>
      </c>
      <c r="L1461" s="1">
        <v>0</v>
      </c>
      <c r="M1461" s="1">
        <v>0</v>
      </c>
      <c r="O1461" s="1">
        <v>97</v>
      </c>
      <c r="P1461" s="4">
        <f t="shared" si="66"/>
        <v>378000</v>
      </c>
      <c r="Q1461" s="4">
        <f t="shared" si="67"/>
        <v>9</v>
      </c>
      <c r="R1461" s="4">
        <f t="shared" si="68"/>
        <v>42000</v>
      </c>
    </row>
    <row r="1462" spans="1:18">
      <c r="A1462" s="1">
        <v>2</v>
      </c>
      <c r="B1462" s="1" t="str">
        <f>"قطعات و لوازم يدكي"</f>
        <v>قطعات و لوازم يدكي</v>
      </c>
      <c r="C1462" s="1">
        <v>101</v>
      </c>
      <c r="D1462" s="1" t="str">
        <f>"انبار قطعات و لوازم يدكي اصفهان"</f>
        <v>انبار قطعات و لوازم يدكي اصفهان</v>
      </c>
      <c r="E1462" s="1" t="str">
        <f>"5996270043"</f>
        <v>5996270043</v>
      </c>
      <c r="F1462" s="1" t="str">
        <f>"امپلي فاير اسي YF115"</f>
        <v>امپلي فاير اسي YF115</v>
      </c>
      <c r="G1462" s="1" t="str">
        <f>"عدد"</f>
        <v>عدد</v>
      </c>
      <c r="H1462" s="1">
        <v>2</v>
      </c>
      <c r="I1462" s="1">
        <v>526320</v>
      </c>
      <c r="J1462" s="1">
        <v>0</v>
      </c>
      <c r="K1462" s="1">
        <v>0</v>
      </c>
      <c r="L1462" s="1">
        <v>0</v>
      </c>
      <c r="M1462" s="1">
        <v>0</v>
      </c>
      <c r="O1462" s="1">
        <v>97</v>
      </c>
      <c r="P1462" s="4">
        <f t="shared" si="66"/>
        <v>526320</v>
      </c>
      <c r="Q1462" s="4">
        <f t="shared" si="67"/>
        <v>2</v>
      </c>
      <c r="R1462" s="4">
        <f t="shared" si="68"/>
        <v>263160</v>
      </c>
    </row>
    <row r="1463" spans="1:18" hidden="1">
      <c r="A1463" s="1">
        <v>2</v>
      </c>
      <c r="B1463" s="1" t="str">
        <f>"قطعات و لوازم يدكي"</f>
        <v>قطعات و لوازم يدكي</v>
      </c>
      <c r="C1463" s="1">
        <v>101</v>
      </c>
      <c r="D1463" s="1" t="str">
        <f>"انبار قطعات و لوازم يدكي اصفهان"</f>
        <v>انبار قطعات و لوازم يدكي اصفهان</v>
      </c>
      <c r="E1463" s="1" t="str">
        <f>"6001020013"</f>
        <v>6001020013</v>
      </c>
      <c r="F1463" s="1" t="str">
        <f>"شير هيدروليک 1/2"</f>
        <v>شير هيدروليک 1/2</v>
      </c>
      <c r="G1463" s="1" t="str">
        <f>"عدد"</f>
        <v>عدد</v>
      </c>
      <c r="H1463" s="1">
        <v>0</v>
      </c>
      <c r="I1463" s="1">
        <v>0</v>
      </c>
      <c r="J1463" s="1">
        <v>3</v>
      </c>
      <c r="K1463" s="1">
        <v>5850000</v>
      </c>
      <c r="L1463" s="1">
        <v>3</v>
      </c>
      <c r="M1463" s="1">
        <v>5850000</v>
      </c>
      <c r="O1463" s="1">
        <v>97</v>
      </c>
      <c r="P1463" s="1">
        <f t="shared" si="66"/>
        <v>0</v>
      </c>
      <c r="Q1463" s="1">
        <f t="shared" si="67"/>
        <v>0</v>
      </c>
      <c r="R1463" s="1" t="e">
        <f t="shared" si="68"/>
        <v>#DIV/0!</v>
      </c>
    </row>
    <row r="1464" spans="1:18">
      <c r="A1464" s="1">
        <v>2</v>
      </c>
      <c r="B1464" s="1" t="str">
        <f>"قطعات و لوازم يدكي"</f>
        <v>قطعات و لوازم يدكي</v>
      </c>
      <c r="C1464" s="1">
        <v>101</v>
      </c>
      <c r="D1464" s="1" t="str">
        <f>"انبار قطعات و لوازم يدكي اصفهان"</f>
        <v>انبار قطعات و لوازم يدكي اصفهان</v>
      </c>
      <c r="E1464" s="1" t="str">
        <f>"6016411473"</f>
        <v>6016411473</v>
      </c>
      <c r="F1464" s="1" t="str">
        <f>"جوهرركوردينگ 60ميلي ليتريink BLUE"</f>
        <v>جوهرركوردينگ 60ميلي ليتريink BLUE</v>
      </c>
      <c r="G1464" s="1" t="str">
        <f>"بطر"</f>
        <v>بطر</v>
      </c>
      <c r="H1464" s="1">
        <v>7</v>
      </c>
      <c r="I1464" s="1">
        <v>518000</v>
      </c>
      <c r="J1464" s="1">
        <v>0</v>
      </c>
      <c r="K1464" s="1">
        <v>0</v>
      </c>
      <c r="L1464" s="1">
        <v>0</v>
      </c>
      <c r="M1464" s="1">
        <v>0</v>
      </c>
      <c r="O1464" s="1">
        <v>97</v>
      </c>
      <c r="P1464" s="4">
        <f t="shared" si="66"/>
        <v>518000</v>
      </c>
      <c r="Q1464" s="4">
        <f t="shared" si="67"/>
        <v>7</v>
      </c>
      <c r="R1464" s="4">
        <f t="shared" si="68"/>
        <v>74000</v>
      </c>
    </row>
    <row r="1465" spans="1:18" hidden="1">
      <c r="A1465" s="1">
        <v>2</v>
      </c>
      <c r="B1465" s="1" t="str">
        <f>"قطعات و لوازم يدكي"</f>
        <v>قطعات و لوازم يدكي</v>
      </c>
      <c r="C1465" s="1">
        <v>101</v>
      </c>
      <c r="D1465" s="1" t="str">
        <f>"انبار قطعات و لوازم يدكي اصفهان"</f>
        <v>انبار قطعات و لوازم يدكي اصفهان</v>
      </c>
      <c r="E1465" s="1" t="str">
        <f>"6050179103"</f>
        <v>6050179103</v>
      </c>
      <c r="F1465" s="1" t="str">
        <f>"TEMPERATOUR GUAGE 0-300"</f>
        <v>TEMPERATOUR GUAGE 0-300</v>
      </c>
      <c r="G1465" s="1" t="str">
        <f>"عدد"</f>
        <v>عدد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O1465" s="1">
        <v>97</v>
      </c>
      <c r="P1465" s="1">
        <f t="shared" si="66"/>
        <v>0</v>
      </c>
      <c r="Q1465" s="1">
        <f t="shared" si="67"/>
        <v>0</v>
      </c>
      <c r="R1465" s="1" t="e">
        <f t="shared" si="68"/>
        <v>#DIV/0!</v>
      </c>
    </row>
    <row r="1466" spans="1:18">
      <c r="A1466" s="1">
        <v>2</v>
      </c>
      <c r="B1466" s="1" t="str">
        <f>"قطعات و لوازم يدكي"</f>
        <v>قطعات و لوازم يدكي</v>
      </c>
      <c r="C1466" s="1">
        <v>101</v>
      </c>
      <c r="D1466" s="1" t="str">
        <f>"انبار قطعات و لوازم يدكي اصفهان"</f>
        <v>انبار قطعات و لوازم يدكي اصفهان</v>
      </c>
      <c r="E1466" s="1" t="str">
        <f>"6050548252"</f>
        <v>6050548252</v>
      </c>
      <c r="F1466" s="1" t="str">
        <f>"مانومتر 6-0 بار"</f>
        <v>مانومتر 6-0 بار</v>
      </c>
      <c r="G1466" s="1" t="str">
        <f>"عدد"</f>
        <v>عدد</v>
      </c>
      <c r="H1466" s="1">
        <v>1</v>
      </c>
      <c r="I1466" s="1">
        <v>185000</v>
      </c>
      <c r="J1466" s="1">
        <v>8</v>
      </c>
      <c r="K1466" s="1">
        <v>28800000</v>
      </c>
      <c r="L1466" s="1">
        <v>2</v>
      </c>
      <c r="M1466" s="1">
        <v>6441111</v>
      </c>
      <c r="O1466" s="1">
        <v>97</v>
      </c>
      <c r="P1466" s="4">
        <f t="shared" si="66"/>
        <v>22543889</v>
      </c>
      <c r="Q1466" s="4">
        <f t="shared" si="67"/>
        <v>7</v>
      </c>
      <c r="R1466" s="4">
        <f t="shared" si="68"/>
        <v>3220555.5714285714</v>
      </c>
    </row>
    <row r="1467" spans="1:18" hidden="1">
      <c r="A1467" s="1">
        <v>2</v>
      </c>
      <c r="B1467" s="1" t="str">
        <f>"قطعات و لوازم يدكي"</f>
        <v>قطعات و لوازم يدكي</v>
      </c>
      <c r="C1467" s="1">
        <v>101</v>
      </c>
      <c r="D1467" s="1" t="str">
        <f>"انبار قطعات و لوازم يدكي اصفهان"</f>
        <v>انبار قطعات و لوازم يدكي اصفهان</v>
      </c>
      <c r="E1467" s="1" t="str">
        <f>"6050548292"</f>
        <v>6050548292</v>
      </c>
      <c r="F1467" s="1" t="str">
        <f>"presser guage 0-2/5 bar"</f>
        <v>presser guage 0-2/5 bar</v>
      </c>
      <c r="G1467" s="1" t="str">
        <f>"عدد"</f>
        <v>عدد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O1467" s="1">
        <v>97</v>
      </c>
      <c r="P1467" s="1">
        <f t="shared" si="66"/>
        <v>0</v>
      </c>
      <c r="Q1467" s="1">
        <f t="shared" si="67"/>
        <v>0</v>
      </c>
      <c r="R1467" s="1" t="e">
        <f t="shared" si="68"/>
        <v>#DIV/0!</v>
      </c>
    </row>
    <row r="1468" spans="1:18" hidden="1">
      <c r="A1468" s="1">
        <v>2</v>
      </c>
      <c r="B1468" s="1" t="str">
        <f>"قطعات و لوازم يدكي"</f>
        <v>قطعات و لوازم يدكي</v>
      </c>
      <c r="C1468" s="1">
        <v>101</v>
      </c>
      <c r="D1468" s="1" t="str">
        <f>"انبار قطعات و لوازم يدكي اصفهان"</f>
        <v>انبار قطعات و لوازم يدكي اصفهان</v>
      </c>
      <c r="E1468" s="1" t="str">
        <f>"6050548322"</f>
        <v>6050548322</v>
      </c>
      <c r="F1468" s="1" t="str">
        <f>"ترمومتر 300 تا0 طول 30cm قطر 6mm"</f>
        <v>ترمومتر 300 تا0 طول 30cm قطر 6mm</v>
      </c>
      <c r="G1468" s="1" t="str">
        <f>"عدد"</f>
        <v>عدد</v>
      </c>
      <c r="H1468" s="1">
        <v>1</v>
      </c>
      <c r="I1468" s="1">
        <v>4100000</v>
      </c>
      <c r="J1468" s="1">
        <v>0</v>
      </c>
      <c r="K1468" s="1">
        <v>0</v>
      </c>
      <c r="L1468" s="1">
        <v>1</v>
      </c>
      <c r="M1468" s="1">
        <v>4100000</v>
      </c>
      <c r="O1468" s="1">
        <v>97</v>
      </c>
      <c r="P1468" s="1">
        <f t="shared" si="66"/>
        <v>0</v>
      </c>
      <c r="Q1468" s="1">
        <f t="shared" si="67"/>
        <v>0</v>
      </c>
      <c r="R1468" s="1" t="e">
        <f t="shared" si="68"/>
        <v>#DIV/0!</v>
      </c>
    </row>
    <row r="1469" spans="1:18">
      <c r="A1469" s="1">
        <v>2</v>
      </c>
      <c r="B1469" s="1" t="str">
        <f>"قطعات و لوازم يدكي"</f>
        <v>قطعات و لوازم يدكي</v>
      </c>
      <c r="C1469" s="1">
        <v>101</v>
      </c>
      <c r="D1469" s="1" t="str">
        <f>"انبار قطعات و لوازم يدكي اصفهان"</f>
        <v>انبار قطعات و لوازم يدكي اصفهان</v>
      </c>
      <c r="E1469" s="1" t="str">
        <f>"6055296033"</f>
        <v>6055296033</v>
      </c>
      <c r="F1469" s="1" t="str">
        <f>"تايپ مل 1101"</f>
        <v>تايپ مل 1101</v>
      </c>
      <c r="G1469" s="1" t="str">
        <f>"عدد"</f>
        <v>عدد</v>
      </c>
      <c r="H1469" s="1">
        <v>3</v>
      </c>
      <c r="I1469" s="1">
        <v>66790463</v>
      </c>
      <c r="J1469" s="1">
        <v>0</v>
      </c>
      <c r="K1469" s="1">
        <v>0</v>
      </c>
      <c r="L1469" s="1">
        <v>0</v>
      </c>
      <c r="M1469" s="1">
        <v>0</v>
      </c>
      <c r="O1469" s="1">
        <v>97</v>
      </c>
      <c r="P1469" s="4">
        <f t="shared" si="66"/>
        <v>66790463</v>
      </c>
      <c r="Q1469" s="4">
        <f t="shared" si="67"/>
        <v>3</v>
      </c>
      <c r="R1469" s="4">
        <f t="shared" si="68"/>
        <v>22263487.666666668</v>
      </c>
    </row>
    <row r="1470" spans="1:18">
      <c r="A1470" s="1">
        <v>2</v>
      </c>
      <c r="B1470" s="1" t="str">
        <f>"قطعات و لوازم يدكي"</f>
        <v>قطعات و لوازم يدكي</v>
      </c>
      <c r="C1470" s="1">
        <v>101</v>
      </c>
      <c r="D1470" s="1" t="str">
        <f>"انبار قطعات و لوازم يدكي اصفهان"</f>
        <v>انبار قطعات و لوازم يدكي اصفهان</v>
      </c>
      <c r="E1470" s="1" t="str">
        <f>"6088721492"</f>
        <v>6088721492</v>
      </c>
      <c r="F1470" s="1" t="str">
        <f>"شير برقي 1/2-1 ( بسته )(ASCO EME210.D.22)"</f>
        <v>شير برقي 1/2-1 ( بسته )(ASCO EME210.D.22)</v>
      </c>
      <c r="G1470" s="1" t="str">
        <f>"عدد"</f>
        <v>عدد</v>
      </c>
      <c r="H1470" s="1">
        <v>1</v>
      </c>
      <c r="I1470" s="1">
        <v>11374000</v>
      </c>
      <c r="J1470" s="1">
        <v>2</v>
      </c>
      <c r="K1470" s="1">
        <v>399672000</v>
      </c>
      <c r="L1470" s="1">
        <v>1</v>
      </c>
      <c r="M1470" s="1">
        <v>11374000</v>
      </c>
      <c r="O1470" s="1">
        <v>97</v>
      </c>
      <c r="P1470" s="4">
        <f t="shared" si="66"/>
        <v>399672000</v>
      </c>
      <c r="Q1470" s="4">
        <f t="shared" si="67"/>
        <v>2</v>
      </c>
      <c r="R1470" s="4">
        <f t="shared" si="68"/>
        <v>199836000</v>
      </c>
    </row>
    <row r="1471" spans="1:18">
      <c r="A1471" s="1">
        <v>2</v>
      </c>
      <c r="B1471" s="1" t="str">
        <f>"قطعات و لوازم يدكي"</f>
        <v>قطعات و لوازم يدكي</v>
      </c>
      <c r="C1471" s="1">
        <v>101</v>
      </c>
      <c r="D1471" s="1" t="str">
        <f>"انبار قطعات و لوازم يدكي اصفهان"</f>
        <v>انبار قطعات و لوازم يدكي اصفهان</v>
      </c>
      <c r="E1471" s="1" t="str">
        <f>"6088721852"</f>
        <v>6088721852</v>
      </c>
      <c r="F1471" s="1" t="str">
        <f>"شير برقي 1/2 ( باز )"</f>
        <v>شير برقي 1/2 ( باز )</v>
      </c>
      <c r="G1471" s="1" t="str">
        <f>"عدد"</f>
        <v>عدد</v>
      </c>
      <c r="H1471" s="1">
        <v>2</v>
      </c>
      <c r="I1471" s="1">
        <v>17061000</v>
      </c>
      <c r="J1471" s="1">
        <v>0</v>
      </c>
      <c r="K1471" s="1">
        <v>0</v>
      </c>
      <c r="L1471" s="1">
        <v>0</v>
      </c>
      <c r="M1471" s="1">
        <v>0</v>
      </c>
      <c r="O1471" s="1">
        <v>97</v>
      </c>
      <c r="P1471" s="4">
        <f t="shared" si="66"/>
        <v>17061000</v>
      </c>
      <c r="Q1471" s="4">
        <f t="shared" si="67"/>
        <v>2</v>
      </c>
      <c r="R1471" s="4">
        <f t="shared" si="68"/>
        <v>8530500</v>
      </c>
    </row>
    <row r="1472" spans="1:18">
      <c r="A1472" s="1">
        <v>2</v>
      </c>
      <c r="B1472" s="1" t="str">
        <f>"قطعات و لوازم يدكي"</f>
        <v>قطعات و لوازم يدكي</v>
      </c>
      <c r="C1472" s="1">
        <v>101</v>
      </c>
      <c r="D1472" s="1" t="str">
        <f>"انبار قطعات و لوازم يدكي اصفهان"</f>
        <v>انبار قطعات و لوازم يدكي اصفهان</v>
      </c>
      <c r="E1472" s="1" t="str">
        <f>"6088721872"</f>
        <v>6088721872</v>
      </c>
      <c r="F1472" s="1" t="str">
        <f>"شير  برقي  1/2 ( بسته )"</f>
        <v>شير  برقي  1/2 ( بسته )</v>
      </c>
      <c r="G1472" s="1" t="str">
        <f>"عدد"</f>
        <v>عدد</v>
      </c>
      <c r="H1472" s="1">
        <v>4</v>
      </c>
      <c r="I1472" s="1">
        <v>22748000</v>
      </c>
      <c r="J1472" s="1">
        <v>0</v>
      </c>
      <c r="K1472" s="1">
        <v>0</v>
      </c>
      <c r="L1472" s="1">
        <v>0</v>
      </c>
      <c r="M1472" s="1">
        <v>0</v>
      </c>
      <c r="O1472" s="1">
        <v>97</v>
      </c>
      <c r="P1472" s="4">
        <f t="shared" si="66"/>
        <v>22748000</v>
      </c>
      <c r="Q1472" s="4">
        <f t="shared" si="67"/>
        <v>4</v>
      </c>
      <c r="R1472" s="4">
        <f t="shared" si="68"/>
        <v>5687000</v>
      </c>
    </row>
    <row r="1473" spans="1:18">
      <c r="A1473" s="1">
        <v>2</v>
      </c>
      <c r="B1473" s="1" t="str">
        <f>"قطعات و لوازم يدكي"</f>
        <v>قطعات و لوازم يدكي</v>
      </c>
      <c r="C1473" s="1">
        <v>101</v>
      </c>
      <c r="D1473" s="1" t="str">
        <f>"انبار قطعات و لوازم يدكي اصفهان"</f>
        <v>انبار قطعات و لوازم يدكي اصفهان</v>
      </c>
      <c r="E1473" s="1" t="str">
        <f>"6088764073"</f>
        <v>6088764073</v>
      </c>
      <c r="F1473" s="1" t="str">
        <f>"ترمومتر  300-0  طول 16cm"</f>
        <v>ترمومتر  300-0  طول 16cm</v>
      </c>
      <c r="G1473" s="1" t="str">
        <f>"عدد"</f>
        <v>عدد</v>
      </c>
      <c r="H1473" s="1">
        <v>5</v>
      </c>
      <c r="I1473" s="1">
        <v>28900000</v>
      </c>
      <c r="J1473" s="1">
        <v>0</v>
      </c>
      <c r="K1473" s="1">
        <v>0</v>
      </c>
      <c r="L1473" s="1">
        <v>0</v>
      </c>
      <c r="M1473" s="1">
        <v>0</v>
      </c>
      <c r="O1473" s="1">
        <v>97</v>
      </c>
      <c r="P1473" s="4">
        <f t="shared" si="66"/>
        <v>28900000</v>
      </c>
      <c r="Q1473" s="4">
        <f t="shared" si="67"/>
        <v>5</v>
      </c>
      <c r="R1473" s="4">
        <f t="shared" si="68"/>
        <v>5780000</v>
      </c>
    </row>
    <row r="1474" spans="1:18">
      <c r="A1474" s="1">
        <v>2</v>
      </c>
      <c r="B1474" s="1" t="str">
        <f>"قطعات و لوازم يدكي"</f>
        <v>قطعات و لوازم يدكي</v>
      </c>
      <c r="C1474" s="1">
        <v>101</v>
      </c>
      <c r="D1474" s="1" t="str">
        <f>"انبار قطعات و لوازم يدكي اصفهان"</f>
        <v>انبار قطعات و لوازم يدكي اصفهان</v>
      </c>
      <c r="E1474" s="1" t="str">
        <f>"6096703083"</f>
        <v>6096703083</v>
      </c>
      <c r="F1474" s="1" t="str">
        <f>"4-20me barrier"</f>
        <v>4-20me barrier</v>
      </c>
      <c r="G1474" s="1" t="str">
        <f>"عدد"</f>
        <v>عدد</v>
      </c>
      <c r="H1474" s="1">
        <v>3</v>
      </c>
      <c r="I1474" s="1">
        <v>27000000</v>
      </c>
      <c r="J1474" s="1">
        <v>0</v>
      </c>
      <c r="K1474" s="1">
        <v>0</v>
      </c>
      <c r="L1474" s="1">
        <v>0</v>
      </c>
      <c r="M1474" s="1">
        <v>0</v>
      </c>
      <c r="O1474" s="1">
        <v>97</v>
      </c>
      <c r="P1474" s="4">
        <f t="shared" si="66"/>
        <v>27000000</v>
      </c>
      <c r="Q1474" s="4">
        <f t="shared" si="67"/>
        <v>3</v>
      </c>
      <c r="R1474" s="4">
        <f t="shared" si="68"/>
        <v>9000000</v>
      </c>
    </row>
    <row r="1475" spans="1:18" hidden="1">
      <c r="A1475" s="1">
        <v>2</v>
      </c>
      <c r="B1475" s="1" t="str">
        <f>"قطعات و لوازم يدكي"</f>
        <v>قطعات و لوازم يدكي</v>
      </c>
      <c r="C1475" s="1">
        <v>101</v>
      </c>
      <c r="D1475" s="1" t="str">
        <f>"انبار قطعات و لوازم يدكي اصفهان"</f>
        <v>انبار قطعات و لوازم يدكي اصفهان</v>
      </c>
      <c r="E1475" s="1" t="str">
        <f>"6401020042"</f>
        <v>6401020042</v>
      </c>
      <c r="F1475" s="1" t="str">
        <f>"الکترود 6010-3.25"</f>
        <v>الکترود 6010-3.25</v>
      </c>
      <c r="G1475" s="1" t="str">
        <f>"كيلوگرم"</f>
        <v>كيلوگرم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O1475" s="1">
        <v>97</v>
      </c>
      <c r="P1475" s="1">
        <f t="shared" ref="P1475:P1538" si="69">I1475+K1475-M1475</f>
        <v>0</v>
      </c>
      <c r="Q1475" s="1">
        <f t="shared" ref="Q1475:Q1538" si="70">H1475+J1475-L1475</f>
        <v>0</v>
      </c>
      <c r="R1475" s="1" t="e">
        <f t="shared" ref="R1475:R1538" si="71">P1475/Q1475</f>
        <v>#DIV/0!</v>
      </c>
    </row>
    <row r="1476" spans="1:18" hidden="1">
      <c r="A1476" s="1">
        <v>2</v>
      </c>
      <c r="B1476" s="1" t="str">
        <f>"قطعات و لوازم يدكي"</f>
        <v>قطعات و لوازم يدكي</v>
      </c>
      <c r="C1476" s="1">
        <v>101</v>
      </c>
      <c r="D1476" s="1" t="str">
        <f>"انبار قطعات و لوازم يدكي اصفهان"</f>
        <v>انبار قطعات و لوازم يدكي اصفهان</v>
      </c>
      <c r="E1476" s="1" t="str">
        <f>"6401030012"</f>
        <v>6401030012</v>
      </c>
      <c r="F1476" s="1" t="str">
        <f>"نازل ويکتور"</f>
        <v>نازل ويکتور</v>
      </c>
      <c r="G1476" s="1" t="str">
        <f>"عدد"</f>
        <v>عدد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O1476" s="1">
        <v>97</v>
      </c>
      <c r="P1476" s="1">
        <f t="shared" si="69"/>
        <v>0</v>
      </c>
      <c r="Q1476" s="1">
        <f t="shared" si="70"/>
        <v>0</v>
      </c>
      <c r="R1476" s="1" t="e">
        <f t="shared" si="71"/>
        <v>#DIV/0!</v>
      </c>
    </row>
    <row r="1477" spans="1:18" hidden="1">
      <c r="A1477" s="1">
        <v>2</v>
      </c>
      <c r="B1477" s="1" t="str">
        <f>"قطعات و لوازم يدكي"</f>
        <v>قطعات و لوازم يدكي</v>
      </c>
      <c r="C1477" s="1">
        <v>101</v>
      </c>
      <c r="D1477" s="1" t="str">
        <f>"انبار قطعات و لوازم يدكي اصفهان"</f>
        <v>انبار قطعات و لوازم يدكي اصفهان</v>
      </c>
      <c r="E1477" s="1" t="str">
        <f>"6701010012"</f>
        <v>6701010012</v>
      </c>
      <c r="F1477" s="1" t="str">
        <f>"تابلو برق reta"</f>
        <v>تابلو برق reta</v>
      </c>
      <c r="G1477" s="1" t="str">
        <f>"دستگاه"</f>
        <v>دستگاه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O1477" s="1">
        <v>97</v>
      </c>
      <c r="P1477" s="1">
        <f t="shared" si="69"/>
        <v>0</v>
      </c>
      <c r="Q1477" s="1">
        <f t="shared" si="70"/>
        <v>0</v>
      </c>
      <c r="R1477" s="1" t="e">
        <f t="shared" si="71"/>
        <v>#DIV/0!</v>
      </c>
    </row>
    <row r="1478" spans="1:18">
      <c r="A1478" s="1">
        <v>2</v>
      </c>
      <c r="B1478" s="1" t="str">
        <f>"قطعات و لوازم يدكي"</f>
        <v>قطعات و لوازم يدكي</v>
      </c>
      <c r="C1478" s="1">
        <v>101</v>
      </c>
      <c r="D1478" s="1" t="str">
        <f>"انبار قطعات و لوازم يدكي اصفهان"</f>
        <v>انبار قطعات و لوازم يدكي اصفهان</v>
      </c>
      <c r="E1478" s="1" t="str">
        <f>"6711375002"</f>
        <v>6711375002</v>
      </c>
      <c r="F1478" s="1" t="str">
        <f>"کليد محافظ جان 16A تک فاز"</f>
        <v>کليد محافظ جان 16A تک فاز</v>
      </c>
      <c r="G1478" s="1" t="str">
        <f>"عدد"</f>
        <v>عدد</v>
      </c>
      <c r="H1478" s="1">
        <v>30</v>
      </c>
      <c r="I1478" s="1">
        <v>17400000</v>
      </c>
      <c r="J1478" s="1">
        <v>0</v>
      </c>
      <c r="K1478" s="1">
        <v>0</v>
      </c>
      <c r="L1478" s="1">
        <v>1</v>
      </c>
      <c r="M1478" s="1">
        <v>580000</v>
      </c>
      <c r="O1478" s="1">
        <v>97</v>
      </c>
      <c r="P1478" s="4">
        <f t="shared" si="69"/>
        <v>16820000</v>
      </c>
      <c r="Q1478" s="4">
        <f t="shared" si="70"/>
        <v>29</v>
      </c>
      <c r="R1478" s="4">
        <f t="shared" si="71"/>
        <v>580000</v>
      </c>
    </row>
    <row r="1479" spans="1:18">
      <c r="A1479" s="1">
        <v>2</v>
      </c>
      <c r="B1479" s="1" t="str">
        <f>"قطعات و لوازم يدكي"</f>
        <v>قطعات و لوازم يدكي</v>
      </c>
      <c r="C1479" s="1">
        <v>101</v>
      </c>
      <c r="D1479" s="1" t="str">
        <f>"انبار قطعات و لوازم يدكي اصفهان"</f>
        <v>انبار قطعات و لوازم يدكي اصفهان</v>
      </c>
      <c r="E1479" s="1" t="str">
        <f>"6772902053"</f>
        <v>6772902053</v>
      </c>
      <c r="F1479" s="1" t="str">
        <f>"MODULE  GRمودل گيربكس"</f>
        <v>MODULE  GRمودل گيربكس</v>
      </c>
      <c r="G1479" s="1" t="str">
        <f>"عدد"</f>
        <v>عدد</v>
      </c>
      <c r="H1479" s="1">
        <v>18</v>
      </c>
      <c r="I1479" s="1">
        <v>10502846</v>
      </c>
      <c r="J1479" s="1">
        <v>0</v>
      </c>
      <c r="K1479" s="1">
        <v>0</v>
      </c>
      <c r="L1479" s="1">
        <v>0</v>
      </c>
      <c r="M1479" s="1">
        <v>0</v>
      </c>
      <c r="O1479" s="1">
        <v>97</v>
      </c>
      <c r="P1479" s="4">
        <f t="shared" si="69"/>
        <v>10502846</v>
      </c>
      <c r="Q1479" s="4">
        <f t="shared" si="70"/>
        <v>18</v>
      </c>
      <c r="R1479" s="4">
        <f t="shared" si="71"/>
        <v>583491.4444444445</v>
      </c>
    </row>
    <row r="1480" spans="1:18" hidden="1">
      <c r="A1480" s="1">
        <v>2</v>
      </c>
      <c r="B1480" s="1" t="str">
        <f>"قطعات و لوازم يدكي"</f>
        <v>قطعات و لوازم يدكي</v>
      </c>
      <c r="C1480" s="1">
        <v>101</v>
      </c>
      <c r="D1480" s="1" t="str">
        <f>"انبار قطعات و لوازم يدكي اصفهان"</f>
        <v>انبار قطعات و لوازم يدكي اصفهان</v>
      </c>
      <c r="E1480" s="1" t="str">
        <f>"6800000012"</f>
        <v>6800000012</v>
      </c>
      <c r="F1480" s="1" t="str">
        <f>"کابلشوي 300"</f>
        <v>کابلشوي 300</v>
      </c>
      <c r="G1480" s="1" t="str">
        <f>"عدد"</f>
        <v>عدد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O1480" s="1">
        <v>97</v>
      </c>
      <c r="P1480" s="1">
        <f t="shared" si="69"/>
        <v>0</v>
      </c>
      <c r="Q1480" s="1">
        <f t="shared" si="70"/>
        <v>0</v>
      </c>
      <c r="R1480" s="1" t="e">
        <f t="shared" si="71"/>
        <v>#DIV/0!</v>
      </c>
    </row>
    <row r="1481" spans="1:18" hidden="1">
      <c r="A1481" s="1">
        <v>2</v>
      </c>
      <c r="B1481" s="1" t="str">
        <f>"قطعات و لوازم يدكي"</f>
        <v>قطعات و لوازم يدكي</v>
      </c>
      <c r="C1481" s="1">
        <v>101</v>
      </c>
      <c r="D1481" s="1" t="str">
        <f>"انبار قطعات و لوازم يدكي اصفهان"</f>
        <v>انبار قطعات و لوازم يدكي اصفهان</v>
      </c>
      <c r="E1481" s="1" t="str">
        <f>"6800000172"</f>
        <v>6800000172</v>
      </c>
      <c r="F1481" s="1" t="str">
        <f>"GLAND 153.SIZE M-20A"</f>
        <v>GLAND 153.SIZE M-20A</v>
      </c>
      <c r="G1481" s="1" t="str">
        <f>"عدد"</f>
        <v>عدد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O1481" s="1">
        <v>97</v>
      </c>
      <c r="P1481" s="1">
        <f t="shared" si="69"/>
        <v>0</v>
      </c>
      <c r="Q1481" s="1">
        <f t="shared" si="70"/>
        <v>0</v>
      </c>
      <c r="R1481" s="1" t="e">
        <f t="shared" si="71"/>
        <v>#DIV/0!</v>
      </c>
    </row>
    <row r="1482" spans="1:18" hidden="1">
      <c r="A1482" s="1">
        <v>2</v>
      </c>
      <c r="B1482" s="1" t="str">
        <f>"قطعات و لوازم يدكي"</f>
        <v>قطعات و لوازم يدكي</v>
      </c>
      <c r="C1482" s="1">
        <v>101</v>
      </c>
      <c r="D1482" s="1" t="str">
        <f>"انبار قطعات و لوازم يدكي اصفهان"</f>
        <v>انبار قطعات و لوازم يدكي اصفهان</v>
      </c>
      <c r="E1482" s="1" t="str">
        <f>"6800000192"</f>
        <v>6800000192</v>
      </c>
      <c r="F1482" s="1" t="str">
        <f>"GLAND 153 .SIZE M40-C2"</f>
        <v>GLAND 153 .SIZE M40-C2</v>
      </c>
      <c r="G1482" s="1" t="str">
        <f>"عدد"</f>
        <v>عدد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O1482" s="1">
        <v>97</v>
      </c>
      <c r="P1482" s="1">
        <f t="shared" si="69"/>
        <v>0</v>
      </c>
      <c r="Q1482" s="1">
        <f t="shared" si="70"/>
        <v>0</v>
      </c>
      <c r="R1482" s="1" t="e">
        <f t="shared" si="71"/>
        <v>#DIV/0!</v>
      </c>
    </row>
    <row r="1483" spans="1:18" hidden="1">
      <c r="A1483" s="1">
        <v>2</v>
      </c>
      <c r="B1483" s="1" t="str">
        <f>"قطعات و لوازم يدكي"</f>
        <v>قطعات و لوازم يدكي</v>
      </c>
      <c r="C1483" s="1">
        <v>101</v>
      </c>
      <c r="D1483" s="1" t="str">
        <f>"انبار قطعات و لوازم يدكي اصفهان"</f>
        <v>انبار قطعات و لوازم يدكي اصفهان</v>
      </c>
      <c r="E1483" s="1" t="str">
        <f>"6800000222"</f>
        <v>6800000222</v>
      </c>
      <c r="F1483" s="1" t="str">
        <f>"GLAND 153 .SIZE M75-F"</f>
        <v>GLAND 153 .SIZE M75-F</v>
      </c>
      <c r="G1483" s="1" t="str">
        <f>"عدد"</f>
        <v>عدد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O1483" s="1">
        <v>97</v>
      </c>
      <c r="P1483" s="1">
        <f t="shared" si="69"/>
        <v>0</v>
      </c>
      <c r="Q1483" s="1">
        <f t="shared" si="70"/>
        <v>0</v>
      </c>
      <c r="R1483" s="1" t="e">
        <f t="shared" si="71"/>
        <v>#DIV/0!</v>
      </c>
    </row>
    <row r="1484" spans="1:18" hidden="1">
      <c r="A1484" s="1">
        <v>2</v>
      </c>
      <c r="B1484" s="1" t="str">
        <f>"قطعات و لوازم يدكي"</f>
        <v>قطعات و لوازم يدكي</v>
      </c>
      <c r="C1484" s="1">
        <v>101</v>
      </c>
      <c r="D1484" s="1" t="str">
        <f>"انبار قطعات و لوازم يدكي اصفهان"</f>
        <v>انبار قطعات و لوازم يدكي اصفهان</v>
      </c>
      <c r="E1484" s="1" t="str">
        <f>"6800000262"</f>
        <v>6800000262</v>
      </c>
      <c r="F1484" s="1" t="str">
        <f>"چراغ فلورسنت M45 1236 PC-HFD"</f>
        <v>چراغ فلورسنت M45 1236 PC-HFD</v>
      </c>
      <c r="G1484" s="1" t="str">
        <f>"عدد"</f>
        <v>عدد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O1484" s="1">
        <v>97</v>
      </c>
      <c r="P1484" s="1">
        <f t="shared" si="69"/>
        <v>0</v>
      </c>
      <c r="Q1484" s="1">
        <f t="shared" si="70"/>
        <v>0</v>
      </c>
      <c r="R1484" s="1" t="e">
        <f t="shared" si="71"/>
        <v>#DIV/0!</v>
      </c>
    </row>
    <row r="1485" spans="1:18" hidden="1">
      <c r="A1485" s="1">
        <v>2</v>
      </c>
      <c r="B1485" s="1" t="str">
        <f>"قطعات و لوازم يدكي"</f>
        <v>قطعات و لوازم يدكي</v>
      </c>
      <c r="C1485" s="1">
        <v>101</v>
      </c>
      <c r="D1485" s="1" t="str">
        <f>"انبار قطعات و لوازم يدكي اصفهان"</f>
        <v>انبار قطعات و لوازم يدكي اصفهان</v>
      </c>
      <c r="E1485" s="1" t="str">
        <f>"6800000282"</f>
        <v>6800000282</v>
      </c>
      <c r="F1485" s="1" t="str">
        <f>"ARG-60RUAK/AOG-60RPAGT"</f>
        <v>ARG-60RUAK/AOG-60RPAGT</v>
      </c>
      <c r="G1485" s="1" t="str">
        <f>"عدد"</f>
        <v>عدد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O1485" s="1">
        <v>97</v>
      </c>
      <c r="P1485" s="1">
        <f t="shared" si="69"/>
        <v>0</v>
      </c>
      <c r="Q1485" s="1">
        <f t="shared" si="70"/>
        <v>0</v>
      </c>
      <c r="R1485" s="1" t="e">
        <f t="shared" si="71"/>
        <v>#DIV/0!</v>
      </c>
    </row>
    <row r="1486" spans="1:18" hidden="1">
      <c r="A1486" s="1">
        <v>2</v>
      </c>
      <c r="B1486" s="1" t="str">
        <f>"قطعات و لوازم يدكي"</f>
        <v>قطعات و لوازم يدكي</v>
      </c>
      <c r="C1486" s="1">
        <v>101</v>
      </c>
      <c r="D1486" s="1" t="str">
        <f>"انبار قطعات و لوازم يدكي اصفهان"</f>
        <v>انبار قطعات و لوازم يدكي اصفهان</v>
      </c>
      <c r="E1486" s="1" t="str">
        <f>"6818118082"</f>
        <v>6818118082</v>
      </c>
      <c r="F1486" s="1" t="str">
        <f>"سيم افشان 6MM"</f>
        <v>سيم افشان 6MM</v>
      </c>
      <c r="G1486" s="1" t="str">
        <f>"متر"</f>
        <v>متر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O1486" s="1">
        <v>97</v>
      </c>
      <c r="P1486" s="1">
        <f t="shared" si="69"/>
        <v>0</v>
      </c>
      <c r="Q1486" s="1">
        <f t="shared" si="70"/>
        <v>0</v>
      </c>
      <c r="R1486" s="1" t="e">
        <f t="shared" si="71"/>
        <v>#DIV/0!</v>
      </c>
    </row>
    <row r="1487" spans="1:18">
      <c r="A1487" s="1">
        <v>2</v>
      </c>
      <c r="B1487" s="1" t="str">
        <f>"قطعات و لوازم يدكي"</f>
        <v>قطعات و لوازم يدكي</v>
      </c>
      <c r="C1487" s="1">
        <v>101</v>
      </c>
      <c r="D1487" s="1" t="str">
        <f>"انبار قطعات و لوازم يدكي اصفهان"</f>
        <v>انبار قطعات و لوازم يدكي اصفهان</v>
      </c>
      <c r="E1487" s="1" t="str">
        <f>"6818122782"</f>
        <v>6818122782</v>
      </c>
      <c r="F1487" s="1" t="str">
        <f>"کابل 4*4"</f>
        <v>کابل 4*4</v>
      </c>
      <c r="G1487" s="1" t="str">
        <f>"متر"</f>
        <v>متر</v>
      </c>
      <c r="H1487" s="1">
        <v>85</v>
      </c>
      <c r="I1487" s="1">
        <v>3595500</v>
      </c>
      <c r="J1487" s="1">
        <v>0</v>
      </c>
      <c r="K1487" s="1">
        <v>0</v>
      </c>
      <c r="L1487" s="1">
        <v>33</v>
      </c>
      <c r="M1487" s="1">
        <v>1395900</v>
      </c>
      <c r="O1487" s="1">
        <v>97</v>
      </c>
      <c r="P1487" s="4">
        <f t="shared" si="69"/>
        <v>2199600</v>
      </c>
      <c r="Q1487" s="4">
        <f t="shared" si="70"/>
        <v>52</v>
      </c>
      <c r="R1487" s="4">
        <f t="shared" si="71"/>
        <v>42300</v>
      </c>
    </row>
    <row r="1488" spans="1:18" hidden="1">
      <c r="A1488" s="1">
        <v>2</v>
      </c>
      <c r="B1488" s="1" t="str">
        <f>"قطعات و لوازم يدكي"</f>
        <v>قطعات و لوازم يدكي</v>
      </c>
      <c r="C1488" s="1">
        <v>101</v>
      </c>
      <c r="D1488" s="1" t="str">
        <f>"انبار قطعات و لوازم يدكي اصفهان"</f>
        <v>انبار قطعات و لوازم يدكي اصفهان</v>
      </c>
      <c r="E1488" s="1" t="str">
        <f>"6900000092"</f>
        <v>6900000092</v>
      </c>
      <c r="F1488" s="1" t="str">
        <f>"چراغ خياباني گلنور"</f>
        <v>چراغ خياباني گلنور</v>
      </c>
      <c r="G1488" s="1" t="str">
        <f>"عدد"</f>
        <v>عدد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O1488" s="1">
        <v>97</v>
      </c>
      <c r="P1488" s="1">
        <f t="shared" si="69"/>
        <v>0</v>
      </c>
      <c r="Q1488" s="1">
        <f t="shared" si="70"/>
        <v>0</v>
      </c>
      <c r="R1488" s="1" t="e">
        <f t="shared" si="71"/>
        <v>#DIV/0!</v>
      </c>
    </row>
    <row r="1489" spans="1:18" hidden="1">
      <c r="A1489" s="1">
        <v>2</v>
      </c>
      <c r="B1489" s="1" t="str">
        <f>"قطعات و لوازم يدكي"</f>
        <v>قطعات و لوازم يدكي</v>
      </c>
      <c r="C1489" s="1">
        <v>101</v>
      </c>
      <c r="D1489" s="1" t="str">
        <f>"انبار قطعات و لوازم يدكي اصفهان"</f>
        <v>انبار قطعات و لوازم يدكي اصفهان</v>
      </c>
      <c r="E1489" s="1" t="str">
        <f>"6900000102"</f>
        <v>6900000102</v>
      </c>
      <c r="F1489" s="1" t="str">
        <f>"آبگرمکن برقي 15 ليتري"</f>
        <v>آبگرمکن برقي 15 ليتري</v>
      </c>
      <c r="G1489" s="1" t="str">
        <f>"دستگاه"</f>
        <v>دستگاه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O1489" s="1">
        <v>97</v>
      </c>
      <c r="P1489" s="1">
        <f t="shared" si="69"/>
        <v>0</v>
      </c>
      <c r="Q1489" s="1">
        <f t="shared" si="70"/>
        <v>0</v>
      </c>
      <c r="R1489" s="1" t="e">
        <f t="shared" si="71"/>
        <v>#DIV/0!</v>
      </c>
    </row>
    <row r="1490" spans="1:18" hidden="1">
      <c r="A1490" s="1">
        <v>2</v>
      </c>
      <c r="B1490" s="1" t="str">
        <f>"قطعات و لوازم يدكي"</f>
        <v>قطعات و لوازم يدكي</v>
      </c>
      <c r="C1490" s="1">
        <v>101</v>
      </c>
      <c r="D1490" s="1" t="str">
        <f>"انبار قطعات و لوازم يدكي اصفهان"</f>
        <v>انبار قطعات و لوازم يدكي اصفهان</v>
      </c>
      <c r="E1490" s="1" t="str">
        <f>"6900000112"</f>
        <v>6900000112</v>
      </c>
      <c r="F1490" s="1" t="str">
        <f>"المنت 1/2-1"</f>
        <v>المنت 1/2-1</v>
      </c>
      <c r="G1490" s="1" t="str">
        <f>"عدد"</f>
        <v>عدد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O1490" s="1">
        <v>97</v>
      </c>
      <c r="P1490" s="1">
        <f t="shared" si="69"/>
        <v>0</v>
      </c>
      <c r="Q1490" s="1">
        <f t="shared" si="70"/>
        <v>0</v>
      </c>
      <c r="R1490" s="1" t="e">
        <f t="shared" si="71"/>
        <v>#DIV/0!</v>
      </c>
    </row>
    <row r="1491" spans="1:18" hidden="1">
      <c r="A1491" s="1">
        <v>2</v>
      </c>
      <c r="B1491" s="1" t="str">
        <f>"قطعات و لوازم يدكي"</f>
        <v>قطعات و لوازم يدكي</v>
      </c>
      <c r="C1491" s="1">
        <v>101</v>
      </c>
      <c r="D1491" s="1" t="str">
        <f>"انبار قطعات و لوازم يدكي اصفهان"</f>
        <v>انبار قطعات و لوازم يدكي اصفهان</v>
      </c>
      <c r="E1491" s="1" t="str">
        <f>"6900000122"</f>
        <v>6900000122</v>
      </c>
      <c r="F1491" s="1" t="str">
        <f>"ترموستات 400-0"</f>
        <v>ترموستات 400-0</v>
      </c>
      <c r="G1491" s="1" t="str">
        <f>"عدد"</f>
        <v>عدد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O1491" s="1">
        <v>97</v>
      </c>
      <c r="P1491" s="1">
        <f t="shared" si="69"/>
        <v>0</v>
      </c>
      <c r="Q1491" s="1">
        <f t="shared" si="70"/>
        <v>0</v>
      </c>
      <c r="R1491" s="1" t="e">
        <f t="shared" si="71"/>
        <v>#DIV/0!</v>
      </c>
    </row>
    <row r="1492" spans="1:18" hidden="1">
      <c r="A1492" s="1">
        <v>2</v>
      </c>
      <c r="B1492" s="1" t="str">
        <f>"قطعات و لوازم يدكي"</f>
        <v>قطعات و لوازم يدكي</v>
      </c>
      <c r="C1492" s="1">
        <v>101</v>
      </c>
      <c r="D1492" s="1" t="str">
        <f>"انبار قطعات و لوازم يدكي اصفهان"</f>
        <v>انبار قطعات و لوازم يدكي اصفهان</v>
      </c>
      <c r="E1492" s="1" t="str">
        <f>"6901020102"</f>
        <v>6901020102</v>
      </c>
      <c r="F1492" s="1" t="str">
        <f>"انکر بولت 12"</f>
        <v>انکر بولت 12</v>
      </c>
      <c r="G1492" s="1" t="str">
        <f>"عدد"</f>
        <v>عدد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O1492" s="1">
        <v>97</v>
      </c>
      <c r="P1492" s="1">
        <f t="shared" si="69"/>
        <v>0</v>
      </c>
      <c r="Q1492" s="1">
        <f t="shared" si="70"/>
        <v>0</v>
      </c>
      <c r="R1492" s="1" t="e">
        <f t="shared" si="71"/>
        <v>#DIV/0!</v>
      </c>
    </row>
    <row r="1493" spans="1:18" hidden="1">
      <c r="A1493" s="1">
        <v>2</v>
      </c>
      <c r="B1493" s="1" t="str">
        <f>"قطعات و لوازم يدكي"</f>
        <v>قطعات و لوازم يدكي</v>
      </c>
      <c r="C1493" s="1">
        <v>101</v>
      </c>
      <c r="D1493" s="1" t="str">
        <f>"انبار قطعات و لوازم يدكي اصفهان"</f>
        <v>انبار قطعات و لوازم يدكي اصفهان</v>
      </c>
      <c r="E1493" s="1" t="str">
        <f>"6901020152"</f>
        <v>6901020152</v>
      </c>
      <c r="F1493" s="1" t="str">
        <f>"رنگ نقره اي"</f>
        <v>رنگ نقره اي</v>
      </c>
      <c r="G1493" s="1" t="str">
        <f>"كيلوگرم"</f>
        <v>كيلوگرم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O1493" s="1">
        <v>97</v>
      </c>
      <c r="P1493" s="1">
        <f t="shared" si="69"/>
        <v>0</v>
      </c>
      <c r="Q1493" s="1">
        <f t="shared" si="70"/>
        <v>0</v>
      </c>
      <c r="R1493" s="1" t="e">
        <f t="shared" si="71"/>
        <v>#DIV/0!</v>
      </c>
    </row>
    <row r="1494" spans="1:18">
      <c r="A1494" s="1">
        <v>2</v>
      </c>
      <c r="B1494" s="1" t="str">
        <f>"قطعات و لوازم يدكي"</f>
        <v>قطعات و لوازم يدكي</v>
      </c>
      <c r="C1494" s="1">
        <v>101</v>
      </c>
      <c r="D1494" s="1" t="str">
        <f>"انبار قطعات و لوازم يدكي اصفهان"</f>
        <v>انبار قطعات و لوازم يدكي اصفهان</v>
      </c>
      <c r="E1494" s="1" t="str">
        <f>"6901020202"</f>
        <v>6901020202</v>
      </c>
      <c r="F1494" s="1" t="str">
        <f>"ترمينال 4 ريلي"</f>
        <v>ترمينال 4 ريلي</v>
      </c>
      <c r="G1494" s="1" t="str">
        <f>"عدد"</f>
        <v>عدد</v>
      </c>
      <c r="H1494" s="1">
        <v>0</v>
      </c>
      <c r="I1494" s="1">
        <v>0</v>
      </c>
      <c r="J1494" s="1">
        <v>50</v>
      </c>
      <c r="K1494" s="1">
        <v>690000</v>
      </c>
      <c r="L1494" s="1">
        <v>0</v>
      </c>
      <c r="M1494" s="1">
        <v>0</v>
      </c>
      <c r="O1494" s="1">
        <v>97</v>
      </c>
      <c r="P1494" s="4">
        <f t="shared" si="69"/>
        <v>690000</v>
      </c>
      <c r="Q1494" s="4">
        <f t="shared" si="70"/>
        <v>50</v>
      </c>
      <c r="R1494" s="4">
        <f t="shared" si="71"/>
        <v>13800</v>
      </c>
    </row>
    <row r="1495" spans="1:18">
      <c r="A1495" s="1">
        <v>2</v>
      </c>
      <c r="B1495" s="1" t="str">
        <f>"قطعات و لوازم يدكي"</f>
        <v>قطعات و لوازم يدكي</v>
      </c>
      <c r="C1495" s="1">
        <v>101</v>
      </c>
      <c r="D1495" s="1" t="str">
        <f>"انبار قطعات و لوازم يدكي اصفهان"</f>
        <v>انبار قطعات و لوازم يدكي اصفهان</v>
      </c>
      <c r="E1495" s="1" t="str">
        <f>"6935430502"</f>
        <v>6935430502</v>
      </c>
      <c r="F1495" s="1" t="str">
        <f>"لامپ گازي 160W"</f>
        <v>لامپ گازي 160W</v>
      </c>
      <c r="G1495" s="1" t="str">
        <f>"عدد"</f>
        <v>عدد</v>
      </c>
      <c r="H1495" s="1">
        <v>13</v>
      </c>
      <c r="I1495" s="1">
        <v>1138837</v>
      </c>
      <c r="J1495" s="1">
        <v>0</v>
      </c>
      <c r="K1495" s="1">
        <v>0</v>
      </c>
      <c r="L1495" s="1">
        <v>0</v>
      </c>
      <c r="M1495" s="1">
        <v>0</v>
      </c>
      <c r="O1495" s="1">
        <v>97</v>
      </c>
      <c r="P1495" s="4">
        <f t="shared" si="69"/>
        <v>1138837</v>
      </c>
      <c r="Q1495" s="4">
        <f t="shared" si="70"/>
        <v>13</v>
      </c>
      <c r="R1495" s="4">
        <f t="shared" si="71"/>
        <v>87602.846153846156</v>
      </c>
    </row>
    <row r="1496" spans="1:18">
      <c r="A1496" s="1">
        <v>2</v>
      </c>
      <c r="B1496" s="1" t="str">
        <f>"قطعات و لوازم يدكي"</f>
        <v>قطعات و لوازم يدكي</v>
      </c>
      <c r="C1496" s="1">
        <v>101</v>
      </c>
      <c r="D1496" s="1" t="str">
        <f>"انبار قطعات و لوازم يدكي اصفهان"</f>
        <v>انبار قطعات و لوازم يدكي اصفهان</v>
      </c>
      <c r="E1496" s="1" t="str">
        <f>"7001012002"</f>
        <v>7001012002</v>
      </c>
      <c r="F1496" s="1" t="str">
        <f>"داكت    2.5mm"</f>
        <v>داكت    2.5mm</v>
      </c>
      <c r="G1496" s="1" t="str">
        <f>"متر"</f>
        <v>متر</v>
      </c>
      <c r="H1496" s="1">
        <v>102</v>
      </c>
      <c r="I1496" s="1">
        <v>1113444</v>
      </c>
      <c r="J1496" s="1">
        <v>0</v>
      </c>
      <c r="K1496" s="1">
        <v>0</v>
      </c>
      <c r="L1496" s="1">
        <v>16</v>
      </c>
      <c r="M1496" s="1">
        <v>174658</v>
      </c>
      <c r="O1496" s="1">
        <v>97</v>
      </c>
      <c r="P1496" s="4">
        <f t="shared" si="69"/>
        <v>938786</v>
      </c>
      <c r="Q1496" s="4">
        <f t="shared" si="70"/>
        <v>86</v>
      </c>
      <c r="R1496" s="4">
        <f t="shared" si="71"/>
        <v>10916.116279069767</v>
      </c>
    </row>
    <row r="1497" spans="1:18">
      <c r="A1497" s="1">
        <v>2</v>
      </c>
      <c r="B1497" s="1" t="str">
        <f>"قطعات و لوازم يدكي"</f>
        <v>قطعات و لوازم يدكي</v>
      </c>
      <c r="C1497" s="1">
        <v>101</v>
      </c>
      <c r="D1497" s="1" t="str">
        <f>"انبار قطعات و لوازم يدكي اصفهان"</f>
        <v>انبار قطعات و لوازم يدكي اصفهان</v>
      </c>
      <c r="E1497" s="1" t="str">
        <f>"7061044602"</f>
        <v>7061044602</v>
      </c>
      <c r="F1497" s="1" t="str">
        <f>"فيوز كاردي 80A"</f>
        <v>فيوز كاردي 80A</v>
      </c>
      <c r="G1497" s="1" t="str">
        <f>"عدد"</f>
        <v>عدد</v>
      </c>
      <c r="H1497" s="1">
        <v>4</v>
      </c>
      <c r="I1497" s="1">
        <v>1533</v>
      </c>
      <c r="J1497" s="1">
        <v>0</v>
      </c>
      <c r="K1497" s="1">
        <v>0</v>
      </c>
      <c r="L1497" s="1">
        <v>0</v>
      </c>
      <c r="M1497" s="1">
        <v>0</v>
      </c>
      <c r="O1497" s="1">
        <v>97</v>
      </c>
      <c r="P1497" s="4">
        <f t="shared" si="69"/>
        <v>1533</v>
      </c>
      <c r="Q1497" s="4">
        <f t="shared" si="70"/>
        <v>4</v>
      </c>
      <c r="R1497" s="4">
        <f t="shared" si="71"/>
        <v>383.25</v>
      </c>
    </row>
    <row r="1498" spans="1:18">
      <c r="A1498" s="1">
        <v>2</v>
      </c>
      <c r="B1498" s="1" t="str">
        <f>"قطعات و لوازم يدكي"</f>
        <v>قطعات و لوازم يدكي</v>
      </c>
      <c r="C1498" s="1">
        <v>205</v>
      </c>
      <c r="D1498" s="1" t="str">
        <f>"انبار قطعات و لوازم يدكي بندرعباس"</f>
        <v>انبار قطعات و لوازم يدكي بندرعباس</v>
      </c>
      <c r="E1498" s="1" t="str">
        <f>"1800000220"</f>
        <v>1800000220</v>
      </c>
      <c r="F1498" s="1" t="str">
        <f>"پايه چراغ روشنايي"</f>
        <v>پايه چراغ روشنايي</v>
      </c>
      <c r="G1498" s="1" t="str">
        <f>"عدد"</f>
        <v>عدد</v>
      </c>
      <c r="H1498" s="1">
        <v>3</v>
      </c>
      <c r="I1498" s="1">
        <v>750000</v>
      </c>
      <c r="J1498" s="1">
        <v>0</v>
      </c>
      <c r="K1498" s="1">
        <v>0</v>
      </c>
      <c r="L1498" s="1">
        <v>0</v>
      </c>
      <c r="M1498" s="1">
        <v>0</v>
      </c>
      <c r="O1498" s="1">
        <v>97</v>
      </c>
      <c r="P1498" s="4">
        <f t="shared" si="69"/>
        <v>750000</v>
      </c>
      <c r="Q1498" s="4">
        <f t="shared" si="70"/>
        <v>3</v>
      </c>
      <c r="R1498" s="4">
        <f t="shared" si="71"/>
        <v>250000</v>
      </c>
    </row>
    <row r="1499" spans="1:18">
      <c r="A1499" s="1">
        <v>2</v>
      </c>
      <c r="B1499" s="1" t="str">
        <f>"قطعات و لوازم يدكي"</f>
        <v>قطعات و لوازم يدكي</v>
      </c>
      <c r="C1499" s="1">
        <v>205</v>
      </c>
      <c r="D1499" s="1" t="str">
        <f>"انبار قطعات و لوازم يدكي بندرعباس"</f>
        <v>انبار قطعات و لوازم يدكي بندرعباس</v>
      </c>
      <c r="E1499" s="1" t="str">
        <f>"1800000242"</f>
        <v>1800000242</v>
      </c>
      <c r="F1499" s="1" t="str">
        <f>"پوشرنگ مشکي"</f>
        <v>پوشرنگ مشکي</v>
      </c>
      <c r="G1499" s="1" t="str">
        <f>"عدد"</f>
        <v>عدد</v>
      </c>
      <c r="H1499" s="1">
        <v>4</v>
      </c>
      <c r="I1499" s="1">
        <v>400000</v>
      </c>
      <c r="J1499" s="1">
        <v>0</v>
      </c>
      <c r="K1499" s="1">
        <v>0</v>
      </c>
      <c r="L1499" s="1">
        <v>1</v>
      </c>
      <c r="M1499" s="1">
        <v>100000</v>
      </c>
      <c r="O1499" s="1">
        <v>97</v>
      </c>
      <c r="P1499" s="4">
        <f t="shared" si="69"/>
        <v>300000</v>
      </c>
      <c r="Q1499" s="4">
        <f t="shared" si="70"/>
        <v>3</v>
      </c>
      <c r="R1499" s="4">
        <f t="shared" si="71"/>
        <v>100000</v>
      </c>
    </row>
    <row r="1500" spans="1:18">
      <c r="A1500" s="1">
        <v>2</v>
      </c>
      <c r="B1500" s="1" t="str">
        <f>"قطعات و لوازم يدكي"</f>
        <v>قطعات و لوازم يدكي</v>
      </c>
      <c r="C1500" s="1">
        <v>205</v>
      </c>
      <c r="D1500" s="1" t="str">
        <f>"انبار قطعات و لوازم يدكي بندرعباس"</f>
        <v>انبار قطعات و لوازم يدكي بندرعباس</v>
      </c>
      <c r="E1500" s="1" t="str">
        <f>"1800000263"</f>
        <v>1800000263</v>
      </c>
      <c r="F1500" s="1" t="str">
        <f>"پيچ و رول پلاک"</f>
        <v>پيچ و رول پلاک</v>
      </c>
      <c r="G1500" s="1" t="str">
        <f>"عدد"</f>
        <v>عدد</v>
      </c>
      <c r="H1500" s="1">
        <v>60</v>
      </c>
      <c r="I1500" s="1">
        <v>30000</v>
      </c>
      <c r="J1500" s="1">
        <v>0</v>
      </c>
      <c r="K1500" s="1">
        <v>0</v>
      </c>
      <c r="L1500" s="1">
        <v>0</v>
      </c>
      <c r="M1500" s="1">
        <v>0</v>
      </c>
      <c r="O1500" s="1">
        <v>97</v>
      </c>
      <c r="P1500" s="4">
        <f t="shared" si="69"/>
        <v>30000</v>
      </c>
      <c r="Q1500" s="4">
        <f t="shared" si="70"/>
        <v>60</v>
      </c>
      <c r="R1500" s="4">
        <f t="shared" si="71"/>
        <v>500</v>
      </c>
    </row>
    <row r="1501" spans="1:18">
      <c r="A1501" s="1">
        <v>2</v>
      </c>
      <c r="B1501" s="1" t="str">
        <f>"قطعات و لوازم يدكي"</f>
        <v>قطعات و لوازم يدكي</v>
      </c>
      <c r="C1501" s="1">
        <v>205</v>
      </c>
      <c r="D1501" s="1" t="str">
        <f>"انبار قطعات و لوازم يدكي بندرعباس"</f>
        <v>انبار قطعات و لوازم يدكي بندرعباس</v>
      </c>
      <c r="E1501" s="1" t="str">
        <f>"1800000264"</f>
        <v>1800000264</v>
      </c>
      <c r="F1501" s="1" t="str">
        <f>"پيچ ورول پلاک 8"</f>
        <v>پيچ ورول پلاک 8</v>
      </c>
      <c r="G1501" s="1" t="str">
        <f>"عدد"</f>
        <v>عدد</v>
      </c>
      <c r="H1501" s="1">
        <v>269</v>
      </c>
      <c r="I1501" s="1">
        <v>53800</v>
      </c>
      <c r="J1501" s="1">
        <v>0</v>
      </c>
      <c r="K1501" s="1">
        <v>0</v>
      </c>
      <c r="L1501" s="1">
        <v>159</v>
      </c>
      <c r="M1501" s="1">
        <v>31800</v>
      </c>
      <c r="O1501" s="1">
        <v>97</v>
      </c>
      <c r="P1501" s="4">
        <f t="shared" si="69"/>
        <v>22000</v>
      </c>
      <c r="Q1501" s="4">
        <f t="shared" si="70"/>
        <v>110</v>
      </c>
      <c r="R1501" s="4">
        <f t="shared" si="71"/>
        <v>200</v>
      </c>
    </row>
    <row r="1502" spans="1:18" hidden="1">
      <c r="A1502" s="1">
        <v>2</v>
      </c>
      <c r="B1502" s="1" t="str">
        <f>"قطعات و لوازم يدكي"</f>
        <v>قطعات و لوازم يدكي</v>
      </c>
      <c r="C1502" s="1">
        <v>205</v>
      </c>
      <c r="D1502" s="1" t="str">
        <f>"انبار قطعات و لوازم يدكي بندرعباس"</f>
        <v>انبار قطعات و لوازم يدكي بندرعباس</v>
      </c>
      <c r="E1502" s="1" t="str">
        <f>"1800000267"</f>
        <v>1800000267</v>
      </c>
      <c r="F1502" s="1" t="str">
        <f>"پيچ و مهره 50*10"</f>
        <v>پيچ و مهره 50*10</v>
      </c>
      <c r="G1502" s="1" t="str">
        <f>"عدد"</f>
        <v>عدد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O1502" s="1">
        <v>97</v>
      </c>
      <c r="P1502" s="1">
        <f t="shared" si="69"/>
        <v>0</v>
      </c>
      <c r="Q1502" s="1">
        <f t="shared" si="70"/>
        <v>0</v>
      </c>
      <c r="R1502" s="1" t="e">
        <f t="shared" si="71"/>
        <v>#DIV/0!</v>
      </c>
    </row>
    <row r="1503" spans="1:18">
      <c r="A1503" s="1">
        <v>2</v>
      </c>
      <c r="B1503" s="1" t="str">
        <f>"قطعات و لوازم يدكي"</f>
        <v>قطعات و لوازم يدكي</v>
      </c>
      <c r="C1503" s="1">
        <v>205</v>
      </c>
      <c r="D1503" s="1" t="str">
        <f>"انبار قطعات و لوازم يدكي بندرعباس"</f>
        <v>انبار قطعات و لوازم يدكي بندرعباس</v>
      </c>
      <c r="E1503" s="1" t="str">
        <f>"1800000275"</f>
        <v>1800000275</v>
      </c>
      <c r="F1503" s="1" t="str">
        <f>"تبديل 1/2*3/4"</f>
        <v>تبديل 1/2*3/4</v>
      </c>
      <c r="G1503" s="1" t="str">
        <f>"عدد"</f>
        <v>عدد</v>
      </c>
      <c r="H1503" s="1">
        <v>39</v>
      </c>
      <c r="I1503" s="1">
        <v>11700000</v>
      </c>
      <c r="J1503" s="1">
        <v>0</v>
      </c>
      <c r="K1503" s="1">
        <v>0</v>
      </c>
      <c r="L1503" s="1">
        <v>11</v>
      </c>
      <c r="M1503" s="1">
        <v>3300000</v>
      </c>
      <c r="O1503" s="1">
        <v>97</v>
      </c>
      <c r="P1503" s="4">
        <f t="shared" si="69"/>
        <v>8400000</v>
      </c>
      <c r="Q1503" s="4">
        <f t="shared" si="70"/>
        <v>28</v>
      </c>
      <c r="R1503" s="4">
        <f t="shared" si="71"/>
        <v>300000</v>
      </c>
    </row>
    <row r="1504" spans="1:18">
      <c r="A1504" s="1">
        <v>2</v>
      </c>
      <c r="B1504" s="1" t="str">
        <f>"قطعات و لوازم يدكي"</f>
        <v>قطعات و لوازم يدكي</v>
      </c>
      <c r="C1504" s="1">
        <v>205</v>
      </c>
      <c r="D1504" s="1" t="str">
        <f>"انبار قطعات و لوازم يدكي بندرعباس"</f>
        <v>انبار قطعات و لوازم يدكي بندرعباس</v>
      </c>
      <c r="E1504" s="1" t="str">
        <f>"1800000277"</f>
        <v>1800000277</v>
      </c>
      <c r="F1504" s="1" t="str">
        <f>"تابلو کولر اسپيلت"</f>
        <v>تابلو کولر اسپيلت</v>
      </c>
      <c r="G1504" s="1" t="str">
        <f>"عدد"</f>
        <v>عدد</v>
      </c>
      <c r="H1504" s="1">
        <v>2</v>
      </c>
      <c r="I1504" s="1">
        <v>4300000</v>
      </c>
      <c r="J1504" s="1">
        <v>0</v>
      </c>
      <c r="K1504" s="1">
        <v>0</v>
      </c>
      <c r="L1504" s="1">
        <v>0</v>
      </c>
      <c r="M1504" s="1">
        <v>0</v>
      </c>
      <c r="O1504" s="1">
        <v>97</v>
      </c>
      <c r="P1504" s="4">
        <f t="shared" si="69"/>
        <v>4300000</v>
      </c>
      <c r="Q1504" s="4">
        <f t="shared" si="70"/>
        <v>2</v>
      </c>
      <c r="R1504" s="4">
        <f t="shared" si="71"/>
        <v>2150000</v>
      </c>
    </row>
    <row r="1505" spans="1:18" hidden="1">
      <c r="A1505" s="1">
        <v>2</v>
      </c>
      <c r="B1505" s="1" t="str">
        <f>"قطعات و لوازم يدكي"</f>
        <v>قطعات و لوازم يدكي</v>
      </c>
      <c r="C1505" s="1">
        <v>205</v>
      </c>
      <c r="D1505" s="1" t="str">
        <f>"انبار قطعات و لوازم يدكي بندرعباس"</f>
        <v>انبار قطعات و لوازم يدكي بندرعباس</v>
      </c>
      <c r="E1505" s="1" t="str">
        <f>"1800000278"</f>
        <v>1800000278</v>
      </c>
      <c r="F1505" s="1" t="str">
        <f>"بنزين"</f>
        <v>بنزين</v>
      </c>
      <c r="G1505" s="1" t="str">
        <f>"ليتر"</f>
        <v>ليتر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O1505" s="1">
        <v>97</v>
      </c>
      <c r="P1505" s="1">
        <f t="shared" si="69"/>
        <v>0</v>
      </c>
      <c r="Q1505" s="1">
        <f t="shared" si="70"/>
        <v>0</v>
      </c>
      <c r="R1505" s="1" t="e">
        <f t="shared" si="71"/>
        <v>#DIV/0!</v>
      </c>
    </row>
    <row r="1506" spans="1:18">
      <c r="A1506" s="1">
        <v>2</v>
      </c>
      <c r="B1506" s="1" t="str">
        <f>"قطعات و لوازم يدكي"</f>
        <v>قطعات و لوازم يدكي</v>
      </c>
      <c r="C1506" s="1">
        <v>205</v>
      </c>
      <c r="D1506" s="1" t="str">
        <f>"انبار قطعات و لوازم يدكي بندرعباس"</f>
        <v>انبار قطعات و لوازم يدكي بندرعباس</v>
      </c>
      <c r="E1506" s="1" t="str">
        <f>"1800000293"</f>
        <v>1800000293</v>
      </c>
      <c r="F1506" s="1" t="str">
        <f>"ترمينال پلاستيکي 6"</f>
        <v>ترمينال پلاستيکي 6</v>
      </c>
      <c r="G1506" s="1" t="str">
        <f>"شاخه"</f>
        <v>شاخه</v>
      </c>
      <c r="H1506" s="1">
        <v>10</v>
      </c>
      <c r="I1506" s="1">
        <v>170000</v>
      </c>
      <c r="J1506" s="1">
        <v>0</v>
      </c>
      <c r="K1506" s="1">
        <v>0</v>
      </c>
      <c r="L1506" s="1">
        <v>1</v>
      </c>
      <c r="M1506" s="1">
        <v>17000</v>
      </c>
      <c r="O1506" s="1">
        <v>97</v>
      </c>
      <c r="P1506" s="4">
        <f t="shared" si="69"/>
        <v>153000</v>
      </c>
      <c r="Q1506" s="4">
        <f t="shared" si="70"/>
        <v>9</v>
      </c>
      <c r="R1506" s="4">
        <f t="shared" si="71"/>
        <v>17000</v>
      </c>
    </row>
    <row r="1507" spans="1:18">
      <c r="A1507" s="1">
        <v>2</v>
      </c>
      <c r="B1507" s="1" t="str">
        <f>"قطعات و لوازم يدكي"</f>
        <v>قطعات و لوازم يدكي</v>
      </c>
      <c r="C1507" s="1">
        <v>205</v>
      </c>
      <c r="D1507" s="1" t="str">
        <f>"انبار قطعات و لوازم يدكي بندرعباس"</f>
        <v>انبار قطعات و لوازم يدكي بندرعباس</v>
      </c>
      <c r="E1507" s="1" t="str">
        <f>"1800000294"</f>
        <v>1800000294</v>
      </c>
      <c r="F1507" s="1" t="str">
        <f>"ترمينال ريلي rtp6"</f>
        <v>ترمينال ريلي rtp6</v>
      </c>
      <c r="G1507" s="1" t="str">
        <f>"عدد"</f>
        <v>عدد</v>
      </c>
      <c r="H1507" s="1">
        <v>20</v>
      </c>
      <c r="I1507" s="1">
        <v>30000</v>
      </c>
      <c r="J1507" s="1">
        <v>0</v>
      </c>
      <c r="K1507" s="1">
        <v>0</v>
      </c>
      <c r="L1507" s="1">
        <v>4</v>
      </c>
      <c r="M1507" s="1">
        <v>6000</v>
      </c>
      <c r="O1507" s="1">
        <v>97</v>
      </c>
      <c r="P1507" s="4">
        <f t="shared" si="69"/>
        <v>24000</v>
      </c>
      <c r="Q1507" s="4">
        <f t="shared" si="70"/>
        <v>16</v>
      </c>
      <c r="R1507" s="4">
        <f t="shared" si="71"/>
        <v>1500</v>
      </c>
    </row>
    <row r="1508" spans="1:18">
      <c r="A1508" s="1">
        <v>2</v>
      </c>
      <c r="B1508" s="1" t="str">
        <f>"قطعات و لوازم يدكي"</f>
        <v>قطعات و لوازم يدكي</v>
      </c>
      <c r="C1508" s="1">
        <v>205</v>
      </c>
      <c r="D1508" s="1" t="str">
        <f>"انبار قطعات و لوازم يدكي بندرعباس"</f>
        <v>انبار قطعات و لوازم يدكي بندرعباس</v>
      </c>
      <c r="E1508" s="1" t="str">
        <f>"1800000315"</f>
        <v>1800000315</v>
      </c>
      <c r="F1508" s="1" t="str">
        <f>"چسب آهن دلتا"</f>
        <v>چسب آهن دلتا</v>
      </c>
      <c r="G1508" s="1" t="str">
        <f>"كيلوگرم"</f>
        <v>كيلوگرم</v>
      </c>
      <c r="H1508" s="1">
        <v>4</v>
      </c>
      <c r="I1508" s="1">
        <v>760000</v>
      </c>
      <c r="J1508" s="1">
        <v>2</v>
      </c>
      <c r="K1508" s="1">
        <v>320000</v>
      </c>
      <c r="L1508" s="1">
        <v>4</v>
      </c>
      <c r="M1508" s="1">
        <v>720000</v>
      </c>
      <c r="O1508" s="1">
        <v>97</v>
      </c>
      <c r="P1508" s="4">
        <f t="shared" si="69"/>
        <v>360000</v>
      </c>
      <c r="Q1508" s="4">
        <f t="shared" si="70"/>
        <v>2</v>
      </c>
      <c r="R1508" s="4">
        <f t="shared" si="71"/>
        <v>180000</v>
      </c>
    </row>
    <row r="1509" spans="1:18">
      <c r="A1509" s="1">
        <v>2</v>
      </c>
      <c r="B1509" s="1" t="str">
        <f>"قطعات و لوازم يدكي"</f>
        <v>قطعات و لوازم يدكي</v>
      </c>
      <c r="C1509" s="1">
        <v>205</v>
      </c>
      <c r="D1509" s="1" t="str">
        <f>"انبار قطعات و لوازم يدكي بندرعباس"</f>
        <v>انبار قطعات و لوازم يدكي بندرعباس</v>
      </c>
      <c r="E1509" s="1" t="str">
        <f>"1800000321"</f>
        <v>1800000321</v>
      </c>
      <c r="F1509" s="1" t="str">
        <f>"چسب قطره اي"</f>
        <v>چسب قطره اي</v>
      </c>
      <c r="G1509" s="1" t="str">
        <f>"عدد"</f>
        <v>عدد</v>
      </c>
      <c r="H1509" s="1">
        <v>9</v>
      </c>
      <c r="I1509" s="1">
        <v>135000</v>
      </c>
      <c r="J1509" s="1">
        <v>0</v>
      </c>
      <c r="K1509" s="1">
        <v>0</v>
      </c>
      <c r="L1509" s="1">
        <v>1</v>
      </c>
      <c r="M1509" s="1">
        <v>15000</v>
      </c>
      <c r="O1509" s="1">
        <v>97</v>
      </c>
      <c r="P1509" s="4">
        <f t="shared" si="69"/>
        <v>120000</v>
      </c>
      <c r="Q1509" s="4">
        <f t="shared" si="70"/>
        <v>8</v>
      </c>
      <c r="R1509" s="4">
        <f t="shared" si="71"/>
        <v>15000</v>
      </c>
    </row>
    <row r="1510" spans="1:18" hidden="1">
      <c r="A1510" s="1">
        <v>2</v>
      </c>
      <c r="B1510" s="1" t="str">
        <f>"قطعات و لوازم يدكي"</f>
        <v>قطعات و لوازم يدكي</v>
      </c>
      <c r="C1510" s="1">
        <v>205</v>
      </c>
      <c r="D1510" s="1" t="str">
        <f>"انبار قطعات و لوازم يدكي بندرعباس"</f>
        <v>انبار قطعات و لوازم يدكي بندرعباس</v>
      </c>
      <c r="E1510" s="1" t="str">
        <f>"1800000324"</f>
        <v>1800000324</v>
      </c>
      <c r="F1510" s="1" t="str">
        <f>"چسب mega flex"</f>
        <v>چسب mega flex</v>
      </c>
      <c r="G1510" s="1" t="str">
        <f>"عدد"</f>
        <v>عدد</v>
      </c>
      <c r="H1510" s="1">
        <v>1</v>
      </c>
      <c r="I1510" s="1">
        <v>320000</v>
      </c>
      <c r="J1510" s="1">
        <v>0</v>
      </c>
      <c r="K1510" s="1">
        <v>0</v>
      </c>
      <c r="L1510" s="1">
        <v>1</v>
      </c>
      <c r="M1510" s="1">
        <v>320000</v>
      </c>
      <c r="O1510" s="1">
        <v>97</v>
      </c>
      <c r="P1510" s="1">
        <f t="shared" si="69"/>
        <v>0</v>
      </c>
      <c r="Q1510" s="1">
        <f t="shared" si="70"/>
        <v>0</v>
      </c>
      <c r="R1510" s="1" t="e">
        <f t="shared" si="71"/>
        <v>#DIV/0!</v>
      </c>
    </row>
    <row r="1511" spans="1:18" hidden="1">
      <c r="A1511" s="1">
        <v>2</v>
      </c>
      <c r="B1511" s="1" t="str">
        <f>"قطعات و لوازم يدكي"</f>
        <v>قطعات و لوازم يدكي</v>
      </c>
      <c r="C1511" s="1">
        <v>205</v>
      </c>
      <c r="D1511" s="1" t="str">
        <f>"انبار قطعات و لوازم يدكي بندرعباس"</f>
        <v>انبار قطعات و لوازم يدكي بندرعباس</v>
      </c>
      <c r="E1511" s="1" t="str">
        <f>"1800000332"</f>
        <v>1800000332</v>
      </c>
      <c r="F1511" s="1" t="str">
        <f>"درپوش 1/2"</f>
        <v>درپوش 1/2</v>
      </c>
      <c r="G1511" s="1" t="str">
        <f>"عدد"</f>
        <v>عدد</v>
      </c>
      <c r="H1511" s="1">
        <v>2</v>
      </c>
      <c r="I1511" s="1">
        <v>100000</v>
      </c>
      <c r="J1511" s="1">
        <v>0</v>
      </c>
      <c r="K1511" s="1">
        <v>0</v>
      </c>
      <c r="L1511" s="1">
        <v>2</v>
      </c>
      <c r="M1511" s="1">
        <v>100000</v>
      </c>
      <c r="O1511" s="1">
        <v>97</v>
      </c>
      <c r="P1511" s="1">
        <f t="shared" si="69"/>
        <v>0</v>
      </c>
      <c r="Q1511" s="1">
        <f t="shared" si="70"/>
        <v>0</v>
      </c>
      <c r="R1511" s="1" t="e">
        <f t="shared" si="71"/>
        <v>#DIV/0!</v>
      </c>
    </row>
    <row r="1512" spans="1:18">
      <c r="A1512" s="1">
        <v>2</v>
      </c>
      <c r="B1512" s="1" t="str">
        <f>"قطعات و لوازم يدكي"</f>
        <v>قطعات و لوازم يدكي</v>
      </c>
      <c r="C1512" s="1">
        <v>205</v>
      </c>
      <c r="D1512" s="1" t="str">
        <f>"انبار قطعات و لوازم يدكي بندرعباس"</f>
        <v>انبار قطعات و لوازم يدكي بندرعباس</v>
      </c>
      <c r="E1512" s="1" t="str">
        <f>"1800000338"</f>
        <v>1800000338</v>
      </c>
      <c r="F1512" s="1" t="str">
        <f>"دستکش کار"</f>
        <v>دستکش کار</v>
      </c>
      <c r="G1512" s="1" t="str">
        <f>"جفت"</f>
        <v>جفت</v>
      </c>
      <c r="H1512" s="1">
        <v>29</v>
      </c>
      <c r="I1512" s="1">
        <v>1305000</v>
      </c>
      <c r="J1512" s="1">
        <v>273</v>
      </c>
      <c r="K1512" s="1">
        <v>29725000</v>
      </c>
      <c r="L1512" s="1">
        <v>245</v>
      </c>
      <c r="M1512" s="1">
        <v>25436505</v>
      </c>
      <c r="O1512" s="1">
        <v>97</v>
      </c>
      <c r="P1512" s="4">
        <f t="shared" si="69"/>
        <v>5593495</v>
      </c>
      <c r="Q1512" s="4">
        <f t="shared" si="70"/>
        <v>57</v>
      </c>
      <c r="R1512" s="4">
        <f t="shared" si="71"/>
        <v>98131.491228070168</v>
      </c>
    </row>
    <row r="1513" spans="1:18">
      <c r="A1513" s="1">
        <v>2</v>
      </c>
      <c r="B1513" s="1" t="str">
        <f>"قطعات و لوازم يدكي"</f>
        <v>قطعات و لوازم يدكي</v>
      </c>
      <c r="C1513" s="1">
        <v>205</v>
      </c>
      <c r="D1513" s="1" t="str">
        <f>"انبار قطعات و لوازم يدكي بندرعباس"</f>
        <v>انبار قطعات و لوازم يدكي بندرعباس</v>
      </c>
      <c r="E1513" s="1" t="str">
        <f>"1800000342"</f>
        <v>1800000342</v>
      </c>
      <c r="F1513" s="1" t="str">
        <f>"دينام موتوژن 4"</f>
        <v>دينام موتوژن 4</v>
      </c>
      <c r="G1513" s="1" t="str">
        <f>"دستگاه"</f>
        <v>دستگاه</v>
      </c>
      <c r="H1513" s="1">
        <v>1</v>
      </c>
      <c r="I1513" s="1">
        <v>2000000</v>
      </c>
      <c r="J1513" s="1">
        <v>0</v>
      </c>
      <c r="K1513" s="1">
        <v>0</v>
      </c>
      <c r="L1513" s="1">
        <v>0</v>
      </c>
      <c r="M1513" s="1">
        <v>0</v>
      </c>
      <c r="O1513" s="1">
        <v>97</v>
      </c>
      <c r="P1513" s="4">
        <f t="shared" si="69"/>
        <v>2000000</v>
      </c>
      <c r="Q1513" s="4">
        <f t="shared" si="70"/>
        <v>1</v>
      </c>
      <c r="R1513" s="4">
        <f t="shared" si="71"/>
        <v>2000000</v>
      </c>
    </row>
    <row r="1514" spans="1:18">
      <c r="A1514" s="1">
        <v>2</v>
      </c>
      <c r="B1514" s="1" t="str">
        <f>"قطعات و لوازم يدكي"</f>
        <v>قطعات و لوازم يدكي</v>
      </c>
      <c r="C1514" s="1">
        <v>205</v>
      </c>
      <c r="D1514" s="1" t="str">
        <f>"انبار قطعات و لوازم يدكي بندرعباس"</f>
        <v>انبار قطعات و لوازم يدكي بندرعباس</v>
      </c>
      <c r="E1514" s="1" t="str">
        <f>"1800000379"</f>
        <v>1800000379</v>
      </c>
      <c r="F1514" s="1" t="str">
        <f>"ولدولت 1/2*1-8"</f>
        <v>ولدولت 1/2*1-8</v>
      </c>
      <c r="G1514" s="1" t="str">
        <f>"عدد"</f>
        <v>عدد</v>
      </c>
      <c r="H1514" s="1">
        <v>12</v>
      </c>
      <c r="I1514" s="1">
        <v>1687632</v>
      </c>
      <c r="J1514" s="1">
        <v>0</v>
      </c>
      <c r="K1514" s="1">
        <v>0</v>
      </c>
      <c r="L1514" s="1">
        <v>0</v>
      </c>
      <c r="M1514" s="1">
        <v>0</v>
      </c>
      <c r="O1514" s="1">
        <v>97</v>
      </c>
      <c r="P1514" s="4">
        <f t="shared" si="69"/>
        <v>1687632</v>
      </c>
      <c r="Q1514" s="4">
        <f t="shared" si="70"/>
        <v>12</v>
      </c>
      <c r="R1514" s="4">
        <f t="shared" si="71"/>
        <v>140636</v>
      </c>
    </row>
    <row r="1515" spans="1:18" hidden="1">
      <c r="A1515" s="1">
        <v>2</v>
      </c>
      <c r="B1515" s="1" t="str">
        <f>"قطعات و لوازم يدكي"</f>
        <v>قطعات و لوازم يدكي</v>
      </c>
      <c r="C1515" s="1">
        <v>205</v>
      </c>
      <c r="D1515" s="1" t="str">
        <f>"انبار قطعات و لوازم يدكي بندرعباس"</f>
        <v>انبار قطعات و لوازم يدكي بندرعباس</v>
      </c>
      <c r="E1515" s="1" t="str">
        <f>"1800000380"</f>
        <v>1800000380</v>
      </c>
      <c r="F1515" s="1" t="str">
        <f>"ولدولت 1/2*1-10"</f>
        <v>ولدولت 1/2*1-10</v>
      </c>
      <c r="G1515" s="1" t="str">
        <f>"عدد"</f>
        <v>عدد</v>
      </c>
      <c r="H1515" s="1">
        <v>2</v>
      </c>
      <c r="I1515" s="1">
        <v>280982</v>
      </c>
      <c r="J1515" s="1">
        <v>0</v>
      </c>
      <c r="K1515" s="1">
        <v>0</v>
      </c>
      <c r="L1515" s="1">
        <v>2</v>
      </c>
      <c r="M1515" s="1">
        <v>280982</v>
      </c>
      <c r="O1515" s="1">
        <v>97</v>
      </c>
      <c r="P1515" s="1">
        <f t="shared" si="69"/>
        <v>0</v>
      </c>
      <c r="Q1515" s="1">
        <f t="shared" si="70"/>
        <v>0</v>
      </c>
      <c r="R1515" s="1" t="e">
        <f t="shared" si="71"/>
        <v>#DIV/0!</v>
      </c>
    </row>
    <row r="1516" spans="1:18">
      <c r="A1516" s="1">
        <v>2</v>
      </c>
      <c r="B1516" s="1" t="str">
        <f>"قطعات و لوازم يدكي"</f>
        <v>قطعات و لوازم يدكي</v>
      </c>
      <c r="C1516" s="1">
        <v>205</v>
      </c>
      <c r="D1516" s="1" t="str">
        <f>"انبار قطعات و لوازم يدكي بندرعباس"</f>
        <v>انبار قطعات و لوازم يدكي بندرعباس</v>
      </c>
      <c r="E1516" s="1" t="str">
        <f>"1800000397"</f>
        <v>1800000397</v>
      </c>
      <c r="F1516" s="1" t="str">
        <f>"سنسور لول گيج"</f>
        <v>سنسور لول گيج</v>
      </c>
      <c r="G1516" s="1" t="str">
        <f>"عدد"</f>
        <v>عدد</v>
      </c>
      <c r="H1516" s="1">
        <v>2</v>
      </c>
      <c r="I1516" s="1">
        <v>4000000</v>
      </c>
      <c r="J1516" s="1">
        <v>0</v>
      </c>
      <c r="K1516" s="1">
        <v>0</v>
      </c>
      <c r="L1516" s="1">
        <v>0</v>
      </c>
      <c r="M1516" s="1">
        <v>0</v>
      </c>
      <c r="O1516" s="1">
        <v>97</v>
      </c>
      <c r="P1516" s="4">
        <f t="shared" si="69"/>
        <v>4000000</v>
      </c>
      <c r="Q1516" s="4">
        <f t="shared" si="70"/>
        <v>2</v>
      </c>
      <c r="R1516" s="4">
        <f t="shared" si="71"/>
        <v>2000000</v>
      </c>
    </row>
    <row r="1517" spans="1:18">
      <c r="A1517" s="1">
        <v>2</v>
      </c>
      <c r="B1517" s="1" t="str">
        <f>"قطعات و لوازم يدكي"</f>
        <v>قطعات و لوازم يدكي</v>
      </c>
      <c r="C1517" s="1">
        <v>205</v>
      </c>
      <c r="D1517" s="1" t="str">
        <f>"انبار قطعات و لوازم يدكي بندرعباس"</f>
        <v>انبار قطعات و لوازم يدكي بندرعباس</v>
      </c>
      <c r="E1517" s="1" t="str">
        <f>"1800000417"</f>
        <v>1800000417</v>
      </c>
      <c r="F1517" s="1" t="str">
        <f>"سيل و بلوز پمپ"</f>
        <v>سيل و بلوز پمپ</v>
      </c>
      <c r="G1517" s="1" t="str">
        <f>"ST"</f>
        <v>ST</v>
      </c>
      <c r="H1517" s="1">
        <v>2</v>
      </c>
      <c r="I1517" s="1">
        <v>95000000</v>
      </c>
      <c r="J1517" s="1">
        <v>0</v>
      </c>
      <c r="K1517" s="1">
        <v>0</v>
      </c>
      <c r="L1517" s="1">
        <v>0</v>
      </c>
      <c r="M1517" s="1">
        <v>0</v>
      </c>
      <c r="O1517" s="1">
        <v>97</v>
      </c>
      <c r="P1517" s="4">
        <f t="shared" si="69"/>
        <v>95000000</v>
      </c>
      <c r="Q1517" s="4">
        <f t="shared" si="70"/>
        <v>2</v>
      </c>
      <c r="R1517" s="4">
        <f t="shared" si="71"/>
        <v>47500000</v>
      </c>
    </row>
    <row r="1518" spans="1:18">
      <c r="A1518" s="1">
        <v>2</v>
      </c>
      <c r="B1518" s="1" t="str">
        <f>"قطعات و لوازم يدكي"</f>
        <v>قطعات و لوازم يدكي</v>
      </c>
      <c r="C1518" s="1">
        <v>205</v>
      </c>
      <c r="D1518" s="1" t="str">
        <f>"انبار قطعات و لوازم يدكي بندرعباس"</f>
        <v>انبار قطعات و لوازم يدكي بندرعباس</v>
      </c>
      <c r="E1518" s="1" t="str">
        <f>"1800000419"</f>
        <v>1800000419</v>
      </c>
      <c r="F1518" s="1" t="str">
        <f>"سيم افشان برق 2.5*1"</f>
        <v>سيم افشان برق 2.5*1</v>
      </c>
      <c r="G1518" s="1" t="str">
        <f>"متر"</f>
        <v>متر</v>
      </c>
      <c r="H1518" s="1">
        <v>41</v>
      </c>
      <c r="I1518" s="1">
        <v>184500</v>
      </c>
      <c r="J1518" s="1">
        <v>0</v>
      </c>
      <c r="K1518" s="1">
        <v>0</v>
      </c>
      <c r="L1518" s="1">
        <v>0</v>
      </c>
      <c r="M1518" s="1">
        <v>0</v>
      </c>
      <c r="O1518" s="1">
        <v>97</v>
      </c>
      <c r="P1518" s="4">
        <f t="shared" si="69"/>
        <v>184500</v>
      </c>
      <c r="Q1518" s="4">
        <f t="shared" si="70"/>
        <v>41</v>
      </c>
      <c r="R1518" s="4">
        <f t="shared" si="71"/>
        <v>4500</v>
      </c>
    </row>
    <row r="1519" spans="1:18">
      <c r="A1519" s="1">
        <v>2</v>
      </c>
      <c r="B1519" s="1" t="str">
        <f>"قطعات و لوازم يدكي"</f>
        <v>قطعات و لوازم يدكي</v>
      </c>
      <c r="C1519" s="1">
        <v>205</v>
      </c>
      <c r="D1519" s="1" t="str">
        <f>"انبار قطعات و لوازم يدكي بندرعباس"</f>
        <v>انبار قطعات و لوازم يدكي بندرعباس</v>
      </c>
      <c r="E1519" s="1" t="str">
        <f>"1800000422"</f>
        <v>1800000422</v>
      </c>
      <c r="F1519" s="1" t="str">
        <f>"سيم مسي بدون روکش"</f>
        <v>سيم مسي بدون روکش</v>
      </c>
      <c r="G1519" s="1" t="str">
        <f>"متر"</f>
        <v>متر</v>
      </c>
      <c r="H1519" s="1">
        <v>10</v>
      </c>
      <c r="I1519" s="1">
        <v>3500000</v>
      </c>
      <c r="J1519" s="1">
        <v>0</v>
      </c>
      <c r="K1519" s="1">
        <v>0</v>
      </c>
      <c r="L1519" s="1">
        <v>6</v>
      </c>
      <c r="M1519" s="1">
        <v>2100000</v>
      </c>
      <c r="O1519" s="1">
        <v>97</v>
      </c>
      <c r="P1519" s="4">
        <f t="shared" si="69"/>
        <v>1400000</v>
      </c>
      <c r="Q1519" s="4">
        <f t="shared" si="70"/>
        <v>4</v>
      </c>
      <c r="R1519" s="4">
        <f t="shared" si="71"/>
        <v>350000</v>
      </c>
    </row>
    <row r="1520" spans="1:18" hidden="1">
      <c r="A1520" s="1">
        <v>2</v>
      </c>
      <c r="B1520" s="1" t="str">
        <f>"قطعات و لوازم يدكي"</f>
        <v>قطعات و لوازم يدكي</v>
      </c>
      <c r="C1520" s="1">
        <v>205</v>
      </c>
      <c r="D1520" s="1" t="str">
        <f>"انبار قطعات و لوازم يدكي بندرعباس"</f>
        <v>انبار قطعات و لوازم يدكي بندرعباس</v>
      </c>
      <c r="E1520" s="1" t="str">
        <f>"1800000424"</f>
        <v>1800000424</v>
      </c>
      <c r="F1520" s="1" t="str">
        <f>"سيمان نسوز 25"</f>
        <v>سيمان نسوز 25</v>
      </c>
      <c r="G1520" s="1" t="str">
        <f>"كيلوگرم"</f>
        <v>كيلوگرم</v>
      </c>
      <c r="H1520" s="1">
        <v>25</v>
      </c>
      <c r="I1520" s="1">
        <v>937500</v>
      </c>
      <c r="J1520" s="1">
        <v>0</v>
      </c>
      <c r="K1520" s="1">
        <v>0</v>
      </c>
      <c r="L1520" s="1">
        <v>25</v>
      </c>
      <c r="M1520" s="1">
        <v>937500</v>
      </c>
      <c r="O1520" s="1">
        <v>97</v>
      </c>
      <c r="P1520" s="1">
        <f t="shared" si="69"/>
        <v>0</v>
      </c>
      <c r="Q1520" s="1">
        <f t="shared" si="70"/>
        <v>0</v>
      </c>
      <c r="R1520" s="1" t="e">
        <f t="shared" si="71"/>
        <v>#DIV/0!</v>
      </c>
    </row>
    <row r="1521" spans="1:18">
      <c r="A1521" s="1">
        <v>2</v>
      </c>
      <c r="B1521" s="1" t="str">
        <f>"قطعات و لوازم يدكي"</f>
        <v>قطعات و لوازم يدكي</v>
      </c>
      <c r="C1521" s="1">
        <v>205</v>
      </c>
      <c r="D1521" s="1" t="str">
        <f>"انبار قطعات و لوازم يدكي بندرعباس"</f>
        <v>انبار قطعات و لوازم يدكي بندرعباس</v>
      </c>
      <c r="E1521" s="1" t="str">
        <f>"1800000432"</f>
        <v>1800000432</v>
      </c>
      <c r="F1521" s="1" t="str">
        <f>"شورت نيپل دوسر رزوه"</f>
        <v>شورت نيپل دوسر رزوه</v>
      </c>
      <c r="G1521" s="1" t="str">
        <f>"عدد"</f>
        <v>عدد</v>
      </c>
      <c r="H1521" s="1">
        <v>2</v>
      </c>
      <c r="I1521" s="1">
        <v>300000</v>
      </c>
      <c r="J1521" s="1">
        <v>0</v>
      </c>
      <c r="K1521" s="1">
        <v>0</v>
      </c>
      <c r="L1521" s="1">
        <v>1</v>
      </c>
      <c r="M1521" s="1">
        <v>150000</v>
      </c>
      <c r="O1521" s="1">
        <v>97</v>
      </c>
      <c r="P1521" s="4">
        <f t="shared" si="69"/>
        <v>150000</v>
      </c>
      <c r="Q1521" s="4">
        <f t="shared" si="70"/>
        <v>1</v>
      </c>
      <c r="R1521" s="4">
        <f t="shared" si="71"/>
        <v>150000</v>
      </c>
    </row>
    <row r="1522" spans="1:18">
      <c r="A1522" s="1">
        <v>2</v>
      </c>
      <c r="B1522" s="1" t="str">
        <f>"قطعات و لوازم يدكي"</f>
        <v>قطعات و لوازم يدكي</v>
      </c>
      <c r="C1522" s="1">
        <v>205</v>
      </c>
      <c r="D1522" s="1" t="str">
        <f>"انبار قطعات و لوازم يدكي بندرعباس"</f>
        <v>انبار قطعات و لوازم يدكي بندرعباس</v>
      </c>
      <c r="E1522" s="1" t="str">
        <f>"1800000439"</f>
        <v>1800000439</v>
      </c>
      <c r="F1522" s="1" t="str">
        <f>"شير برقي مازوت c"</f>
        <v>شير برقي مازوت c</v>
      </c>
      <c r="G1522" s="1" t="str">
        <f>"عدد"</f>
        <v>عدد</v>
      </c>
      <c r="H1522" s="1">
        <v>2</v>
      </c>
      <c r="I1522" s="1">
        <v>15000000</v>
      </c>
      <c r="J1522" s="1">
        <v>0</v>
      </c>
      <c r="K1522" s="1">
        <v>0</v>
      </c>
      <c r="L1522" s="1">
        <v>0</v>
      </c>
      <c r="M1522" s="1">
        <v>0</v>
      </c>
      <c r="O1522" s="1">
        <v>97</v>
      </c>
      <c r="P1522" s="4">
        <f t="shared" si="69"/>
        <v>15000000</v>
      </c>
      <c r="Q1522" s="4">
        <f t="shared" si="70"/>
        <v>2</v>
      </c>
      <c r="R1522" s="4">
        <f t="shared" si="71"/>
        <v>7500000</v>
      </c>
    </row>
    <row r="1523" spans="1:18" hidden="1">
      <c r="A1523" s="1">
        <v>2</v>
      </c>
      <c r="B1523" s="1" t="str">
        <f>"قطعات و لوازم يدكي"</f>
        <v>قطعات و لوازم يدكي</v>
      </c>
      <c r="C1523" s="1">
        <v>205</v>
      </c>
      <c r="D1523" s="1" t="str">
        <f>"انبار قطعات و لوازم يدكي بندرعباس"</f>
        <v>انبار قطعات و لوازم يدكي بندرعباس</v>
      </c>
      <c r="E1523" s="1" t="str">
        <f>"1800000451"</f>
        <v>1800000451</v>
      </c>
      <c r="F1523" s="1" t="str">
        <f>"شيلنگ فلکسيبل آب 1/2"</f>
        <v>شيلنگ فلکسيبل آب 1/2</v>
      </c>
      <c r="G1523" s="1" t="str">
        <f>"عدد"</f>
        <v>عدد</v>
      </c>
      <c r="H1523" s="1">
        <v>3</v>
      </c>
      <c r="I1523" s="1">
        <v>300000</v>
      </c>
      <c r="J1523" s="1">
        <v>0</v>
      </c>
      <c r="K1523" s="1">
        <v>0</v>
      </c>
      <c r="L1523" s="1">
        <v>3</v>
      </c>
      <c r="M1523" s="1">
        <v>300000</v>
      </c>
      <c r="O1523" s="1">
        <v>97</v>
      </c>
      <c r="P1523" s="1">
        <f t="shared" si="69"/>
        <v>0</v>
      </c>
      <c r="Q1523" s="1">
        <f t="shared" si="70"/>
        <v>0</v>
      </c>
      <c r="R1523" s="1" t="e">
        <f t="shared" si="71"/>
        <v>#DIV/0!</v>
      </c>
    </row>
    <row r="1524" spans="1:18">
      <c r="A1524" s="1">
        <v>2</v>
      </c>
      <c r="B1524" s="1" t="str">
        <f>"قطعات و لوازم يدكي"</f>
        <v>قطعات و لوازم يدكي</v>
      </c>
      <c r="C1524" s="1">
        <v>205</v>
      </c>
      <c r="D1524" s="1" t="str">
        <f>"انبار قطعات و لوازم يدكي بندرعباس"</f>
        <v>انبار قطعات و لوازم يدكي بندرعباس</v>
      </c>
      <c r="E1524" s="1" t="str">
        <f>"1800000466"</f>
        <v>1800000466</v>
      </c>
      <c r="F1524" s="1" t="str">
        <f>"فلنج استيل ويکا"</f>
        <v>فلنج استيل ويکا</v>
      </c>
      <c r="G1524" s="1" t="str">
        <f>"عدد"</f>
        <v>عدد</v>
      </c>
      <c r="H1524" s="1">
        <v>3</v>
      </c>
      <c r="I1524" s="1">
        <v>9000000</v>
      </c>
      <c r="J1524" s="1">
        <v>0</v>
      </c>
      <c r="K1524" s="1">
        <v>0</v>
      </c>
      <c r="L1524" s="1">
        <v>1</v>
      </c>
      <c r="M1524" s="1">
        <v>3000000</v>
      </c>
      <c r="O1524" s="1">
        <v>97</v>
      </c>
      <c r="P1524" s="4">
        <f t="shared" si="69"/>
        <v>6000000</v>
      </c>
      <c r="Q1524" s="4">
        <f t="shared" si="70"/>
        <v>2</v>
      </c>
      <c r="R1524" s="4">
        <f t="shared" si="71"/>
        <v>3000000</v>
      </c>
    </row>
    <row r="1525" spans="1:18">
      <c r="A1525" s="1">
        <v>2</v>
      </c>
      <c r="B1525" s="1" t="str">
        <f>"قطعات و لوازم يدكي"</f>
        <v>قطعات و لوازم يدكي</v>
      </c>
      <c r="C1525" s="1">
        <v>205</v>
      </c>
      <c r="D1525" s="1" t="str">
        <f>"انبار قطعات و لوازم يدكي بندرعباس"</f>
        <v>انبار قطعات و لوازم يدكي بندرعباس</v>
      </c>
      <c r="E1525" s="1" t="str">
        <f>"1800000475"</f>
        <v>1800000475</v>
      </c>
      <c r="F1525" s="1" t="str">
        <f>"فيتينگ مهتابي سقف"</f>
        <v>فيتينگ مهتابي سقف</v>
      </c>
      <c r="G1525" s="1" t="str">
        <f>"عدد"</f>
        <v>عدد</v>
      </c>
      <c r="H1525" s="1">
        <v>1</v>
      </c>
      <c r="I1525" s="1">
        <v>150000</v>
      </c>
      <c r="J1525" s="1">
        <v>0</v>
      </c>
      <c r="K1525" s="1">
        <v>0</v>
      </c>
      <c r="L1525" s="1">
        <v>0</v>
      </c>
      <c r="M1525" s="1">
        <v>0</v>
      </c>
      <c r="O1525" s="1">
        <v>97</v>
      </c>
      <c r="P1525" s="4">
        <f t="shared" si="69"/>
        <v>150000</v>
      </c>
      <c r="Q1525" s="4">
        <f t="shared" si="70"/>
        <v>1</v>
      </c>
      <c r="R1525" s="4">
        <f t="shared" si="71"/>
        <v>150000</v>
      </c>
    </row>
    <row r="1526" spans="1:18">
      <c r="A1526" s="1">
        <v>2</v>
      </c>
      <c r="B1526" s="1" t="str">
        <f>"قطعات و لوازم يدكي"</f>
        <v>قطعات و لوازم يدكي</v>
      </c>
      <c r="C1526" s="1">
        <v>205</v>
      </c>
      <c r="D1526" s="1" t="str">
        <f>"انبار قطعات و لوازم يدكي بندرعباس"</f>
        <v>انبار قطعات و لوازم يدكي بندرعباس</v>
      </c>
      <c r="E1526" s="1" t="str">
        <f>"1800000476"</f>
        <v>1800000476</v>
      </c>
      <c r="F1526" s="1" t="str">
        <f>"فيس پمپ"</f>
        <v>فيس پمپ</v>
      </c>
      <c r="G1526" s="1" t="str">
        <f>"عدد"</f>
        <v>عدد</v>
      </c>
      <c r="H1526" s="1">
        <v>2</v>
      </c>
      <c r="I1526" s="1">
        <v>11000000</v>
      </c>
      <c r="J1526" s="1">
        <v>0</v>
      </c>
      <c r="K1526" s="1">
        <v>0</v>
      </c>
      <c r="L1526" s="1">
        <v>0</v>
      </c>
      <c r="M1526" s="1">
        <v>0</v>
      </c>
      <c r="O1526" s="1">
        <v>97</v>
      </c>
      <c r="P1526" s="4">
        <f t="shared" si="69"/>
        <v>11000000</v>
      </c>
      <c r="Q1526" s="4">
        <f t="shared" si="70"/>
        <v>2</v>
      </c>
      <c r="R1526" s="4">
        <f t="shared" si="71"/>
        <v>5500000</v>
      </c>
    </row>
    <row r="1527" spans="1:18">
      <c r="A1527" s="1">
        <v>2</v>
      </c>
      <c r="B1527" s="1" t="str">
        <f>"قطعات و لوازم يدكي"</f>
        <v>قطعات و لوازم يدكي</v>
      </c>
      <c r="C1527" s="1">
        <v>205</v>
      </c>
      <c r="D1527" s="1" t="str">
        <f>"انبار قطعات و لوازم يدكي بندرعباس"</f>
        <v>انبار قطعات و لوازم يدكي بندرعباس</v>
      </c>
      <c r="E1527" s="1" t="str">
        <f>"1800000484"</f>
        <v>1800000484</v>
      </c>
      <c r="F1527" s="1" t="str">
        <f>"فيوز تکفاز 40"</f>
        <v>فيوز تکفاز 40</v>
      </c>
      <c r="G1527" s="1" t="str">
        <f>"عدد"</f>
        <v>عدد</v>
      </c>
      <c r="H1527" s="1">
        <v>2</v>
      </c>
      <c r="I1527" s="1">
        <v>700000</v>
      </c>
      <c r="J1527" s="1">
        <v>0</v>
      </c>
      <c r="K1527" s="1">
        <v>0</v>
      </c>
      <c r="L1527" s="1">
        <v>0</v>
      </c>
      <c r="M1527" s="1">
        <v>0</v>
      </c>
      <c r="O1527" s="1">
        <v>97</v>
      </c>
      <c r="P1527" s="4">
        <f t="shared" si="69"/>
        <v>700000</v>
      </c>
      <c r="Q1527" s="4">
        <f t="shared" si="70"/>
        <v>2</v>
      </c>
      <c r="R1527" s="4">
        <f t="shared" si="71"/>
        <v>350000</v>
      </c>
    </row>
    <row r="1528" spans="1:18">
      <c r="A1528" s="1">
        <v>2</v>
      </c>
      <c r="B1528" s="1" t="str">
        <f>"قطعات و لوازم يدكي"</f>
        <v>قطعات و لوازم يدكي</v>
      </c>
      <c r="C1528" s="1">
        <v>205</v>
      </c>
      <c r="D1528" s="1" t="str">
        <f>"انبار قطعات و لوازم يدكي بندرعباس"</f>
        <v>انبار قطعات و لوازم يدكي بندرعباس</v>
      </c>
      <c r="E1528" s="1" t="str">
        <f>"1800000492"</f>
        <v>1800000492</v>
      </c>
      <c r="F1528" s="1" t="str">
        <f>"فيوز مينياتور دوپل اشنايدر 16"</f>
        <v>فيوز مينياتور دوپل اشنايدر 16</v>
      </c>
      <c r="G1528" s="1" t="str">
        <f>"عدد"</f>
        <v>عدد</v>
      </c>
      <c r="H1528" s="1">
        <v>4</v>
      </c>
      <c r="I1528" s="1">
        <v>3200000</v>
      </c>
      <c r="J1528" s="1">
        <v>0</v>
      </c>
      <c r="K1528" s="1">
        <v>0</v>
      </c>
      <c r="L1528" s="1">
        <v>1</v>
      </c>
      <c r="M1528" s="1">
        <v>800000</v>
      </c>
      <c r="O1528" s="1">
        <v>97</v>
      </c>
      <c r="P1528" s="4">
        <f t="shared" si="69"/>
        <v>2400000</v>
      </c>
      <c r="Q1528" s="4">
        <f t="shared" si="70"/>
        <v>3</v>
      </c>
      <c r="R1528" s="4">
        <f t="shared" si="71"/>
        <v>800000</v>
      </c>
    </row>
    <row r="1529" spans="1:18" hidden="1">
      <c r="A1529" s="1">
        <v>2</v>
      </c>
      <c r="B1529" s="1" t="str">
        <f>"قطعات و لوازم يدكي"</f>
        <v>قطعات و لوازم يدكي</v>
      </c>
      <c r="C1529" s="1">
        <v>205</v>
      </c>
      <c r="D1529" s="1" t="str">
        <f>"انبار قطعات و لوازم يدكي بندرعباس"</f>
        <v>انبار قطعات و لوازم يدكي بندرعباس</v>
      </c>
      <c r="E1529" s="1" t="str">
        <f>"1800000496"</f>
        <v>1800000496</v>
      </c>
      <c r="F1529" s="1" t="str">
        <f>"فيوز مينياتور سه فاز 25"</f>
        <v>فيوز مينياتور سه فاز 25</v>
      </c>
      <c r="G1529" s="1" t="str">
        <f>"عدد"</f>
        <v>عدد</v>
      </c>
      <c r="H1529" s="1">
        <v>1</v>
      </c>
      <c r="I1529" s="1">
        <v>1000000</v>
      </c>
      <c r="J1529" s="1">
        <v>0</v>
      </c>
      <c r="K1529" s="1">
        <v>0</v>
      </c>
      <c r="L1529" s="1">
        <v>1</v>
      </c>
      <c r="M1529" s="1">
        <v>1000000</v>
      </c>
      <c r="O1529" s="1">
        <v>97</v>
      </c>
      <c r="P1529" s="1">
        <f t="shared" si="69"/>
        <v>0</v>
      </c>
      <c r="Q1529" s="1">
        <f t="shared" si="70"/>
        <v>0</v>
      </c>
      <c r="R1529" s="1" t="e">
        <f t="shared" si="71"/>
        <v>#DIV/0!</v>
      </c>
    </row>
    <row r="1530" spans="1:18">
      <c r="A1530" s="1">
        <v>2</v>
      </c>
      <c r="B1530" s="1" t="str">
        <f>"قطعات و لوازم يدكي"</f>
        <v>قطعات و لوازم يدكي</v>
      </c>
      <c r="C1530" s="1">
        <v>205</v>
      </c>
      <c r="D1530" s="1" t="str">
        <f>"انبار قطعات و لوازم يدكي بندرعباس"</f>
        <v>انبار قطعات و لوازم يدكي بندرعباس</v>
      </c>
      <c r="E1530" s="1" t="str">
        <f>"1800000523"</f>
        <v>1800000523</v>
      </c>
      <c r="F1530" s="1" t="str">
        <f>"کاسه برس ميني بافته"</f>
        <v>کاسه برس ميني بافته</v>
      </c>
      <c r="G1530" s="1" t="str">
        <f>"عدد"</f>
        <v>عدد</v>
      </c>
      <c r="H1530" s="1">
        <v>22</v>
      </c>
      <c r="I1530" s="1">
        <v>2200000</v>
      </c>
      <c r="J1530" s="1">
        <v>0</v>
      </c>
      <c r="K1530" s="1">
        <v>0</v>
      </c>
      <c r="L1530" s="1">
        <v>3</v>
      </c>
      <c r="M1530" s="1">
        <v>300000</v>
      </c>
      <c r="O1530" s="1">
        <v>97</v>
      </c>
      <c r="P1530" s="4">
        <f t="shared" si="69"/>
        <v>1900000</v>
      </c>
      <c r="Q1530" s="4">
        <f t="shared" si="70"/>
        <v>19</v>
      </c>
      <c r="R1530" s="4">
        <f t="shared" si="71"/>
        <v>100000</v>
      </c>
    </row>
    <row r="1531" spans="1:18">
      <c r="A1531" s="1">
        <v>2</v>
      </c>
      <c r="B1531" s="1" t="str">
        <f>"قطعات و لوازم يدكي"</f>
        <v>قطعات و لوازم يدكي</v>
      </c>
      <c r="C1531" s="1">
        <v>205</v>
      </c>
      <c r="D1531" s="1" t="str">
        <f>"انبار قطعات و لوازم يدكي بندرعباس"</f>
        <v>انبار قطعات و لوازم يدكي بندرعباس</v>
      </c>
      <c r="E1531" s="1" t="str">
        <f>"1800000524"</f>
        <v>1800000524</v>
      </c>
      <c r="F1531" s="1" t="str">
        <f>"کاسه نمد 8-40-62"</f>
        <v>کاسه نمد 8-40-62</v>
      </c>
      <c r="G1531" s="1" t="str">
        <f>"عدد"</f>
        <v>عدد</v>
      </c>
      <c r="H1531" s="1">
        <v>10</v>
      </c>
      <c r="I1531" s="1">
        <v>200000</v>
      </c>
      <c r="J1531" s="1">
        <v>0</v>
      </c>
      <c r="K1531" s="1">
        <v>0</v>
      </c>
      <c r="L1531" s="1">
        <v>0</v>
      </c>
      <c r="M1531" s="1">
        <v>0</v>
      </c>
      <c r="O1531" s="1">
        <v>97</v>
      </c>
      <c r="P1531" s="4">
        <f t="shared" si="69"/>
        <v>200000</v>
      </c>
      <c r="Q1531" s="4">
        <f t="shared" si="70"/>
        <v>10</v>
      </c>
      <c r="R1531" s="4">
        <f t="shared" si="71"/>
        <v>20000</v>
      </c>
    </row>
    <row r="1532" spans="1:18">
      <c r="A1532" s="1">
        <v>2</v>
      </c>
      <c r="B1532" s="1" t="str">
        <f>"قطعات و لوازم يدكي"</f>
        <v>قطعات و لوازم يدكي</v>
      </c>
      <c r="C1532" s="1">
        <v>205</v>
      </c>
      <c r="D1532" s="1" t="str">
        <f>"انبار قطعات و لوازم يدكي بندرعباس"</f>
        <v>انبار قطعات و لوازم يدكي بندرعباس</v>
      </c>
      <c r="E1532" s="1" t="str">
        <f>"1800000526"</f>
        <v>1800000526</v>
      </c>
      <c r="F1532" s="1" t="str">
        <f>"کاسه نمد 7-40-62"</f>
        <v>کاسه نمد 7-40-62</v>
      </c>
      <c r="G1532" s="1" t="str">
        <f>"عدد"</f>
        <v>عدد</v>
      </c>
      <c r="H1532" s="1">
        <v>4</v>
      </c>
      <c r="I1532" s="1">
        <v>80000</v>
      </c>
      <c r="J1532" s="1">
        <v>0</v>
      </c>
      <c r="K1532" s="1">
        <v>0</v>
      </c>
      <c r="L1532" s="1">
        <v>0</v>
      </c>
      <c r="M1532" s="1">
        <v>0</v>
      </c>
      <c r="O1532" s="1">
        <v>97</v>
      </c>
      <c r="P1532" s="4">
        <f t="shared" si="69"/>
        <v>80000</v>
      </c>
      <c r="Q1532" s="4">
        <f t="shared" si="70"/>
        <v>4</v>
      </c>
      <c r="R1532" s="4">
        <f t="shared" si="71"/>
        <v>20000</v>
      </c>
    </row>
    <row r="1533" spans="1:18">
      <c r="A1533" s="1">
        <v>2</v>
      </c>
      <c r="B1533" s="1" t="str">
        <f>"قطعات و لوازم يدكي"</f>
        <v>قطعات و لوازم يدكي</v>
      </c>
      <c r="C1533" s="1">
        <v>205</v>
      </c>
      <c r="D1533" s="1" t="str">
        <f>"انبار قطعات و لوازم يدكي بندرعباس"</f>
        <v>انبار قطعات و لوازم يدكي بندرعباس</v>
      </c>
      <c r="E1533" s="1" t="str">
        <f>"1800000531"</f>
        <v>1800000531</v>
      </c>
      <c r="F1533" s="1" t="str">
        <f>"کاور فيوز مينياتوري"</f>
        <v>کاور فيوز مينياتوري</v>
      </c>
      <c r="G1533" s="1" t="str">
        <f>"عدد"</f>
        <v>عدد</v>
      </c>
      <c r="H1533" s="1">
        <v>2</v>
      </c>
      <c r="I1533" s="1">
        <v>50000</v>
      </c>
      <c r="J1533" s="1">
        <v>0</v>
      </c>
      <c r="K1533" s="1">
        <v>0</v>
      </c>
      <c r="L1533" s="1">
        <v>0</v>
      </c>
      <c r="M1533" s="1">
        <v>0</v>
      </c>
      <c r="O1533" s="1">
        <v>97</v>
      </c>
      <c r="P1533" s="4">
        <f t="shared" si="69"/>
        <v>50000</v>
      </c>
      <c r="Q1533" s="4">
        <f t="shared" si="70"/>
        <v>2</v>
      </c>
      <c r="R1533" s="4">
        <f t="shared" si="71"/>
        <v>25000</v>
      </c>
    </row>
    <row r="1534" spans="1:18">
      <c r="A1534" s="1">
        <v>2</v>
      </c>
      <c r="B1534" s="1" t="str">
        <f>"قطعات و لوازم يدكي"</f>
        <v>قطعات و لوازم يدكي</v>
      </c>
      <c r="C1534" s="1">
        <v>205</v>
      </c>
      <c r="D1534" s="1" t="str">
        <f>"انبار قطعات و لوازم يدكي بندرعباس"</f>
        <v>انبار قطعات و لوازم يدكي بندرعباس</v>
      </c>
      <c r="E1534" s="1" t="str">
        <f>"1800000558"</f>
        <v>1800000558</v>
      </c>
      <c r="F1534" s="1" t="str">
        <f>"کوپلينگ kb160"</f>
        <v>کوپلينگ kb160</v>
      </c>
      <c r="G1534" s="1" t="str">
        <f>"عدد"</f>
        <v>عدد</v>
      </c>
      <c r="H1534" s="1">
        <v>2</v>
      </c>
      <c r="I1534" s="1">
        <v>3150000</v>
      </c>
      <c r="J1534" s="1">
        <v>0</v>
      </c>
      <c r="K1534" s="1">
        <v>0</v>
      </c>
      <c r="L1534" s="1">
        <v>0</v>
      </c>
      <c r="M1534" s="1">
        <v>0</v>
      </c>
      <c r="O1534" s="1">
        <v>97</v>
      </c>
      <c r="P1534" s="4">
        <f t="shared" si="69"/>
        <v>3150000</v>
      </c>
      <c r="Q1534" s="4">
        <f t="shared" si="70"/>
        <v>2</v>
      </c>
      <c r="R1534" s="4">
        <f t="shared" si="71"/>
        <v>1575000</v>
      </c>
    </row>
    <row r="1535" spans="1:18">
      <c r="A1535" s="1">
        <v>2</v>
      </c>
      <c r="B1535" s="1" t="str">
        <f>"قطعات و لوازم يدكي"</f>
        <v>قطعات و لوازم يدكي</v>
      </c>
      <c r="C1535" s="1">
        <v>120</v>
      </c>
      <c r="D1535" s="1" t="str">
        <f>"انبار قطعات و لوازم يدكي بشکه سازي اصفهان"</f>
        <v>انبار قطعات و لوازم يدكي بشکه سازي اصفهان</v>
      </c>
      <c r="E1535" s="1" t="str">
        <f>"4211700062"</f>
        <v>4211700062</v>
      </c>
      <c r="F1535" s="1" t="str">
        <f>"بلبيرينگ 67048/10"</f>
        <v>بلبيرينگ 67048/10</v>
      </c>
      <c r="G1535" s="1" t="str">
        <f>"عدد"</f>
        <v>عدد</v>
      </c>
      <c r="H1535" s="1">
        <v>0</v>
      </c>
      <c r="I1535" s="1">
        <v>0</v>
      </c>
      <c r="J1535" s="1">
        <v>3</v>
      </c>
      <c r="K1535" s="1">
        <v>600000</v>
      </c>
      <c r="L1535" s="1">
        <v>0</v>
      </c>
      <c r="M1535" s="1">
        <v>0</v>
      </c>
      <c r="O1535" s="1">
        <v>97</v>
      </c>
      <c r="P1535" s="4">
        <f t="shared" si="69"/>
        <v>600000</v>
      </c>
      <c r="Q1535" s="4">
        <f t="shared" si="70"/>
        <v>3</v>
      </c>
      <c r="R1535" s="4">
        <f t="shared" si="71"/>
        <v>200000</v>
      </c>
    </row>
    <row r="1536" spans="1:18">
      <c r="A1536" s="1">
        <v>2</v>
      </c>
      <c r="B1536" s="1" t="str">
        <f>"قطعات و لوازم يدكي"</f>
        <v>قطعات و لوازم يدكي</v>
      </c>
      <c r="C1536" s="1">
        <v>120</v>
      </c>
      <c r="D1536" s="1" t="str">
        <f>"انبار قطعات و لوازم يدكي بشکه سازي اصفهان"</f>
        <v>انبار قطعات و لوازم يدكي بشکه سازي اصفهان</v>
      </c>
      <c r="E1536" s="1" t="str">
        <f>"4211700065"</f>
        <v>4211700065</v>
      </c>
      <c r="F1536" s="1" t="str">
        <f>"بلبيرينگ 6202"</f>
        <v>بلبيرينگ 6202</v>
      </c>
      <c r="G1536" s="1" t="str">
        <f>"عدد"</f>
        <v>عدد</v>
      </c>
      <c r="H1536" s="1">
        <v>0</v>
      </c>
      <c r="I1536" s="1">
        <v>0</v>
      </c>
      <c r="J1536" s="1">
        <v>9</v>
      </c>
      <c r="K1536" s="1">
        <v>1800000</v>
      </c>
      <c r="L1536" s="1">
        <v>0</v>
      </c>
      <c r="M1536" s="1">
        <v>0</v>
      </c>
      <c r="O1536" s="1">
        <v>97</v>
      </c>
      <c r="P1536" s="4">
        <f t="shared" si="69"/>
        <v>1800000</v>
      </c>
      <c r="Q1536" s="4">
        <f t="shared" si="70"/>
        <v>9</v>
      </c>
      <c r="R1536" s="4">
        <f t="shared" si="71"/>
        <v>200000</v>
      </c>
    </row>
    <row r="1537" spans="1:18">
      <c r="A1537" s="1">
        <v>2</v>
      </c>
      <c r="B1537" s="1" t="str">
        <f>"قطعات و لوازم يدكي"</f>
        <v>قطعات و لوازم يدكي</v>
      </c>
      <c r="C1537" s="1">
        <v>120</v>
      </c>
      <c r="D1537" s="1" t="str">
        <f>"انبار قطعات و لوازم يدكي بشکه سازي اصفهان"</f>
        <v>انبار قطعات و لوازم يدكي بشکه سازي اصفهان</v>
      </c>
      <c r="E1537" s="1" t="str">
        <f>"4211700070"</f>
        <v>4211700070</v>
      </c>
      <c r="F1537" s="1" t="str">
        <f>"بلبرينگ 3205"</f>
        <v>بلبرينگ 3205</v>
      </c>
      <c r="G1537" s="1" t="str">
        <f>"عدد"</f>
        <v>عدد</v>
      </c>
      <c r="H1537" s="1">
        <v>0</v>
      </c>
      <c r="I1537" s="1">
        <v>0</v>
      </c>
      <c r="J1537" s="1">
        <v>2</v>
      </c>
      <c r="K1537" s="1">
        <v>400000</v>
      </c>
      <c r="L1537" s="1">
        <v>0</v>
      </c>
      <c r="M1537" s="1">
        <v>0</v>
      </c>
      <c r="O1537" s="1">
        <v>97</v>
      </c>
      <c r="P1537" s="4">
        <f t="shared" si="69"/>
        <v>400000</v>
      </c>
      <c r="Q1537" s="4">
        <f t="shared" si="70"/>
        <v>2</v>
      </c>
      <c r="R1537" s="4">
        <f t="shared" si="71"/>
        <v>200000</v>
      </c>
    </row>
    <row r="1538" spans="1:18">
      <c r="A1538" s="1">
        <v>2</v>
      </c>
      <c r="B1538" s="1" t="str">
        <f>"قطعات و لوازم يدكي"</f>
        <v>قطعات و لوازم يدكي</v>
      </c>
      <c r="C1538" s="1">
        <v>120</v>
      </c>
      <c r="D1538" s="1" t="str">
        <f>"انبار قطعات و لوازم يدكي بشکه سازي اصفهان"</f>
        <v>انبار قطعات و لوازم يدكي بشکه سازي اصفهان</v>
      </c>
      <c r="E1538" s="1" t="str">
        <f>"4211700071"</f>
        <v>4211700071</v>
      </c>
      <c r="F1538" s="1" t="str">
        <f>"بلبرينگ چرخ جلو تراکتور"</f>
        <v>بلبرينگ چرخ جلو تراکتور</v>
      </c>
      <c r="G1538" s="1" t="str">
        <f>"عدد"</f>
        <v>عدد</v>
      </c>
      <c r="H1538" s="1">
        <v>0</v>
      </c>
      <c r="I1538" s="1">
        <v>0</v>
      </c>
      <c r="J1538" s="1">
        <v>1</v>
      </c>
      <c r="K1538" s="1">
        <v>200000</v>
      </c>
      <c r="L1538" s="1">
        <v>0</v>
      </c>
      <c r="M1538" s="1">
        <v>0</v>
      </c>
      <c r="O1538" s="1">
        <v>97</v>
      </c>
      <c r="P1538" s="4">
        <f t="shared" si="69"/>
        <v>200000</v>
      </c>
      <c r="Q1538" s="4">
        <f t="shared" si="70"/>
        <v>1</v>
      </c>
      <c r="R1538" s="4">
        <f t="shared" si="71"/>
        <v>200000</v>
      </c>
    </row>
    <row r="1539" spans="1:18">
      <c r="A1539" s="1">
        <v>2</v>
      </c>
      <c r="B1539" s="1" t="str">
        <f>"قطعات و لوازم يدكي"</f>
        <v>قطعات و لوازم يدكي</v>
      </c>
      <c r="C1539" s="1">
        <v>120</v>
      </c>
      <c r="D1539" s="1" t="str">
        <f>"انبار قطعات و لوازم يدكي بشکه سازي اصفهان"</f>
        <v>انبار قطعات و لوازم يدكي بشکه سازي اصفهان</v>
      </c>
      <c r="E1539" s="1" t="str">
        <f>"4211700078"</f>
        <v>4211700078</v>
      </c>
      <c r="F1539" s="1" t="str">
        <f>"بلبرينگ R27.W.11.2"</f>
        <v>بلبرينگ R27.W.11.2</v>
      </c>
      <c r="G1539" s="1" t="str">
        <f>"عدد"</f>
        <v>عدد</v>
      </c>
      <c r="H1539" s="1">
        <v>0</v>
      </c>
      <c r="I1539" s="1">
        <v>0</v>
      </c>
      <c r="J1539" s="1">
        <v>1</v>
      </c>
      <c r="K1539" s="1">
        <v>200000</v>
      </c>
      <c r="L1539" s="1">
        <v>0</v>
      </c>
      <c r="M1539" s="1">
        <v>0</v>
      </c>
      <c r="O1539" s="1">
        <v>97</v>
      </c>
      <c r="P1539" s="4">
        <f t="shared" ref="P1539:P1602" si="72">I1539+K1539-M1539</f>
        <v>200000</v>
      </c>
      <c r="Q1539" s="4">
        <f t="shared" ref="Q1539:Q1602" si="73">H1539+J1539-L1539</f>
        <v>1</v>
      </c>
      <c r="R1539" s="4">
        <f t="shared" ref="R1539:R1602" si="74">P1539/Q1539</f>
        <v>200000</v>
      </c>
    </row>
    <row r="1540" spans="1:18">
      <c r="A1540" s="1">
        <v>2</v>
      </c>
      <c r="B1540" s="1" t="str">
        <f>"قطعات و لوازم يدكي"</f>
        <v>قطعات و لوازم يدكي</v>
      </c>
      <c r="C1540" s="1">
        <v>120</v>
      </c>
      <c r="D1540" s="1" t="str">
        <f>"انبار قطعات و لوازم يدكي بشکه سازي اصفهان"</f>
        <v>انبار قطعات و لوازم يدكي بشکه سازي اصفهان</v>
      </c>
      <c r="E1540" s="1" t="str">
        <f>"4211700083"</f>
        <v>4211700083</v>
      </c>
      <c r="F1540" s="1" t="str">
        <f>"سري باد."</f>
        <v>سري باد.</v>
      </c>
      <c r="G1540" s="1" t="str">
        <f>"عدد"</f>
        <v>عدد</v>
      </c>
      <c r="H1540" s="1">
        <v>0</v>
      </c>
      <c r="I1540" s="1">
        <v>0</v>
      </c>
      <c r="J1540" s="1">
        <v>1</v>
      </c>
      <c r="K1540" s="1">
        <v>100000</v>
      </c>
      <c r="L1540" s="1">
        <v>0</v>
      </c>
      <c r="M1540" s="1">
        <v>0</v>
      </c>
      <c r="O1540" s="1">
        <v>97</v>
      </c>
      <c r="P1540" s="4">
        <f t="shared" si="72"/>
        <v>100000</v>
      </c>
      <c r="Q1540" s="4">
        <f t="shared" si="73"/>
        <v>1</v>
      </c>
      <c r="R1540" s="4">
        <f t="shared" si="74"/>
        <v>100000</v>
      </c>
    </row>
    <row r="1541" spans="1:18">
      <c r="A1541" s="1">
        <v>2</v>
      </c>
      <c r="B1541" s="1" t="str">
        <f>"قطعات و لوازم يدكي"</f>
        <v>قطعات و لوازم يدكي</v>
      </c>
      <c r="C1541" s="1">
        <v>120</v>
      </c>
      <c r="D1541" s="1" t="str">
        <f>"انبار قطعات و لوازم يدكي بشکه سازي اصفهان"</f>
        <v>انبار قطعات و لوازم يدكي بشکه سازي اصفهان</v>
      </c>
      <c r="E1541" s="1" t="str">
        <f>"4211700087"</f>
        <v>4211700087</v>
      </c>
      <c r="F1541" s="1" t="str">
        <f>"پکينگ 125"</f>
        <v>پکينگ 125</v>
      </c>
      <c r="G1541" s="1" t="str">
        <f>"عدد"</f>
        <v>عدد</v>
      </c>
      <c r="H1541" s="1">
        <v>0</v>
      </c>
      <c r="I1541" s="1">
        <v>0</v>
      </c>
      <c r="J1541" s="1">
        <v>11</v>
      </c>
      <c r="K1541" s="1">
        <v>1100000</v>
      </c>
      <c r="L1541" s="1">
        <v>4</v>
      </c>
      <c r="M1541" s="1">
        <v>400000</v>
      </c>
      <c r="O1541" s="1">
        <v>97</v>
      </c>
      <c r="P1541" s="4">
        <f t="shared" si="72"/>
        <v>700000</v>
      </c>
      <c r="Q1541" s="4">
        <f t="shared" si="73"/>
        <v>7</v>
      </c>
      <c r="R1541" s="4">
        <f t="shared" si="74"/>
        <v>100000</v>
      </c>
    </row>
    <row r="1542" spans="1:18">
      <c r="A1542" s="1">
        <v>2</v>
      </c>
      <c r="B1542" s="1" t="str">
        <f>"قطعات و لوازم يدكي"</f>
        <v>قطعات و لوازم يدكي</v>
      </c>
      <c r="C1542" s="1">
        <v>120</v>
      </c>
      <c r="D1542" s="1" t="str">
        <f>"انبار قطعات و لوازم يدكي بشکه سازي اصفهان"</f>
        <v>انبار قطعات و لوازم يدكي بشکه سازي اصفهان</v>
      </c>
      <c r="E1542" s="1" t="str">
        <f>"4211700093"</f>
        <v>4211700093</v>
      </c>
      <c r="F1542" s="1" t="str">
        <f>"سگدست چرخ تراکتور"</f>
        <v>سگدست چرخ تراکتور</v>
      </c>
      <c r="G1542" s="1" t="str">
        <f>"عدد"</f>
        <v>عدد</v>
      </c>
      <c r="H1542" s="1">
        <v>0</v>
      </c>
      <c r="I1542" s="1">
        <v>0</v>
      </c>
      <c r="J1542" s="1">
        <v>1</v>
      </c>
      <c r="K1542" s="1">
        <v>900000</v>
      </c>
      <c r="L1542" s="1">
        <v>0</v>
      </c>
      <c r="M1542" s="1">
        <v>0</v>
      </c>
      <c r="O1542" s="1">
        <v>97</v>
      </c>
      <c r="P1542" s="4">
        <f t="shared" si="72"/>
        <v>900000</v>
      </c>
      <c r="Q1542" s="4">
        <f t="shared" si="73"/>
        <v>1</v>
      </c>
      <c r="R1542" s="4">
        <f t="shared" si="74"/>
        <v>900000</v>
      </c>
    </row>
    <row r="1543" spans="1:18">
      <c r="A1543" s="1">
        <v>2</v>
      </c>
      <c r="B1543" s="1" t="str">
        <f>"قطعات و لوازم يدكي"</f>
        <v>قطعات و لوازم يدكي</v>
      </c>
      <c r="C1543" s="1">
        <v>120</v>
      </c>
      <c r="D1543" s="1" t="str">
        <f>"انبار قطعات و لوازم يدكي بشکه سازي اصفهان"</f>
        <v>انبار قطعات و لوازم يدكي بشکه سازي اصفهان</v>
      </c>
      <c r="E1543" s="1" t="str">
        <f>"4211700111"</f>
        <v>4211700111</v>
      </c>
      <c r="F1543" s="1" t="str">
        <f>"جک پنوماتيک 100*80"</f>
        <v>جک پنوماتيک 100*80</v>
      </c>
      <c r="G1543" s="1" t="str">
        <f>"عدد"</f>
        <v>عدد</v>
      </c>
      <c r="H1543" s="1">
        <v>0</v>
      </c>
      <c r="I1543" s="1">
        <v>0</v>
      </c>
      <c r="J1543" s="1">
        <v>1</v>
      </c>
      <c r="K1543" s="1">
        <v>2000000</v>
      </c>
      <c r="L1543" s="1">
        <v>0</v>
      </c>
      <c r="M1543" s="1">
        <v>0</v>
      </c>
      <c r="O1543" s="1">
        <v>97</v>
      </c>
      <c r="P1543" s="4">
        <f t="shared" si="72"/>
        <v>2000000</v>
      </c>
      <c r="Q1543" s="4">
        <f t="shared" si="73"/>
        <v>1</v>
      </c>
      <c r="R1543" s="4">
        <f t="shared" si="74"/>
        <v>2000000</v>
      </c>
    </row>
    <row r="1544" spans="1:18">
      <c r="A1544" s="1">
        <v>2</v>
      </c>
      <c r="B1544" s="1" t="str">
        <f>"قطعات و لوازم يدكي"</f>
        <v>قطعات و لوازم يدكي</v>
      </c>
      <c r="C1544" s="1">
        <v>120</v>
      </c>
      <c r="D1544" s="1" t="str">
        <f>"انبار قطعات و لوازم يدكي بشکه سازي اصفهان"</f>
        <v>انبار قطعات و لوازم يدكي بشکه سازي اصفهان</v>
      </c>
      <c r="E1544" s="1" t="str">
        <f>"4211700125"</f>
        <v>4211700125</v>
      </c>
      <c r="F1544" s="1" t="str">
        <f>"تسمه B83"</f>
        <v>تسمه B83</v>
      </c>
      <c r="G1544" s="1" t="str">
        <f>"عدد"</f>
        <v>عدد</v>
      </c>
      <c r="H1544" s="1">
        <v>0</v>
      </c>
      <c r="I1544" s="1">
        <v>0</v>
      </c>
      <c r="J1544" s="1">
        <v>10</v>
      </c>
      <c r="K1544" s="1">
        <v>1600000</v>
      </c>
      <c r="L1544" s="1">
        <v>0</v>
      </c>
      <c r="M1544" s="1">
        <v>0</v>
      </c>
      <c r="O1544" s="1">
        <v>97</v>
      </c>
      <c r="P1544" s="4">
        <f t="shared" si="72"/>
        <v>1600000</v>
      </c>
      <c r="Q1544" s="4">
        <f t="shared" si="73"/>
        <v>10</v>
      </c>
      <c r="R1544" s="4">
        <f t="shared" si="74"/>
        <v>160000</v>
      </c>
    </row>
    <row r="1545" spans="1:18">
      <c r="A1545" s="1">
        <v>2</v>
      </c>
      <c r="B1545" s="1" t="str">
        <f>"قطعات و لوازم يدكي"</f>
        <v>قطعات و لوازم يدكي</v>
      </c>
      <c r="C1545" s="1">
        <v>120</v>
      </c>
      <c r="D1545" s="1" t="str">
        <f>"انبار قطعات و لوازم يدكي بشکه سازي اصفهان"</f>
        <v>انبار قطعات و لوازم يدكي بشکه سازي اصفهان</v>
      </c>
      <c r="E1545" s="1" t="str">
        <f>"4211700126"</f>
        <v>4211700126</v>
      </c>
      <c r="F1545" s="1" t="str">
        <f>"تسمه 13*CI965"</f>
        <v>تسمه 13*CI965</v>
      </c>
      <c r="G1545" s="1" t="str">
        <f>"عدد"</f>
        <v>عدد</v>
      </c>
      <c r="H1545" s="1">
        <v>0</v>
      </c>
      <c r="I1545" s="1">
        <v>0</v>
      </c>
      <c r="J1545" s="1">
        <v>3</v>
      </c>
      <c r="K1545" s="1">
        <v>480000</v>
      </c>
      <c r="L1545" s="1">
        <v>0</v>
      </c>
      <c r="M1545" s="1">
        <v>0</v>
      </c>
      <c r="O1545" s="1">
        <v>97</v>
      </c>
      <c r="P1545" s="4">
        <f t="shared" si="72"/>
        <v>480000</v>
      </c>
      <c r="Q1545" s="4">
        <f t="shared" si="73"/>
        <v>3</v>
      </c>
      <c r="R1545" s="4">
        <f t="shared" si="74"/>
        <v>160000</v>
      </c>
    </row>
    <row r="1546" spans="1:18">
      <c r="A1546" s="1">
        <v>2</v>
      </c>
      <c r="B1546" s="1" t="str">
        <f>"قطعات و لوازم يدكي"</f>
        <v>قطعات و لوازم يدكي</v>
      </c>
      <c r="C1546" s="1">
        <v>120</v>
      </c>
      <c r="D1546" s="1" t="str">
        <f>"انبار قطعات و لوازم يدكي بشکه سازي اصفهان"</f>
        <v>انبار قطعات و لوازم يدكي بشکه سازي اصفهان</v>
      </c>
      <c r="E1546" s="1" t="str">
        <f>"4211700133"</f>
        <v>4211700133</v>
      </c>
      <c r="F1546" s="1" t="str">
        <f>"تسمه A68"</f>
        <v>تسمه A68</v>
      </c>
      <c r="G1546" s="1" t="str">
        <f>"عدد"</f>
        <v>عدد</v>
      </c>
      <c r="H1546" s="1">
        <v>0</v>
      </c>
      <c r="I1546" s="1">
        <v>0</v>
      </c>
      <c r="J1546" s="1">
        <v>4</v>
      </c>
      <c r="K1546" s="1">
        <v>640000</v>
      </c>
      <c r="L1546" s="1">
        <v>0</v>
      </c>
      <c r="M1546" s="1">
        <v>0</v>
      </c>
      <c r="O1546" s="1">
        <v>97</v>
      </c>
      <c r="P1546" s="4">
        <f t="shared" si="72"/>
        <v>640000</v>
      </c>
      <c r="Q1546" s="4">
        <f t="shared" si="73"/>
        <v>4</v>
      </c>
      <c r="R1546" s="4">
        <f t="shared" si="74"/>
        <v>160000</v>
      </c>
    </row>
    <row r="1547" spans="1:18">
      <c r="A1547" s="1">
        <v>2</v>
      </c>
      <c r="B1547" s="1" t="str">
        <f>"قطعات و لوازم يدكي"</f>
        <v>قطعات و لوازم يدكي</v>
      </c>
      <c r="C1547" s="1">
        <v>120</v>
      </c>
      <c r="D1547" s="1" t="str">
        <f>"انبار قطعات و لوازم يدكي بشکه سازي اصفهان"</f>
        <v>انبار قطعات و لوازم يدكي بشکه سازي اصفهان</v>
      </c>
      <c r="E1547" s="1" t="str">
        <f>"4211700135"</f>
        <v>4211700135</v>
      </c>
      <c r="F1547" s="1" t="str">
        <f>"تسمه B70"</f>
        <v>تسمه B70</v>
      </c>
      <c r="G1547" s="1" t="str">
        <f>"عدد"</f>
        <v>عدد</v>
      </c>
      <c r="H1547" s="1">
        <v>0</v>
      </c>
      <c r="I1547" s="1">
        <v>0</v>
      </c>
      <c r="J1547" s="1">
        <v>20</v>
      </c>
      <c r="K1547" s="1">
        <v>3200000</v>
      </c>
      <c r="L1547" s="1">
        <v>0</v>
      </c>
      <c r="M1547" s="1">
        <v>0</v>
      </c>
      <c r="O1547" s="1">
        <v>97</v>
      </c>
      <c r="P1547" s="4">
        <f t="shared" si="72"/>
        <v>3200000</v>
      </c>
      <c r="Q1547" s="4">
        <f t="shared" si="73"/>
        <v>20</v>
      </c>
      <c r="R1547" s="4">
        <f t="shared" si="74"/>
        <v>160000</v>
      </c>
    </row>
    <row r="1548" spans="1:18">
      <c r="A1548" s="1">
        <v>2</v>
      </c>
      <c r="B1548" s="1" t="str">
        <f>"قطعات و لوازم يدكي"</f>
        <v>قطعات و لوازم يدكي</v>
      </c>
      <c r="C1548" s="1">
        <v>120</v>
      </c>
      <c r="D1548" s="1" t="str">
        <f>"انبار قطعات و لوازم يدكي بشکه سازي اصفهان"</f>
        <v>انبار قطعات و لوازم يدكي بشکه سازي اصفهان</v>
      </c>
      <c r="E1548" s="1" t="str">
        <f>"4211700152"</f>
        <v>4211700152</v>
      </c>
      <c r="F1548" s="1" t="str">
        <f>"رگلاتور فشار قوي بوتان"</f>
        <v>رگلاتور فشار قوي بوتان</v>
      </c>
      <c r="G1548" s="1" t="str">
        <f>"عدد"</f>
        <v>عدد</v>
      </c>
      <c r="H1548" s="1">
        <v>0</v>
      </c>
      <c r="I1548" s="1">
        <v>0</v>
      </c>
      <c r="J1548" s="1">
        <v>9</v>
      </c>
      <c r="K1548" s="1">
        <v>630000</v>
      </c>
      <c r="L1548" s="1">
        <v>0</v>
      </c>
      <c r="M1548" s="1">
        <v>0</v>
      </c>
      <c r="O1548" s="1">
        <v>97</v>
      </c>
      <c r="P1548" s="4">
        <f t="shared" si="72"/>
        <v>630000</v>
      </c>
      <c r="Q1548" s="4">
        <f t="shared" si="73"/>
        <v>9</v>
      </c>
      <c r="R1548" s="4">
        <f t="shared" si="74"/>
        <v>70000</v>
      </c>
    </row>
    <row r="1549" spans="1:18">
      <c r="A1549" s="1">
        <v>2</v>
      </c>
      <c r="B1549" s="1" t="str">
        <f>"قطعات و لوازم يدكي"</f>
        <v>قطعات و لوازم يدكي</v>
      </c>
      <c r="C1549" s="1">
        <v>120</v>
      </c>
      <c r="D1549" s="1" t="str">
        <f>"انبار قطعات و لوازم يدكي بشکه سازي اصفهان"</f>
        <v>انبار قطعات و لوازم يدكي بشکه سازي اصفهان</v>
      </c>
      <c r="E1549" s="1" t="str">
        <f>"4211700157"</f>
        <v>4211700157</v>
      </c>
      <c r="F1549" s="1" t="str">
        <f>"ويل جوش روسي جديد"</f>
        <v>ويل جوش روسي جديد</v>
      </c>
      <c r="G1549" s="1" t="str">
        <f>"عدد"</f>
        <v>عدد</v>
      </c>
      <c r="H1549" s="1">
        <v>0</v>
      </c>
      <c r="I1549" s="1">
        <v>0</v>
      </c>
      <c r="J1549" s="1">
        <v>1</v>
      </c>
      <c r="K1549" s="1">
        <v>6500000</v>
      </c>
      <c r="L1549" s="1">
        <v>0</v>
      </c>
      <c r="M1549" s="1">
        <v>0</v>
      </c>
      <c r="O1549" s="1">
        <v>97</v>
      </c>
      <c r="P1549" s="4">
        <f t="shared" si="72"/>
        <v>6500000</v>
      </c>
      <c r="Q1549" s="4">
        <f t="shared" si="73"/>
        <v>1</v>
      </c>
      <c r="R1549" s="4">
        <f t="shared" si="74"/>
        <v>6500000</v>
      </c>
    </row>
    <row r="1550" spans="1:18">
      <c r="A1550" s="1">
        <v>2</v>
      </c>
      <c r="B1550" s="1" t="str">
        <f>"قطعات و لوازم يدكي"</f>
        <v>قطعات و لوازم يدكي</v>
      </c>
      <c r="C1550" s="1">
        <v>120</v>
      </c>
      <c r="D1550" s="1" t="str">
        <f>"انبار قطعات و لوازم يدكي بشکه سازي اصفهان"</f>
        <v>انبار قطعات و لوازم يدكي بشکه سازي اصفهان</v>
      </c>
      <c r="E1550" s="1" t="str">
        <f>"4211700160"</f>
        <v>4211700160</v>
      </c>
      <c r="F1550" s="1" t="str">
        <f>"زغال مربوط به دستگاه سنگ بزرگ"</f>
        <v>زغال مربوط به دستگاه سنگ بزرگ</v>
      </c>
      <c r="G1550" s="1" t="str">
        <f>"جفت"</f>
        <v>جفت</v>
      </c>
      <c r="H1550" s="1">
        <v>0</v>
      </c>
      <c r="I1550" s="1">
        <v>0</v>
      </c>
      <c r="J1550" s="1">
        <v>9</v>
      </c>
      <c r="K1550" s="1">
        <v>900000</v>
      </c>
      <c r="L1550" s="1">
        <v>0</v>
      </c>
      <c r="M1550" s="1">
        <v>0</v>
      </c>
      <c r="O1550" s="1">
        <v>97</v>
      </c>
      <c r="P1550" s="4">
        <f t="shared" si="72"/>
        <v>900000</v>
      </c>
      <c r="Q1550" s="4">
        <f t="shared" si="73"/>
        <v>9</v>
      </c>
      <c r="R1550" s="4">
        <f t="shared" si="74"/>
        <v>100000</v>
      </c>
    </row>
    <row r="1551" spans="1:18">
      <c r="A1551" s="1">
        <v>2</v>
      </c>
      <c r="B1551" s="1" t="str">
        <f>"قطعات و لوازم يدكي"</f>
        <v>قطعات و لوازم يدكي</v>
      </c>
      <c r="C1551" s="1">
        <v>120</v>
      </c>
      <c r="D1551" s="1" t="str">
        <f>"انبار قطعات و لوازم يدكي بشکه سازي اصفهان"</f>
        <v>انبار قطعات و لوازم يدكي بشکه سازي اصفهان</v>
      </c>
      <c r="E1551" s="1" t="str">
        <f>"4211700180"</f>
        <v>4211700180</v>
      </c>
      <c r="F1551" s="1" t="str">
        <f>"بلبرينگ 6201"</f>
        <v>بلبرينگ 6201</v>
      </c>
      <c r="G1551" s="1" t="str">
        <f>"عدد"</f>
        <v>عدد</v>
      </c>
      <c r="H1551" s="1">
        <v>0</v>
      </c>
      <c r="I1551" s="1">
        <v>0</v>
      </c>
      <c r="J1551" s="1">
        <v>30</v>
      </c>
      <c r="K1551" s="1">
        <v>900000</v>
      </c>
      <c r="L1551" s="1">
        <v>0</v>
      </c>
      <c r="M1551" s="1">
        <v>0</v>
      </c>
      <c r="O1551" s="1">
        <v>97</v>
      </c>
      <c r="P1551" s="4">
        <f t="shared" si="72"/>
        <v>900000</v>
      </c>
      <c r="Q1551" s="4">
        <f t="shared" si="73"/>
        <v>30</v>
      </c>
      <c r="R1551" s="4">
        <f t="shared" si="74"/>
        <v>30000</v>
      </c>
    </row>
    <row r="1552" spans="1:18">
      <c r="A1552" s="1">
        <v>2</v>
      </c>
      <c r="B1552" s="1" t="str">
        <f>"قطعات و لوازم يدكي"</f>
        <v>قطعات و لوازم يدكي</v>
      </c>
      <c r="C1552" s="1">
        <v>120</v>
      </c>
      <c r="D1552" s="1" t="str">
        <f>"انبار قطعات و لوازم يدكي بشکه سازي اصفهان"</f>
        <v>انبار قطعات و لوازم يدكي بشکه سازي اصفهان</v>
      </c>
      <c r="E1552" s="1" t="str">
        <f>"4211700192"</f>
        <v>4211700192</v>
      </c>
      <c r="F1552" s="1" t="str">
        <f>"بلبرينگ 6004 ZZ"</f>
        <v>بلبرينگ 6004 ZZ</v>
      </c>
      <c r="G1552" s="1" t="str">
        <f>"عدد"</f>
        <v>عدد</v>
      </c>
      <c r="H1552" s="1">
        <v>0</v>
      </c>
      <c r="I1552" s="1">
        <v>0</v>
      </c>
      <c r="J1552" s="1">
        <v>5</v>
      </c>
      <c r="K1552" s="1">
        <v>800000</v>
      </c>
      <c r="L1552" s="1">
        <v>1</v>
      </c>
      <c r="M1552" s="1">
        <v>160000</v>
      </c>
      <c r="O1552" s="1">
        <v>97</v>
      </c>
      <c r="P1552" s="4">
        <f t="shared" si="72"/>
        <v>640000</v>
      </c>
      <c r="Q1552" s="4">
        <f t="shared" si="73"/>
        <v>4</v>
      </c>
      <c r="R1552" s="4">
        <f t="shared" si="74"/>
        <v>160000</v>
      </c>
    </row>
    <row r="1553" spans="1:18">
      <c r="A1553" s="1">
        <v>2</v>
      </c>
      <c r="B1553" s="1" t="str">
        <f>"قطعات و لوازم يدكي"</f>
        <v>قطعات و لوازم يدكي</v>
      </c>
      <c r="C1553" s="1">
        <v>120</v>
      </c>
      <c r="D1553" s="1" t="str">
        <f>"انبار قطعات و لوازم يدكي بشکه سازي اصفهان"</f>
        <v>انبار قطعات و لوازم يدكي بشکه سازي اصفهان</v>
      </c>
      <c r="E1553" s="1" t="str">
        <f>"4311700026"</f>
        <v>4311700026</v>
      </c>
      <c r="F1553" s="1" t="str">
        <f>"مته الماسه سايز 6"</f>
        <v>مته الماسه سايز 6</v>
      </c>
      <c r="G1553" s="1" t="str">
        <f>"عدد"</f>
        <v>عدد</v>
      </c>
      <c r="H1553" s="1">
        <v>0</v>
      </c>
      <c r="I1553" s="1">
        <v>0</v>
      </c>
      <c r="J1553" s="1">
        <v>10</v>
      </c>
      <c r="K1553" s="1">
        <v>300000</v>
      </c>
      <c r="L1553" s="1">
        <v>1</v>
      </c>
      <c r="M1553" s="1">
        <v>30000</v>
      </c>
      <c r="O1553" s="1">
        <v>97</v>
      </c>
      <c r="P1553" s="4">
        <f t="shared" si="72"/>
        <v>270000</v>
      </c>
      <c r="Q1553" s="4">
        <f t="shared" si="73"/>
        <v>9</v>
      </c>
      <c r="R1553" s="4">
        <f t="shared" si="74"/>
        <v>30000</v>
      </c>
    </row>
    <row r="1554" spans="1:18">
      <c r="A1554" s="1">
        <v>2</v>
      </c>
      <c r="B1554" s="1" t="str">
        <f>"قطعات و لوازم يدكي"</f>
        <v>قطعات و لوازم يدكي</v>
      </c>
      <c r="C1554" s="1">
        <v>120</v>
      </c>
      <c r="D1554" s="1" t="str">
        <f>"انبار قطعات و لوازم يدكي بشکه سازي اصفهان"</f>
        <v>انبار قطعات و لوازم يدكي بشکه سازي اصفهان</v>
      </c>
      <c r="E1554" s="1" t="str">
        <f>"4311700029"</f>
        <v>4311700029</v>
      </c>
      <c r="F1554" s="1" t="str">
        <f>"صفحه ساب بزرگ"</f>
        <v>صفحه ساب بزرگ</v>
      </c>
      <c r="G1554" s="1" t="str">
        <f>"عدد"</f>
        <v>عدد</v>
      </c>
      <c r="H1554" s="1">
        <v>0</v>
      </c>
      <c r="I1554" s="1">
        <v>0</v>
      </c>
      <c r="J1554" s="1">
        <v>50</v>
      </c>
      <c r="K1554" s="1">
        <v>2000000</v>
      </c>
      <c r="L1554" s="1">
        <v>1</v>
      </c>
      <c r="M1554" s="1">
        <v>40000</v>
      </c>
      <c r="O1554" s="1">
        <v>97</v>
      </c>
      <c r="P1554" s="4">
        <f t="shared" si="72"/>
        <v>1960000</v>
      </c>
      <c r="Q1554" s="4">
        <f t="shared" si="73"/>
        <v>49</v>
      </c>
      <c r="R1554" s="4">
        <f t="shared" si="74"/>
        <v>40000</v>
      </c>
    </row>
    <row r="1555" spans="1:18">
      <c r="A1555" s="1">
        <v>2</v>
      </c>
      <c r="B1555" s="1" t="str">
        <f>"قطعات و لوازم يدكي"</f>
        <v>قطعات و لوازم يدكي</v>
      </c>
      <c r="C1555" s="1">
        <v>120</v>
      </c>
      <c r="D1555" s="1" t="str">
        <f>"انبار قطعات و لوازم يدكي بشکه سازي اصفهان"</f>
        <v>انبار قطعات و لوازم يدكي بشکه سازي اصفهان</v>
      </c>
      <c r="E1555" s="1" t="str">
        <f>"4311700037"</f>
        <v>4311700037</v>
      </c>
      <c r="F1555" s="1" t="str">
        <f>"سمباده زبر 10 سانتي (واحد سنجش عدد مي باشد )"</f>
        <v>سمباده زبر 10 سانتي (واحد سنجش عدد مي باشد )</v>
      </c>
      <c r="G1555" s="1" t="str">
        <f>"متر"</f>
        <v>متر</v>
      </c>
      <c r="H1555" s="1">
        <v>0</v>
      </c>
      <c r="I1555" s="1">
        <v>0</v>
      </c>
      <c r="J1555" s="1">
        <v>7</v>
      </c>
      <c r="K1555" s="1">
        <v>140000</v>
      </c>
      <c r="L1555" s="1">
        <v>0</v>
      </c>
      <c r="M1555" s="1">
        <v>0</v>
      </c>
      <c r="O1555" s="1">
        <v>97</v>
      </c>
      <c r="P1555" s="4">
        <f t="shared" si="72"/>
        <v>140000</v>
      </c>
      <c r="Q1555" s="4">
        <f t="shared" si="73"/>
        <v>7</v>
      </c>
      <c r="R1555" s="4">
        <f t="shared" si="74"/>
        <v>20000</v>
      </c>
    </row>
    <row r="1556" spans="1:18">
      <c r="A1556" s="1">
        <v>2</v>
      </c>
      <c r="B1556" s="1" t="str">
        <f>"قطعات و لوازم يدكي"</f>
        <v>قطعات و لوازم يدكي</v>
      </c>
      <c r="C1556" s="1">
        <v>120</v>
      </c>
      <c r="D1556" s="1" t="str">
        <f>"انبار قطعات و لوازم يدكي بشکه سازي اصفهان"</f>
        <v>انبار قطعات و لوازم يدكي بشکه سازي اصفهان</v>
      </c>
      <c r="E1556" s="1" t="str">
        <f>"4311700039"</f>
        <v>4311700039</v>
      </c>
      <c r="F1556" s="1" t="str">
        <f>"آب پاش پلاستيکي"</f>
        <v>آب پاش پلاستيکي</v>
      </c>
      <c r="G1556" s="1" t="str">
        <f>"عدد"</f>
        <v>عدد</v>
      </c>
      <c r="H1556" s="1">
        <v>0</v>
      </c>
      <c r="I1556" s="1">
        <v>0</v>
      </c>
      <c r="J1556" s="1">
        <v>8</v>
      </c>
      <c r="K1556" s="1">
        <v>400000</v>
      </c>
      <c r="L1556" s="1">
        <v>6</v>
      </c>
      <c r="M1556" s="1">
        <v>300000</v>
      </c>
      <c r="O1556" s="1">
        <v>97</v>
      </c>
      <c r="P1556" s="4">
        <f t="shared" si="72"/>
        <v>100000</v>
      </c>
      <c r="Q1556" s="4">
        <f t="shared" si="73"/>
        <v>2</v>
      </c>
      <c r="R1556" s="4">
        <f t="shared" si="74"/>
        <v>50000</v>
      </c>
    </row>
    <row r="1557" spans="1:18">
      <c r="A1557" s="1">
        <v>2</v>
      </c>
      <c r="B1557" s="1" t="str">
        <f>"قطعات و لوازم يدكي"</f>
        <v>قطعات و لوازم يدكي</v>
      </c>
      <c r="C1557" s="1">
        <v>120</v>
      </c>
      <c r="D1557" s="1" t="str">
        <f>"انبار قطعات و لوازم يدكي بشکه سازي اصفهان"</f>
        <v>انبار قطعات و لوازم يدكي بشکه سازي اصفهان</v>
      </c>
      <c r="E1557" s="1" t="str">
        <f>"4311700045"</f>
        <v>4311700045</v>
      </c>
      <c r="F1557" s="1" t="str">
        <f>"شير 1/2"</f>
        <v>شير 1/2</v>
      </c>
      <c r="G1557" s="1" t="str">
        <f>"عدد"</f>
        <v>عدد</v>
      </c>
      <c r="H1557" s="1">
        <v>0</v>
      </c>
      <c r="I1557" s="1">
        <v>0</v>
      </c>
      <c r="J1557" s="1">
        <v>4</v>
      </c>
      <c r="K1557" s="1">
        <v>200000</v>
      </c>
      <c r="L1557" s="1">
        <v>0</v>
      </c>
      <c r="M1557" s="1">
        <v>0</v>
      </c>
      <c r="O1557" s="1">
        <v>97</v>
      </c>
      <c r="P1557" s="4">
        <f t="shared" si="72"/>
        <v>200000</v>
      </c>
      <c r="Q1557" s="4">
        <f t="shared" si="73"/>
        <v>4</v>
      </c>
      <c r="R1557" s="4">
        <f t="shared" si="74"/>
        <v>50000</v>
      </c>
    </row>
    <row r="1558" spans="1:18">
      <c r="A1558" s="1">
        <v>2</v>
      </c>
      <c r="B1558" s="1" t="str">
        <f>"قطعات و لوازم يدكي"</f>
        <v>قطعات و لوازم يدكي</v>
      </c>
      <c r="C1558" s="1">
        <v>120</v>
      </c>
      <c r="D1558" s="1" t="str">
        <f>"انبار قطعات و لوازم يدكي بشکه سازي اصفهان"</f>
        <v>انبار قطعات و لوازم يدكي بشکه سازي اصفهان</v>
      </c>
      <c r="E1558" s="1" t="str">
        <f>"4311700048"</f>
        <v>4311700048</v>
      </c>
      <c r="F1558" s="1" t="str">
        <f>"سيم برنجي"</f>
        <v>سيم برنجي</v>
      </c>
      <c r="G1558" s="1" t="str">
        <f>"كيلوگرم"</f>
        <v>كيلوگرم</v>
      </c>
      <c r="H1558" s="1">
        <v>0</v>
      </c>
      <c r="I1558" s="1">
        <v>0</v>
      </c>
      <c r="J1558" s="1">
        <v>35</v>
      </c>
      <c r="K1558" s="1">
        <v>22500000</v>
      </c>
      <c r="L1558" s="1">
        <v>15</v>
      </c>
      <c r="M1558" s="1">
        <v>9300000</v>
      </c>
      <c r="O1558" s="1">
        <v>97</v>
      </c>
      <c r="P1558" s="4">
        <f t="shared" si="72"/>
        <v>13200000</v>
      </c>
      <c r="Q1558" s="4">
        <f t="shared" si="73"/>
        <v>20</v>
      </c>
      <c r="R1558" s="4">
        <f t="shared" si="74"/>
        <v>660000</v>
      </c>
    </row>
    <row r="1559" spans="1:18">
      <c r="A1559" s="1">
        <v>2</v>
      </c>
      <c r="B1559" s="1" t="str">
        <f>"قطعات و لوازم يدكي"</f>
        <v>قطعات و لوازم يدكي</v>
      </c>
      <c r="C1559" s="1">
        <v>120</v>
      </c>
      <c r="D1559" s="1" t="str">
        <f>"انبار قطعات و لوازم يدكي بشکه سازي اصفهان"</f>
        <v>انبار قطعات و لوازم يدكي بشکه سازي اصفهان</v>
      </c>
      <c r="E1559" s="1" t="str">
        <f>"4311700066"</f>
        <v>4311700066</v>
      </c>
      <c r="F1559" s="1" t="str">
        <f>"تبديل پرسي 3/4 اينچ"</f>
        <v>تبديل پرسي 3/4 اينچ</v>
      </c>
      <c r="G1559" s="1" t="str">
        <f>"عدد"</f>
        <v>عدد</v>
      </c>
      <c r="H1559" s="1">
        <v>0</v>
      </c>
      <c r="I1559" s="1">
        <v>0</v>
      </c>
      <c r="J1559" s="1">
        <v>7</v>
      </c>
      <c r="K1559" s="1">
        <v>350000</v>
      </c>
      <c r="L1559" s="1">
        <v>0</v>
      </c>
      <c r="M1559" s="1">
        <v>0</v>
      </c>
      <c r="O1559" s="1">
        <v>97</v>
      </c>
      <c r="P1559" s="4">
        <f t="shared" si="72"/>
        <v>350000</v>
      </c>
      <c r="Q1559" s="4">
        <f t="shared" si="73"/>
        <v>7</v>
      </c>
      <c r="R1559" s="4">
        <f t="shared" si="74"/>
        <v>50000</v>
      </c>
    </row>
    <row r="1560" spans="1:18">
      <c r="A1560" s="1">
        <v>2</v>
      </c>
      <c r="B1560" s="1" t="str">
        <f>"قطعات و لوازم يدكي"</f>
        <v>قطعات و لوازم يدكي</v>
      </c>
      <c r="C1560" s="1">
        <v>120</v>
      </c>
      <c r="D1560" s="1" t="str">
        <f>"انبار قطعات و لوازم يدكي بشکه سازي اصفهان"</f>
        <v>انبار قطعات و لوازم يدكي بشکه سازي اصفهان</v>
      </c>
      <c r="E1560" s="1" t="str">
        <f>"4311700075"</f>
        <v>4311700075</v>
      </c>
      <c r="F1560" s="1" t="str">
        <f>"اورينگ 80*2/5"</f>
        <v>اورينگ 80*2/5</v>
      </c>
      <c r="G1560" s="1" t="str">
        <f>"عدد"</f>
        <v>عدد</v>
      </c>
      <c r="H1560" s="1">
        <v>0</v>
      </c>
      <c r="I1560" s="1">
        <v>0</v>
      </c>
      <c r="J1560" s="1">
        <v>2</v>
      </c>
      <c r="K1560" s="1">
        <v>10000</v>
      </c>
      <c r="L1560" s="1">
        <v>0</v>
      </c>
      <c r="M1560" s="1">
        <v>0</v>
      </c>
      <c r="O1560" s="1">
        <v>97</v>
      </c>
      <c r="P1560" s="4">
        <f t="shared" si="72"/>
        <v>10000</v>
      </c>
      <c r="Q1560" s="4">
        <f t="shared" si="73"/>
        <v>2</v>
      </c>
      <c r="R1560" s="4">
        <f t="shared" si="74"/>
        <v>5000</v>
      </c>
    </row>
    <row r="1561" spans="1:18">
      <c r="A1561" s="1">
        <v>2</v>
      </c>
      <c r="B1561" s="1" t="str">
        <f>"قطعات و لوازم يدكي"</f>
        <v>قطعات و لوازم يدكي</v>
      </c>
      <c r="C1561" s="1">
        <v>120</v>
      </c>
      <c r="D1561" s="1" t="str">
        <f>"انبار قطعات و لوازم يدكي بشکه سازي اصفهان"</f>
        <v>انبار قطعات و لوازم يدكي بشکه سازي اصفهان</v>
      </c>
      <c r="E1561" s="1" t="str">
        <f>"4311700078"</f>
        <v>4311700078</v>
      </c>
      <c r="F1561" s="1" t="str">
        <f>"اورينگ 50*2/5"</f>
        <v>اورينگ 50*2/5</v>
      </c>
      <c r="G1561" s="1" t="str">
        <f>"عدد"</f>
        <v>عدد</v>
      </c>
      <c r="H1561" s="1">
        <v>0</v>
      </c>
      <c r="I1561" s="1">
        <v>0</v>
      </c>
      <c r="J1561" s="1">
        <v>16</v>
      </c>
      <c r="K1561" s="1">
        <v>80000</v>
      </c>
      <c r="L1561" s="1">
        <v>0</v>
      </c>
      <c r="M1561" s="1">
        <v>0</v>
      </c>
      <c r="O1561" s="1">
        <v>97</v>
      </c>
      <c r="P1561" s="4">
        <f t="shared" si="72"/>
        <v>80000</v>
      </c>
      <c r="Q1561" s="4">
        <f t="shared" si="73"/>
        <v>16</v>
      </c>
      <c r="R1561" s="4">
        <f t="shared" si="74"/>
        <v>5000</v>
      </c>
    </row>
    <row r="1562" spans="1:18" hidden="1">
      <c r="A1562" s="1">
        <v>2</v>
      </c>
      <c r="B1562" s="1" t="str">
        <f>"قطعات و لوازم يدكي"</f>
        <v>قطعات و لوازم يدكي</v>
      </c>
      <c r="C1562" s="1">
        <v>120</v>
      </c>
      <c r="D1562" s="1" t="str">
        <f>"انبار قطعات و لوازم يدكي بشکه سازي اصفهان"</f>
        <v>انبار قطعات و لوازم يدكي بشکه سازي اصفهان</v>
      </c>
      <c r="E1562" s="1" t="str">
        <f>"4311700099"</f>
        <v>4311700099</v>
      </c>
      <c r="F1562" s="1" t="str">
        <f>"مهره سري گاز"</f>
        <v>مهره سري گاز</v>
      </c>
      <c r="G1562" s="1" t="str">
        <f>"عدد"</f>
        <v>عدد</v>
      </c>
      <c r="H1562" s="1">
        <v>0</v>
      </c>
      <c r="I1562" s="1">
        <v>0</v>
      </c>
      <c r="J1562" s="1">
        <v>20</v>
      </c>
      <c r="K1562" s="1">
        <v>400000</v>
      </c>
      <c r="L1562" s="1">
        <v>20</v>
      </c>
      <c r="M1562" s="1">
        <v>400000</v>
      </c>
      <c r="O1562" s="1">
        <v>97</v>
      </c>
      <c r="P1562" s="1">
        <f t="shared" si="72"/>
        <v>0</v>
      </c>
      <c r="Q1562" s="1">
        <f t="shared" si="73"/>
        <v>0</v>
      </c>
      <c r="R1562" s="1" t="e">
        <f t="shared" si="74"/>
        <v>#DIV/0!</v>
      </c>
    </row>
    <row r="1563" spans="1:18">
      <c r="A1563" s="1">
        <v>2</v>
      </c>
      <c r="B1563" s="1" t="str">
        <f>"قطعات و لوازم يدكي"</f>
        <v>قطعات و لوازم يدكي</v>
      </c>
      <c r="C1563" s="1">
        <v>120</v>
      </c>
      <c r="D1563" s="1" t="str">
        <f>"انبار قطعات و لوازم يدكي بشکه سازي اصفهان"</f>
        <v>انبار قطعات و لوازم يدكي بشکه سازي اصفهان</v>
      </c>
      <c r="E1563" s="1" t="str">
        <f>"4311700120"</f>
        <v>4311700120</v>
      </c>
      <c r="F1563" s="1" t="str">
        <f>"پيچ 5 * M 14"</f>
        <v>پيچ 5 * M 14</v>
      </c>
      <c r="G1563" s="1" t="str">
        <f>"عدد"</f>
        <v>عدد</v>
      </c>
      <c r="H1563" s="1">
        <v>0</v>
      </c>
      <c r="I1563" s="1">
        <v>0</v>
      </c>
      <c r="J1563" s="1">
        <v>15</v>
      </c>
      <c r="K1563" s="1">
        <v>37500</v>
      </c>
      <c r="L1563" s="1">
        <v>0</v>
      </c>
      <c r="M1563" s="1">
        <v>0</v>
      </c>
      <c r="O1563" s="1">
        <v>97</v>
      </c>
      <c r="P1563" s="4">
        <f t="shared" si="72"/>
        <v>37500</v>
      </c>
      <c r="Q1563" s="4">
        <f t="shared" si="73"/>
        <v>15</v>
      </c>
      <c r="R1563" s="4">
        <f t="shared" si="74"/>
        <v>2500</v>
      </c>
    </row>
    <row r="1564" spans="1:18">
      <c r="A1564" s="1">
        <v>2</v>
      </c>
      <c r="B1564" s="1" t="str">
        <f>"قطعات و لوازم يدكي"</f>
        <v>قطعات و لوازم يدكي</v>
      </c>
      <c r="C1564" s="1">
        <v>120</v>
      </c>
      <c r="D1564" s="1" t="str">
        <f>"انبار قطعات و لوازم يدكي بشکه سازي اصفهان"</f>
        <v>انبار قطعات و لوازم يدكي بشکه سازي اصفهان</v>
      </c>
      <c r="E1564" s="1" t="str">
        <f>"4311700125"</f>
        <v>4311700125</v>
      </c>
      <c r="F1564" s="1" t="str">
        <f>"پيچ 5*M10"</f>
        <v>پيچ 5*M10</v>
      </c>
      <c r="G1564" s="1" t="str">
        <f>"عدد"</f>
        <v>عدد</v>
      </c>
      <c r="H1564" s="1">
        <v>0</v>
      </c>
      <c r="I1564" s="1">
        <v>0</v>
      </c>
      <c r="J1564" s="1">
        <v>7</v>
      </c>
      <c r="K1564" s="1">
        <v>17500</v>
      </c>
      <c r="L1564" s="1">
        <v>2</v>
      </c>
      <c r="M1564" s="1">
        <v>5000</v>
      </c>
      <c r="O1564" s="1">
        <v>97</v>
      </c>
      <c r="P1564" s="4">
        <f t="shared" si="72"/>
        <v>12500</v>
      </c>
      <c r="Q1564" s="4">
        <f t="shared" si="73"/>
        <v>5</v>
      </c>
      <c r="R1564" s="4">
        <f t="shared" si="74"/>
        <v>2500</v>
      </c>
    </row>
    <row r="1565" spans="1:18">
      <c r="A1565" s="1">
        <v>2</v>
      </c>
      <c r="B1565" s="1" t="str">
        <f>"قطعات و لوازم يدكي"</f>
        <v>قطعات و لوازم يدكي</v>
      </c>
      <c r="C1565" s="1">
        <v>120</v>
      </c>
      <c r="D1565" s="1" t="str">
        <f>"انبار قطعات و لوازم يدكي بشکه سازي اصفهان"</f>
        <v>انبار قطعات و لوازم يدكي بشکه سازي اصفهان</v>
      </c>
      <c r="E1565" s="1" t="str">
        <f>"4311700129"</f>
        <v>4311700129</v>
      </c>
      <c r="F1565" s="1" t="str">
        <f>"پيچ 10 * M 14"</f>
        <v>پيچ 10 * M 14</v>
      </c>
      <c r="G1565" s="1" t="str">
        <f>"عدد"</f>
        <v>عدد</v>
      </c>
      <c r="H1565" s="1">
        <v>0</v>
      </c>
      <c r="I1565" s="1">
        <v>0</v>
      </c>
      <c r="J1565" s="1">
        <v>15</v>
      </c>
      <c r="K1565" s="1">
        <v>37500</v>
      </c>
      <c r="L1565" s="1">
        <v>0</v>
      </c>
      <c r="M1565" s="1">
        <v>0</v>
      </c>
      <c r="O1565" s="1">
        <v>97</v>
      </c>
      <c r="P1565" s="4">
        <f t="shared" si="72"/>
        <v>37500</v>
      </c>
      <c r="Q1565" s="4">
        <f t="shared" si="73"/>
        <v>15</v>
      </c>
      <c r="R1565" s="4">
        <f t="shared" si="74"/>
        <v>2500</v>
      </c>
    </row>
    <row r="1566" spans="1:18">
      <c r="A1566" s="1">
        <v>2</v>
      </c>
      <c r="B1566" s="1" t="str">
        <f>"قطعات و لوازم يدكي"</f>
        <v>قطعات و لوازم يدكي</v>
      </c>
      <c r="C1566" s="1">
        <v>120</v>
      </c>
      <c r="D1566" s="1" t="str">
        <f>"انبار قطعات و لوازم يدكي بشکه سازي اصفهان"</f>
        <v>انبار قطعات و لوازم يدكي بشکه سازي اصفهان</v>
      </c>
      <c r="E1566" s="1" t="str">
        <f>"4311700141"</f>
        <v>4311700141</v>
      </c>
      <c r="F1566" s="1" t="str">
        <f>"تسمه فلزي 3 ميل 4/5 * 800M"</f>
        <v>تسمه فلزي 3 ميل 4/5 * 800M</v>
      </c>
      <c r="G1566" s="1" t="str">
        <f>"عدد"</f>
        <v>عدد</v>
      </c>
      <c r="H1566" s="1">
        <v>0</v>
      </c>
      <c r="I1566" s="1">
        <v>0</v>
      </c>
      <c r="J1566" s="1">
        <v>2</v>
      </c>
      <c r="K1566" s="1">
        <v>1998000</v>
      </c>
      <c r="L1566" s="1">
        <v>0</v>
      </c>
      <c r="M1566" s="1">
        <v>0</v>
      </c>
      <c r="O1566" s="1">
        <v>97</v>
      </c>
      <c r="P1566" s="4">
        <f t="shared" si="72"/>
        <v>1998000</v>
      </c>
      <c r="Q1566" s="4">
        <f t="shared" si="73"/>
        <v>2</v>
      </c>
      <c r="R1566" s="4">
        <f t="shared" si="74"/>
        <v>999000</v>
      </c>
    </row>
    <row r="1567" spans="1:18">
      <c r="A1567" s="1">
        <v>2</v>
      </c>
      <c r="B1567" s="1" t="str">
        <f>"قطعات و لوازم يدكي"</f>
        <v>قطعات و لوازم يدكي</v>
      </c>
      <c r="C1567" s="1">
        <v>120</v>
      </c>
      <c r="D1567" s="1" t="str">
        <f>"انبار قطعات و لوازم يدكي بشکه سازي اصفهان"</f>
        <v>انبار قطعات و لوازم يدكي بشکه سازي اصفهان</v>
      </c>
      <c r="E1567" s="1" t="str">
        <f>"4311700152"</f>
        <v>4311700152</v>
      </c>
      <c r="F1567" s="1" t="str">
        <f>"پيچ 4*M10"</f>
        <v>پيچ 4*M10</v>
      </c>
      <c r="G1567" s="1" t="str">
        <f>"عدد"</f>
        <v>عدد</v>
      </c>
      <c r="H1567" s="1">
        <v>0</v>
      </c>
      <c r="I1567" s="1">
        <v>0</v>
      </c>
      <c r="J1567" s="1">
        <v>15</v>
      </c>
      <c r="K1567" s="1">
        <v>45000</v>
      </c>
      <c r="L1567" s="1">
        <v>0</v>
      </c>
      <c r="M1567" s="1">
        <v>0</v>
      </c>
      <c r="O1567" s="1">
        <v>97</v>
      </c>
      <c r="P1567" s="4">
        <f t="shared" si="72"/>
        <v>45000</v>
      </c>
      <c r="Q1567" s="4">
        <f t="shared" si="73"/>
        <v>15</v>
      </c>
      <c r="R1567" s="4">
        <f t="shared" si="74"/>
        <v>3000</v>
      </c>
    </row>
    <row r="1568" spans="1:18">
      <c r="A1568" s="1">
        <v>2</v>
      </c>
      <c r="B1568" s="1" t="str">
        <f>"قطعات و لوازم يدكي"</f>
        <v>قطعات و لوازم يدكي</v>
      </c>
      <c r="C1568" s="1">
        <v>120</v>
      </c>
      <c r="D1568" s="1" t="str">
        <f>"انبار قطعات و لوازم يدكي بشکه سازي اصفهان"</f>
        <v>انبار قطعات و لوازم يدكي بشکه سازي اصفهان</v>
      </c>
      <c r="E1568" s="1" t="str">
        <f>"4311700166"</f>
        <v>4311700166</v>
      </c>
      <c r="F1568" s="1" t="str">
        <f>"پيچ آلن 6*M14"</f>
        <v>پيچ آلن 6*M14</v>
      </c>
      <c r="G1568" s="1" t="str">
        <f>"عدد"</f>
        <v>عدد</v>
      </c>
      <c r="H1568" s="1">
        <v>0</v>
      </c>
      <c r="I1568" s="1">
        <v>0</v>
      </c>
      <c r="J1568" s="1">
        <v>10</v>
      </c>
      <c r="K1568" s="1">
        <v>25000</v>
      </c>
      <c r="L1568" s="1">
        <v>0</v>
      </c>
      <c r="M1568" s="1">
        <v>0</v>
      </c>
      <c r="O1568" s="1">
        <v>97</v>
      </c>
      <c r="P1568" s="4">
        <f t="shared" si="72"/>
        <v>25000</v>
      </c>
      <c r="Q1568" s="4">
        <f t="shared" si="73"/>
        <v>10</v>
      </c>
      <c r="R1568" s="4">
        <f t="shared" si="74"/>
        <v>2500</v>
      </c>
    </row>
    <row r="1569" spans="1:18">
      <c r="A1569" s="1">
        <v>2</v>
      </c>
      <c r="B1569" s="1" t="str">
        <f>"قطعات و لوازم يدكي"</f>
        <v>قطعات و لوازم يدكي</v>
      </c>
      <c r="C1569" s="1">
        <v>120</v>
      </c>
      <c r="D1569" s="1" t="str">
        <f>"انبار قطعات و لوازم يدكي بشکه سازي اصفهان"</f>
        <v>انبار قطعات و لوازم يدكي بشکه سازي اصفهان</v>
      </c>
      <c r="E1569" s="1" t="str">
        <f>"4311700168"</f>
        <v>4311700168</v>
      </c>
      <c r="F1569" s="1" t="str">
        <f>"پيچ آلن 7*M20"</f>
        <v>پيچ آلن 7*M20</v>
      </c>
      <c r="G1569" s="1" t="str">
        <f>"عدد"</f>
        <v>عدد</v>
      </c>
      <c r="H1569" s="1">
        <v>0</v>
      </c>
      <c r="I1569" s="1">
        <v>0</v>
      </c>
      <c r="J1569" s="1">
        <v>8</v>
      </c>
      <c r="K1569" s="1">
        <v>20000</v>
      </c>
      <c r="L1569" s="1">
        <v>1</v>
      </c>
      <c r="M1569" s="1">
        <v>2500</v>
      </c>
      <c r="O1569" s="1">
        <v>97</v>
      </c>
      <c r="P1569" s="4">
        <f t="shared" si="72"/>
        <v>17500</v>
      </c>
      <c r="Q1569" s="4">
        <f t="shared" si="73"/>
        <v>7</v>
      </c>
      <c r="R1569" s="4">
        <f t="shared" si="74"/>
        <v>2500</v>
      </c>
    </row>
    <row r="1570" spans="1:18">
      <c r="A1570" s="1">
        <v>2</v>
      </c>
      <c r="B1570" s="1" t="str">
        <f>"قطعات و لوازم يدكي"</f>
        <v>قطعات و لوازم يدكي</v>
      </c>
      <c r="C1570" s="1">
        <v>120</v>
      </c>
      <c r="D1570" s="1" t="str">
        <f>"انبار قطعات و لوازم يدكي بشکه سازي اصفهان"</f>
        <v>انبار قطعات و لوازم يدكي بشکه سازي اصفهان</v>
      </c>
      <c r="E1570" s="1" t="str">
        <f>"4311700178"</f>
        <v>4311700178</v>
      </c>
      <c r="F1570" s="1" t="str">
        <f>"مهره M22"</f>
        <v>مهره M22</v>
      </c>
      <c r="G1570" s="1" t="str">
        <f>"عدد"</f>
        <v>عدد</v>
      </c>
      <c r="H1570" s="1">
        <v>0</v>
      </c>
      <c r="I1570" s="1">
        <v>0</v>
      </c>
      <c r="J1570" s="1">
        <v>19</v>
      </c>
      <c r="K1570" s="1">
        <v>87400</v>
      </c>
      <c r="L1570" s="1">
        <v>0</v>
      </c>
      <c r="M1570" s="1">
        <v>0</v>
      </c>
      <c r="O1570" s="1">
        <v>97</v>
      </c>
      <c r="P1570" s="4">
        <f t="shared" si="72"/>
        <v>87400</v>
      </c>
      <c r="Q1570" s="4">
        <f t="shared" si="73"/>
        <v>19</v>
      </c>
      <c r="R1570" s="4">
        <f t="shared" si="74"/>
        <v>4600</v>
      </c>
    </row>
    <row r="1571" spans="1:18">
      <c r="A1571" s="1">
        <v>2</v>
      </c>
      <c r="B1571" s="1" t="str">
        <f>"قطعات و لوازم يدكي"</f>
        <v>قطعات و لوازم يدكي</v>
      </c>
      <c r="C1571" s="1">
        <v>205</v>
      </c>
      <c r="D1571" s="1" t="str">
        <f>"انبار قطعات و لوازم يدكي بندرعباس"</f>
        <v>انبار قطعات و لوازم يدكي بندرعباس</v>
      </c>
      <c r="E1571" s="1" t="str">
        <f>"1800000546"</f>
        <v>1800000546</v>
      </c>
      <c r="F1571" s="1" t="str">
        <f>"کليد موتوري 23"</f>
        <v>کليد موتوري 23</v>
      </c>
      <c r="G1571" s="1" t="str">
        <f>"عدد"</f>
        <v>عدد</v>
      </c>
      <c r="H1571" s="1">
        <v>1</v>
      </c>
      <c r="I1571" s="1">
        <v>1200000</v>
      </c>
      <c r="J1571" s="1">
        <v>0</v>
      </c>
      <c r="K1571" s="1">
        <v>0</v>
      </c>
      <c r="L1571" s="1">
        <v>0</v>
      </c>
      <c r="M1571" s="1">
        <v>0</v>
      </c>
      <c r="O1571" s="1">
        <v>97</v>
      </c>
      <c r="P1571" s="4">
        <f t="shared" si="72"/>
        <v>1200000</v>
      </c>
      <c r="Q1571" s="4">
        <f t="shared" si="73"/>
        <v>1</v>
      </c>
      <c r="R1571" s="4">
        <f t="shared" si="74"/>
        <v>1200000</v>
      </c>
    </row>
    <row r="1572" spans="1:18">
      <c r="A1572" s="1">
        <v>2</v>
      </c>
      <c r="B1572" s="1" t="str">
        <f>"قطعات و لوازم يدكي"</f>
        <v>قطعات و لوازم يدكي</v>
      </c>
      <c r="C1572" s="1">
        <v>205</v>
      </c>
      <c r="D1572" s="1" t="str">
        <f>"انبار قطعات و لوازم يدكي بندرعباس"</f>
        <v>انبار قطعات و لوازم يدكي بندرعباس</v>
      </c>
      <c r="E1572" s="1" t="str">
        <f>"1800000547"</f>
        <v>1800000547</v>
      </c>
      <c r="F1572" s="1" t="str">
        <f>"کليد موتوري اشنايدر 14"</f>
        <v>کليد موتوري اشنايدر 14</v>
      </c>
      <c r="G1572" s="1" t="str">
        <f>"عدد"</f>
        <v>عدد</v>
      </c>
      <c r="H1572" s="1">
        <v>1</v>
      </c>
      <c r="I1572" s="1">
        <v>1300000</v>
      </c>
      <c r="J1572" s="1">
        <v>0</v>
      </c>
      <c r="K1572" s="1">
        <v>0</v>
      </c>
      <c r="L1572" s="1">
        <v>0</v>
      </c>
      <c r="M1572" s="1">
        <v>0</v>
      </c>
      <c r="O1572" s="1">
        <v>97</v>
      </c>
      <c r="P1572" s="4">
        <f t="shared" si="72"/>
        <v>1300000</v>
      </c>
      <c r="Q1572" s="4">
        <f t="shared" si="73"/>
        <v>1</v>
      </c>
      <c r="R1572" s="4">
        <f t="shared" si="74"/>
        <v>1300000</v>
      </c>
    </row>
    <row r="1573" spans="1:18">
      <c r="A1573" s="1">
        <v>2</v>
      </c>
      <c r="B1573" s="1" t="str">
        <f>"قطعات و لوازم يدكي"</f>
        <v>قطعات و لوازم يدكي</v>
      </c>
      <c r="C1573" s="1">
        <v>205</v>
      </c>
      <c r="D1573" s="1" t="str">
        <f>"انبار قطعات و لوازم يدكي بندرعباس"</f>
        <v>انبار قطعات و لوازم يدكي بندرعباس</v>
      </c>
      <c r="E1573" s="1" t="str">
        <f>"1800000572"</f>
        <v>1800000572</v>
      </c>
      <c r="F1573" s="1" t="str">
        <f>"گسکت فلزي 10"</f>
        <v>گسکت فلزي 10</v>
      </c>
      <c r="G1573" s="1" t="str">
        <f>"عدد"</f>
        <v>عدد</v>
      </c>
      <c r="H1573" s="1">
        <v>13</v>
      </c>
      <c r="I1573" s="1">
        <v>8320000</v>
      </c>
      <c r="J1573" s="1">
        <v>0</v>
      </c>
      <c r="K1573" s="1">
        <v>0</v>
      </c>
      <c r="L1573" s="1">
        <v>1</v>
      </c>
      <c r="M1573" s="1">
        <v>640000</v>
      </c>
      <c r="O1573" s="1">
        <v>97</v>
      </c>
      <c r="P1573" s="4">
        <f t="shared" si="72"/>
        <v>7680000</v>
      </c>
      <c r="Q1573" s="4">
        <f t="shared" si="73"/>
        <v>12</v>
      </c>
      <c r="R1573" s="4">
        <f t="shared" si="74"/>
        <v>640000</v>
      </c>
    </row>
    <row r="1574" spans="1:18">
      <c r="A1574" s="1">
        <v>2</v>
      </c>
      <c r="B1574" s="1" t="str">
        <f>"قطعات و لوازم يدكي"</f>
        <v>قطعات و لوازم يدكي</v>
      </c>
      <c r="C1574" s="1">
        <v>205</v>
      </c>
      <c r="D1574" s="1" t="str">
        <f>"انبار قطعات و لوازم يدكي بندرعباس"</f>
        <v>انبار قطعات و لوازم يدكي بندرعباس</v>
      </c>
      <c r="E1574" s="1" t="str">
        <f>"1800000594"</f>
        <v>1800000594</v>
      </c>
      <c r="F1574" s="1" t="str">
        <f>"گلند پلاستيکي 36"</f>
        <v>گلند پلاستيکي 36</v>
      </c>
      <c r="G1574" s="1" t="str">
        <f>"عدد"</f>
        <v>عدد</v>
      </c>
      <c r="H1574" s="1">
        <v>90</v>
      </c>
      <c r="I1574" s="1">
        <v>1620000</v>
      </c>
      <c r="J1574" s="1">
        <v>0</v>
      </c>
      <c r="K1574" s="1">
        <v>0</v>
      </c>
      <c r="L1574" s="1">
        <v>2</v>
      </c>
      <c r="M1574" s="1">
        <v>36000</v>
      </c>
      <c r="O1574" s="1">
        <v>97</v>
      </c>
      <c r="P1574" s="4">
        <f t="shared" si="72"/>
        <v>1584000</v>
      </c>
      <c r="Q1574" s="4">
        <f t="shared" si="73"/>
        <v>88</v>
      </c>
      <c r="R1574" s="4">
        <f t="shared" si="74"/>
        <v>18000</v>
      </c>
    </row>
    <row r="1575" spans="1:18" hidden="1">
      <c r="A1575" s="1">
        <v>2</v>
      </c>
      <c r="B1575" s="1" t="str">
        <f>"قطعات و لوازم يدكي"</f>
        <v>قطعات و لوازم يدكي</v>
      </c>
      <c r="C1575" s="1">
        <v>205</v>
      </c>
      <c r="D1575" s="1" t="str">
        <f>"انبار قطعات و لوازم يدكي بندرعباس"</f>
        <v>انبار قطعات و لوازم يدكي بندرعباس</v>
      </c>
      <c r="E1575" s="1" t="str">
        <f>"1800000621"</f>
        <v>1800000621</v>
      </c>
      <c r="F1575" s="1" t="str">
        <f>"لوله3/4"</f>
        <v>لوله3/4</v>
      </c>
      <c r="G1575" s="1" t="str">
        <f>"متر"</f>
        <v>متر</v>
      </c>
      <c r="H1575" s="1">
        <v>22</v>
      </c>
      <c r="I1575" s="1">
        <v>1562000</v>
      </c>
      <c r="J1575" s="1">
        <v>0</v>
      </c>
      <c r="K1575" s="1">
        <v>0</v>
      </c>
      <c r="L1575" s="1">
        <v>22</v>
      </c>
      <c r="M1575" s="1">
        <v>1562000</v>
      </c>
      <c r="O1575" s="1">
        <v>97</v>
      </c>
      <c r="P1575" s="1">
        <f t="shared" si="72"/>
        <v>0</v>
      </c>
      <c r="Q1575" s="1">
        <f t="shared" si="73"/>
        <v>0</v>
      </c>
      <c r="R1575" s="1" t="e">
        <f t="shared" si="74"/>
        <v>#DIV/0!</v>
      </c>
    </row>
    <row r="1576" spans="1:18" hidden="1">
      <c r="A1576" s="1">
        <v>2</v>
      </c>
      <c r="B1576" s="1" t="str">
        <f>"قطعات و لوازم يدكي"</f>
        <v>قطعات و لوازم يدكي</v>
      </c>
      <c r="C1576" s="1">
        <v>205</v>
      </c>
      <c r="D1576" s="1" t="str">
        <f>"انبار قطعات و لوازم يدكي بندرعباس"</f>
        <v>انبار قطعات و لوازم يدكي بندرعباس</v>
      </c>
      <c r="E1576" s="1" t="str">
        <f>"1800000625"</f>
        <v>1800000625</v>
      </c>
      <c r="F1576" s="1" t="str">
        <f>"لوله 3"</f>
        <v>لوله 3</v>
      </c>
      <c r="G1576" s="1" t="str">
        <f>"متر"</f>
        <v>متر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O1576" s="1">
        <v>97</v>
      </c>
      <c r="P1576" s="1">
        <f t="shared" si="72"/>
        <v>0</v>
      </c>
      <c r="Q1576" s="1">
        <f t="shared" si="73"/>
        <v>0</v>
      </c>
      <c r="R1576" s="1" t="e">
        <f t="shared" si="74"/>
        <v>#DIV/0!</v>
      </c>
    </row>
    <row r="1577" spans="1:18">
      <c r="A1577" s="1">
        <v>2</v>
      </c>
      <c r="B1577" s="1" t="str">
        <f>"قطعات و لوازم يدكي"</f>
        <v>قطعات و لوازم يدكي</v>
      </c>
      <c r="C1577" s="1">
        <v>205</v>
      </c>
      <c r="D1577" s="1" t="str">
        <f>"انبار قطعات و لوازم يدكي بندرعباس"</f>
        <v>انبار قطعات و لوازم يدكي بندرعباس</v>
      </c>
      <c r="E1577" s="1" t="str">
        <f>"1800000637"</f>
        <v>1800000637</v>
      </c>
      <c r="F1577" s="1" t="str">
        <f>"لوله فلکسيبل 75"</f>
        <v>لوله فلکسيبل 75</v>
      </c>
      <c r="G1577" s="1" t="str">
        <f>"متر"</f>
        <v>متر</v>
      </c>
      <c r="H1577" s="1">
        <v>10</v>
      </c>
      <c r="I1577" s="1">
        <v>5000000</v>
      </c>
      <c r="J1577" s="1">
        <v>0</v>
      </c>
      <c r="K1577" s="1">
        <v>0</v>
      </c>
      <c r="L1577" s="1">
        <v>0</v>
      </c>
      <c r="M1577" s="1">
        <v>0</v>
      </c>
      <c r="O1577" s="1">
        <v>97</v>
      </c>
      <c r="P1577" s="4">
        <f t="shared" si="72"/>
        <v>5000000</v>
      </c>
      <c r="Q1577" s="4">
        <f t="shared" si="73"/>
        <v>10</v>
      </c>
      <c r="R1577" s="4">
        <f t="shared" si="74"/>
        <v>500000</v>
      </c>
    </row>
    <row r="1578" spans="1:18">
      <c r="A1578" s="1">
        <v>2</v>
      </c>
      <c r="B1578" s="1" t="str">
        <f>"قطعات و لوازم يدكي"</f>
        <v>قطعات و لوازم يدكي</v>
      </c>
      <c r="C1578" s="1">
        <v>205</v>
      </c>
      <c r="D1578" s="1" t="str">
        <f>"انبار قطعات و لوازم يدكي بندرعباس"</f>
        <v>انبار قطعات و لوازم يدكي بندرعباس</v>
      </c>
      <c r="E1578" s="1" t="str">
        <f>"1800000646"</f>
        <v>1800000646</v>
      </c>
      <c r="F1578" s="1" t="str">
        <f>"لوله و اتصالات 4"</f>
        <v>لوله و اتصالات 4</v>
      </c>
      <c r="G1578" s="1" t="str">
        <f>"عدد"</f>
        <v>عدد</v>
      </c>
      <c r="H1578" s="1">
        <v>1</v>
      </c>
      <c r="I1578" s="1">
        <v>400000</v>
      </c>
      <c r="J1578" s="1">
        <v>0</v>
      </c>
      <c r="K1578" s="1">
        <v>0</v>
      </c>
      <c r="L1578" s="1">
        <v>0</v>
      </c>
      <c r="M1578" s="1">
        <v>0</v>
      </c>
      <c r="O1578" s="1">
        <v>97</v>
      </c>
      <c r="P1578" s="4">
        <f t="shared" si="72"/>
        <v>400000</v>
      </c>
      <c r="Q1578" s="4">
        <f t="shared" si="73"/>
        <v>1</v>
      </c>
      <c r="R1578" s="4">
        <f t="shared" si="74"/>
        <v>400000</v>
      </c>
    </row>
    <row r="1579" spans="1:18">
      <c r="A1579" s="1">
        <v>2</v>
      </c>
      <c r="B1579" s="1" t="str">
        <f>"قطعات و لوازم يدكي"</f>
        <v>قطعات و لوازم يدكي</v>
      </c>
      <c r="C1579" s="1">
        <v>205</v>
      </c>
      <c r="D1579" s="1" t="str">
        <f>"انبار قطعات و لوازم يدكي بندرعباس"</f>
        <v>انبار قطعات و لوازم يدكي بندرعباس</v>
      </c>
      <c r="E1579" s="1" t="str">
        <f>"1800000660"</f>
        <v>1800000660</v>
      </c>
      <c r="F1579" s="1" t="str">
        <f>"مغزي شير آب بزرگ"</f>
        <v>مغزي شير آب بزرگ</v>
      </c>
      <c r="G1579" s="1" t="str">
        <f>"عدد"</f>
        <v>عدد</v>
      </c>
      <c r="H1579" s="1">
        <v>10</v>
      </c>
      <c r="I1579" s="1">
        <v>200000</v>
      </c>
      <c r="J1579" s="1">
        <v>0</v>
      </c>
      <c r="K1579" s="1">
        <v>0</v>
      </c>
      <c r="L1579" s="1">
        <v>0</v>
      </c>
      <c r="M1579" s="1">
        <v>0</v>
      </c>
      <c r="O1579" s="1">
        <v>97</v>
      </c>
      <c r="P1579" s="4">
        <f t="shared" si="72"/>
        <v>200000</v>
      </c>
      <c r="Q1579" s="4">
        <f t="shared" si="73"/>
        <v>10</v>
      </c>
      <c r="R1579" s="4">
        <f t="shared" si="74"/>
        <v>20000</v>
      </c>
    </row>
    <row r="1580" spans="1:18">
      <c r="A1580" s="1">
        <v>2</v>
      </c>
      <c r="B1580" s="1" t="str">
        <f>"قطعات و لوازم يدكي"</f>
        <v>قطعات و لوازم يدكي</v>
      </c>
      <c r="C1580" s="1">
        <v>205</v>
      </c>
      <c r="D1580" s="1" t="str">
        <f>"انبار قطعات و لوازم يدكي بندرعباس"</f>
        <v>انبار قطعات و لوازم يدكي بندرعباس</v>
      </c>
      <c r="E1580" s="1" t="str">
        <f>"1800000668"</f>
        <v>1800000668</v>
      </c>
      <c r="F1580" s="1" t="str">
        <f>"موف 6*30"</f>
        <v>موف 6*30</v>
      </c>
      <c r="G1580" s="1" t="str">
        <f>"عدد"</f>
        <v>عدد</v>
      </c>
      <c r="H1580" s="1">
        <v>10</v>
      </c>
      <c r="I1580" s="1">
        <v>350000</v>
      </c>
      <c r="J1580" s="1">
        <v>0</v>
      </c>
      <c r="K1580" s="1">
        <v>0</v>
      </c>
      <c r="L1580" s="1">
        <v>0</v>
      </c>
      <c r="M1580" s="1">
        <v>0</v>
      </c>
      <c r="O1580" s="1">
        <v>97</v>
      </c>
      <c r="P1580" s="4">
        <f t="shared" si="72"/>
        <v>350000</v>
      </c>
      <c r="Q1580" s="4">
        <f t="shared" si="73"/>
        <v>10</v>
      </c>
      <c r="R1580" s="4">
        <f t="shared" si="74"/>
        <v>35000</v>
      </c>
    </row>
    <row r="1581" spans="1:18">
      <c r="A1581" s="1">
        <v>2</v>
      </c>
      <c r="B1581" s="1" t="str">
        <f>"قطعات و لوازم يدكي"</f>
        <v>قطعات و لوازم يدكي</v>
      </c>
      <c r="C1581" s="1">
        <v>205</v>
      </c>
      <c r="D1581" s="1" t="str">
        <f>"انبار قطعات و لوازم يدكي بندرعباس"</f>
        <v>انبار قطعات و لوازم يدكي بندرعباس</v>
      </c>
      <c r="E1581" s="1" t="str">
        <f>"1800000669"</f>
        <v>1800000669</v>
      </c>
      <c r="F1581" s="1" t="str">
        <f>"موف 5.5*30"</f>
        <v>موف 5.5*30</v>
      </c>
      <c r="G1581" s="1" t="str">
        <f>"عدد"</f>
        <v>عدد</v>
      </c>
      <c r="H1581" s="1">
        <v>90</v>
      </c>
      <c r="I1581" s="1">
        <v>3150000</v>
      </c>
      <c r="J1581" s="1">
        <v>0</v>
      </c>
      <c r="K1581" s="1">
        <v>0</v>
      </c>
      <c r="L1581" s="1">
        <v>0</v>
      </c>
      <c r="M1581" s="1">
        <v>0</v>
      </c>
      <c r="O1581" s="1">
        <v>97</v>
      </c>
      <c r="P1581" s="4">
        <f t="shared" si="72"/>
        <v>3150000</v>
      </c>
      <c r="Q1581" s="4">
        <f t="shared" si="73"/>
        <v>90</v>
      </c>
      <c r="R1581" s="4">
        <f t="shared" si="74"/>
        <v>35000</v>
      </c>
    </row>
    <row r="1582" spans="1:18">
      <c r="A1582" s="1">
        <v>2</v>
      </c>
      <c r="B1582" s="1" t="str">
        <f>"قطعات و لوازم يدكي"</f>
        <v>قطعات و لوازم يدكي</v>
      </c>
      <c r="C1582" s="1">
        <v>205</v>
      </c>
      <c r="D1582" s="1" t="str">
        <f>"انبار قطعات و لوازم يدكي بندرعباس"</f>
        <v>انبار قطعات و لوازم يدكي بندرعباس</v>
      </c>
      <c r="E1582" s="1" t="str">
        <f>"1800000676"</f>
        <v>1800000676</v>
      </c>
      <c r="F1582" s="1" t="str">
        <f>"واشر تخت m12"</f>
        <v>واشر تخت m12</v>
      </c>
      <c r="G1582" s="1" t="str">
        <f>"عدد"</f>
        <v>عدد</v>
      </c>
      <c r="H1582" s="1">
        <v>16</v>
      </c>
      <c r="I1582" s="1">
        <v>32000</v>
      </c>
      <c r="J1582" s="1">
        <v>0</v>
      </c>
      <c r="K1582" s="1">
        <v>0</v>
      </c>
      <c r="L1582" s="1">
        <v>7</v>
      </c>
      <c r="M1582" s="1">
        <v>14000</v>
      </c>
      <c r="O1582" s="1">
        <v>97</v>
      </c>
      <c r="P1582" s="4">
        <f t="shared" si="72"/>
        <v>18000</v>
      </c>
      <c r="Q1582" s="4">
        <f t="shared" si="73"/>
        <v>9</v>
      </c>
      <c r="R1582" s="4">
        <f t="shared" si="74"/>
        <v>2000</v>
      </c>
    </row>
    <row r="1583" spans="1:18">
      <c r="A1583" s="1">
        <v>2</v>
      </c>
      <c r="B1583" s="1" t="str">
        <f>"قطعات و لوازم يدكي"</f>
        <v>قطعات و لوازم يدكي</v>
      </c>
      <c r="C1583" s="1">
        <v>205</v>
      </c>
      <c r="D1583" s="1" t="str">
        <f>"انبار قطعات و لوازم يدكي بندرعباس"</f>
        <v>انبار قطعات و لوازم يدكي بندرعباس</v>
      </c>
      <c r="E1583" s="1" t="str">
        <f>"1800000691"</f>
        <v>1800000691</v>
      </c>
      <c r="F1583" s="1" t="str">
        <f>"shaft collar-164"</f>
        <v>shaft collar-164</v>
      </c>
      <c r="G1583" s="1" t="str">
        <f>"عدد"</f>
        <v>عدد</v>
      </c>
      <c r="H1583" s="1">
        <v>2</v>
      </c>
      <c r="I1583" s="1">
        <v>129991160</v>
      </c>
      <c r="J1583" s="1">
        <v>0</v>
      </c>
      <c r="K1583" s="1">
        <v>0</v>
      </c>
      <c r="L1583" s="1">
        <v>0</v>
      </c>
      <c r="M1583" s="1">
        <v>0</v>
      </c>
      <c r="O1583" s="1">
        <v>97</v>
      </c>
      <c r="P1583" s="4">
        <f t="shared" si="72"/>
        <v>129991160</v>
      </c>
      <c r="Q1583" s="4">
        <f t="shared" si="73"/>
        <v>2</v>
      </c>
      <c r="R1583" s="4">
        <f t="shared" si="74"/>
        <v>64995580</v>
      </c>
    </row>
    <row r="1584" spans="1:18">
      <c r="A1584" s="1">
        <v>2</v>
      </c>
      <c r="B1584" s="1" t="str">
        <f>"قطعات و لوازم يدكي"</f>
        <v>قطعات و لوازم يدكي</v>
      </c>
      <c r="C1584" s="1">
        <v>205</v>
      </c>
      <c r="D1584" s="1" t="str">
        <f>"انبار قطعات و لوازم يدكي بندرعباس"</f>
        <v>انبار قطعات و لوازم يدكي بندرعباس</v>
      </c>
      <c r="E1584" s="1" t="str">
        <f>"1800000701"</f>
        <v>1800000701</v>
      </c>
      <c r="F1584" s="1" t="str">
        <f>"shaft collar - 106"</f>
        <v>shaft collar - 106</v>
      </c>
      <c r="G1584" s="1" t="str">
        <f>"عدد"</f>
        <v>عدد</v>
      </c>
      <c r="H1584" s="1">
        <v>1</v>
      </c>
      <c r="I1584" s="1">
        <v>36734790</v>
      </c>
      <c r="J1584" s="1">
        <v>0</v>
      </c>
      <c r="K1584" s="1">
        <v>0</v>
      </c>
      <c r="L1584" s="1">
        <v>0</v>
      </c>
      <c r="M1584" s="1">
        <v>0</v>
      </c>
      <c r="O1584" s="1">
        <v>97</v>
      </c>
      <c r="P1584" s="4">
        <f t="shared" si="72"/>
        <v>36734790</v>
      </c>
      <c r="Q1584" s="4">
        <f t="shared" si="73"/>
        <v>1</v>
      </c>
      <c r="R1584" s="4">
        <f t="shared" si="74"/>
        <v>36734790</v>
      </c>
    </row>
    <row r="1585" spans="1:18" hidden="1">
      <c r="A1585" s="1">
        <v>2</v>
      </c>
      <c r="B1585" s="1" t="str">
        <f>"قطعات و لوازم يدكي"</f>
        <v>قطعات و لوازم يدكي</v>
      </c>
      <c r="C1585" s="1">
        <v>205</v>
      </c>
      <c r="D1585" s="1" t="str">
        <f>"انبار قطعات و لوازم يدكي بندرعباس"</f>
        <v>انبار قطعات و لوازم يدكي بندرعباس</v>
      </c>
      <c r="E1585" s="1" t="str">
        <f>"1800000708"</f>
        <v>1800000708</v>
      </c>
      <c r="F1585" s="1" t="str">
        <f>"کپ 6 مانيسمان"</f>
        <v>کپ 6 مانيسمان</v>
      </c>
      <c r="G1585" s="1" t="str">
        <f>"عدد"</f>
        <v>عدد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O1585" s="1">
        <v>97</v>
      </c>
      <c r="P1585" s="1">
        <f t="shared" si="72"/>
        <v>0</v>
      </c>
      <c r="Q1585" s="1">
        <f t="shared" si="73"/>
        <v>0</v>
      </c>
      <c r="R1585" s="1" t="e">
        <f t="shared" si="74"/>
        <v>#DIV/0!</v>
      </c>
    </row>
    <row r="1586" spans="1:18">
      <c r="A1586" s="1">
        <v>2</v>
      </c>
      <c r="B1586" s="1" t="str">
        <f>"قطعات و لوازم يدكي"</f>
        <v>قطعات و لوازم يدكي</v>
      </c>
      <c r="C1586" s="1">
        <v>205</v>
      </c>
      <c r="D1586" s="1" t="str">
        <f>"انبار قطعات و لوازم يدكي بندرعباس"</f>
        <v>انبار قطعات و لوازم يدكي بندرعباس</v>
      </c>
      <c r="E1586" s="1" t="str">
        <f>"1800000719"</f>
        <v>1800000719</v>
      </c>
      <c r="F1586" s="1" t="str">
        <f>"کاسه نمد 110*90*10"</f>
        <v>کاسه نمد 110*90*10</v>
      </c>
      <c r="G1586" s="1" t="str">
        <f>"عدد"</f>
        <v>عدد</v>
      </c>
      <c r="H1586" s="1">
        <v>9</v>
      </c>
      <c r="I1586" s="1">
        <v>7200000</v>
      </c>
      <c r="J1586" s="1">
        <v>0</v>
      </c>
      <c r="K1586" s="1">
        <v>0</v>
      </c>
      <c r="L1586" s="1">
        <v>1</v>
      </c>
      <c r="M1586" s="1">
        <v>800000</v>
      </c>
      <c r="O1586" s="1">
        <v>97</v>
      </c>
      <c r="P1586" s="4">
        <f t="shared" si="72"/>
        <v>6400000</v>
      </c>
      <c r="Q1586" s="4">
        <f t="shared" si="73"/>
        <v>8</v>
      </c>
      <c r="R1586" s="4">
        <f t="shared" si="74"/>
        <v>800000</v>
      </c>
    </row>
    <row r="1587" spans="1:18" hidden="1">
      <c r="A1587" s="1">
        <v>2</v>
      </c>
      <c r="B1587" s="1" t="str">
        <f>"قطعات و لوازم يدكي"</f>
        <v>قطعات و لوازم يدكي</v>
      </c>
      <c r="C1587" s="1">
        <v>205</v>
      </c>
      <c r="D1587" s="1" t="str">
        <f>"انبار قطعات و لوازم يدكي بندرعباس"</f>
        <v>انبار قطعات و لوازم يدكي بندرعباس</v>
      </c>
      <c r="E1587" s="1" t="str">
        <f>"1800000730"</f>
        <v>1800000730</v>
      </c>
      <c r="F1587" s="1" t="str">
        <f>"نيپل دوسر رزوه 1/2"</f>
        <v>نيپل دوسر رزوه 1/2</v>
      </c>
      <c r="G1587" s="1" t="str">
        <f>"عدد"</f>
        <v>عدد</v>
      </c>
      <c r="H1587" s="1">
        <v>10</v>
      </c>
      <c r="I1587" s="1">
        <v>700000</v>
      </c>
      <c r="J1587" s="1">
        <v>0</v>
      </c>
      <c r="K1587" s="1">
        <v>0</v>
      </c>
      <c r="L1587" s="1">
        <v>10</v>
      </c>
      <c r="M1587" s="1">
        <v>700000</v>
      </c>
      <c r="O1587" s="1">
        <v>97</v>
      </c>
      <c r="P1587" s="1">
        <f t="shared" si="72"/>
        <v>0</v>
      </c>
      <c r="Q1587" s="1">
        <f t="shared" si="73"/>
        <v>0</v>
      </c>
      <c r="R1587" s="1" t="e">
        <f t="shared" si="74"/>
        <v>#DIV/0!</v>
      </c>
    </row>
    <row r="1588" spans="1:18">
      <c r="A1588" s="1">
        <v>2</v>
      </c>
      <c r="B1588" s="1" t="str">
        <f>"قطعات و لوازم يدكي"</f>
        <v>قطعات و لوازم يدكي</v>
      </c>
      <c r="C1588" s="1">
        <v>205</v>
      </c>
      <c r="D1588" s="1" t="str">
        <f>"انبار قطعات و لوازم يدكي بندرعباس"</f>
        <v>انبار قطعات و لوازم يدكي بندرعباس</v>
      </c>
      <c r="E1588" s="1" t="str">
        <f>"1800000731"</f>
        <v>1800000731</v>
      </c>
      <c r="F1588" s="1" t="str">
        <f>"پيچ و مهره m10*30cm"</f>
        <v>پيچ و مهره m10*30cm</v>
      </c>
      <c r="G1588" s="1" t="str">
        <f>"عدد"</f>
        <v>عدد</v>
      </c>
      <c r="H1588" s="1">
        <v>100</v>
      </c>
      <c r="I1588" s="1">
        <v>2500000</v>
      </c>
      <c r="J1588" s="1">
        <v>0</v>
      </c>
      <c r="K1588" s="1">
        <v>0</v>
      </c>
      <c r="L1588" s="1">
        <v>5</v>
      </c>
      <c r="M1588" s="1">
        <v>125000</v>
      </c>
      <c r="O1588" s="1">
        <v>97</v>
      </c>
      <c r="P1588" s="4">
        <f t="shared" si="72"/>
        <v>2375000</v>
      </c>
      <c r="Q1588" s="4">
        <f t="shared" si="73"/>
        <v>95</v>
      </c>
      <c r="R1588" s="4">
        <f t="shared" si="74"/>
        <v>25000</v>
      </c>
    </row>
    <row r="1589" spans="1:18">
      <c r="A1589" s="1">
        <v>2</v>
      </c>
      <c r="B1589" s="1" t="str">
        <f>"قطعات و لوازم يدكي"</f>
        <v>قطعات و لوازم يدكي</v>
      </c>
      <c r="C1589" s="1">
        <v>205</v>
      </c>
      <c r="D1589" s="1" t="str">
        <f>"انبار قطعات و لوازم يدكي بندرعباس"</f>
        <v>انبار قطعات و لوازم يدكي بندرعباس</v>
      </c>
      <c r="E1589" s="1" t="str">
        <f>"1800000745"</f>
        <v>1800000745</v>
      </c>
      <c r="F1589" s="1" t="str">
        <f>"پيچ شش گوش تمام رزوه"</f>
        <v>پيچ شش گوش تمام رزوه</v>
      </c>
      <c r="G1589" s="1" t="str">
        <f>"عدد"</f>
        <v>عدد</v>
      </c>
      <c r="H1589" s="1">
        <v>50</v>
      </c>
      <c r="I1589" s="1">
        <v>1100000</v>
      </c>
      <c r="J1589" s="1">
        <v>0</v>
      </c>
      <c r="K1589" s="1">
        <v>0</v>
      </c>
      <c r="L1589" s="1">
        <v>4</v>
      </c>
      <c r="M1589" s="1">
        <v>88000</v>
      </c>
      <c r="O1589" s="1">
        <v>97</v>
      </c>
      <c r="P1589" s="4">
        <f t="shared" si="72"/>
        <v>1012000</v>
      </c>
      <c r="Q1589" s="4">
        <f t="shared" si="73"/>
        <v>46</v>
      </c>
      <c r="R1589" s="4">
        <f t="shared" si="74"/>
        <v>22000</v>
      </c>
    </row>
    <row r="1590" spans="1:18">
      <c r="A1590" s="1">
        <v>2</v>
      </c>
      <c r="B1590" s="1" t="str">
        <f>"قطعات و لوازم يدكي"</f>
        <v>قطعات و لوازم يدكي</v>
      </c>
      <c r="C1590" s="1">
        <v>205</v>
      </c>
      <c r="D1590" s="1" t="str">
        <f>"انبار قطعات و لوازم يدكي بندرعباس"</f>
        <v>انبار قطعات و لوازم يدكي بندرعباس</v>
      </c>
      <c r="E1590" s="1" t="str">
        <f>"1800000758"</f>
        <v>1800000758</v>
      </c>
      <c r="F1590" s="1" t="str">
        <f>"ساب ميني"</f>
        <v>ساب ميني</v>
      </c>
      <c r="G1590" s="1" t="str">
        <f>"عدد"</f>
        <v>عدد</v>
      </c>
      <c r="H1590" s="1">
        <v>0</v>
      </c>
      <c r="I1590" s="1">
        <v>0</v>
      </c>
      <c r="J1590" s="1">
        <v>10</v>
      </c>
      <c r="K1590" s="1">
        <v>500000</v>
      </c>
      <c r="L1590" s="1">
        <v>0</v>
      </c>
      <c r="M1590" s="1">
        <v>0</v>
      </c>
      <c r="O1590" s="1">
        <v>97</v>
      </c>
      <c r="P1590" s="4">
        <f t="shared" si="72"/>
        <v>500000</v>
      </c>
      <c r="Q1590" s="4">
        <f t="shared" si="73"/>
        <v>10</v>
      </c>
      <c r="R1590" s="4">
        <f t="shared" si="74"/>
        <v>50000</v>
      </c>
    </row>
    <row r="1591" spans="1:18">
      <c r="A1591" s="1">
        <v>2</v>
      </c>
      <c r="B1591" s="1" t="str">
        <f>"قطعات و لوازم يدكي"</f>
        <v>قطعات و لوازم يدكي</v>
      </c>
      <c r="C1591" s="1">
        <v>205</v>
      </c>
      <c r="D1591" s="1" t="str">
        <f>"انبار قطعات و لوازم يدكي بندرعباس"</f>
        <v>انبار قطعات و لوازم يدكي بندرعباس</v>
      </c>
      <c r="E1591" s="1" t="str">
        <f>"1800000761"</f>
        <v>1800000761</v>
      </c>
      <c r="F1591" s="1" t="str">
        <f>"تابلو روکار معمولي"</f>
        <v>تابلو روکار معمولي</v>
      </c>
      <c r="G1591" s="1" t="str">
        <f>"دستگاه"</f>
        <v>دستگاه</v>
      </c>
      <c r="H1591" s="1">
        <v>0</v>
      </c>
      <c r="I1591" s="1">
        <v>0</v>
      </c>
      <c r="J1591" s="1">
        <v>3</v>
      </c>
      <c r="K1591" s="1">
        <v>1800000</v>
      </c>
      <c r="L1591" s="1">
        <v>2</v>
      </c>
      <c r="M1591" s="1">
        <v>1200000</v>
      </c>
      <c r="O1591" s="1">
        <v>97</v>
      </c>
      <c r="P1591" s="4">
        <f t="shared" si="72"/>
        <v>600000</v>
      </c>
      <c r="Q1591" s="4">
        <f t="shared" si="73"/>
        <v>1</v>
      </c>
      <c r="R1591" s="4">
        <f t="shared" si="74"/>
        <v>600000</v>
      </c>
    </row>
    <row r="1592" spans="1:18">
      <c r="A1592" s="1">
        <v>2</v>
      </c>
      <c r="B1592" s="1" t="str">
        <f>"قطعات و لوازم يدكي"</f>
        <v>قطعات و لوازم يدكي</v>
      </c>
      <c r="C1592" s="1">
        <v>205</v>
      </c>
      <c r="D1592" s="1" t="str">
        <f>"انبار قطعات و لوازم يدكي بندرعباس"</f>
        <v>انبار قطعات و لوازم يدكي بندرعباس</v>
      </c>
      <c r="E1592" s="1" t="str">
        <f>"1800000769"</f>
        <v>1800000769</v>
      </c>
      <c r="F1592" s="1" t="str">
        <f>"اسپري چسب"</f>
        <v>اسپري چسب</v>
      </c>
      <c r="G1592" s="1" t="str">
        <f>"عدد"</f>
        <v>عدد</v>
      </c>
      <c r="H1592" s="1">
        <v>0</v>
      </c>
      <c r="I1592" s="1">
        <v>0</v>
      </c>
      <c r="J1592" s="1">
        <v>3</v>
      </c>
      <c r="K1592" s="1">
        <v>150000</v>
      </c>
      <c r="L1592" s="1">
        <v>0</v>
      </c>
      <c r="M1592" s="1">
        <v>0</v>
      </c>
      <c r="O1592" s="1">
        <v>97</v>
      </c>
      <c r="P1592" s="4">
        <f t="shared" si="72"/>
        <v>150000</v>
      </c>
      <c r="Q1592" s="4">
        <f t="shared" si="73"/>
        <v>3</v>
      </c>
      <c r="R1592" s="4">
        <f t="shared" si="74"/>
        <v>50000</v>
      </c>
    </row>
    <row r="1593" spans="1:18" hidden="1">
      <c r="A1593" s="1">
        <v>2</v>
      </c>
      <c r="B1593" s="1" t="str">
        <f>"قطعات و لوازم يدكي"</f>
        <v>قطعات و لوازم يدكي</v>
      </c>
      <c r="C1593" s="1">
        <v>205</v>
      </c>
      <c r="D1593" s="1" t="str">
        <f>"انبار قطعات و لوازم يدكي بندرعباس"</f>
        <v>انبار قطعات و لوازم يدكي بندرعباس</v>
      </c>
      <c r="E1593" s="1" t="str">
        <f>"1800000775"</f>
        <v>1800000775</v>
      </c>
      <c r="F1593" s="1" t="str">
        <f>"فندک صنعتي"</f>
        <v>فندک صنعتي</v>
      </c>
      <c r="G1593" s="1" t="str">
        <f>"عدد"</f>
        <v>عدد</v>
      </c>
      <c r="H1593" s="1">
        <v>0</v>
      </c>
      <c r="I1593" s="1">
        <v>0</v>
      </c>
      <c r="J1593" s="1">
        <v>4</v>
      </c>
      <c r="K1593" s="1">
        <v>320000</v>
      </c>
      <c r="L1593" s="1">
        <v>4</v>
      </c>
      <c r="M1593" s="1">
        <v>320000</v>
      </c>
      <c r="O1593" s="1">
        <v>97</v>
      </c>
      <c r="P1593" s="1">
        <f t="shared" si="72"/>
        <v>0</v>
      </c>
      <c r="Q1593" s="1">
        <f t="shared" si="73"/>
        <v>0</v>
      </c>
      <c r="R1593" s="1" t="e">
        <f t="shared" si="74"/>
        <v>#DIV/0!</v>
      </c>
    </row>
    <row r="1594" spans="1:18">
      <c r="A1594" s="1">
        <v>2</v>
      </c>
      <c r="B1594" s="1" t="str">
        <f>"قطعات و لوازم يدكي"</f>
        <v>قطعات و لوازم يدكي</v>
      </c>
      <c r="C1594" s="1">
        <v>205</v>
      </c>
      <c r="D1594" s="1" t="str">
        <f>"انبار قطعات و لوازم يدكي بندرعباس"</f>
        <v>انبار قطعات و لوازم يدكي بندرعباس</v>
      </c>
      <c r="E1594" s="1" t="str">
        <f>"1800000776"</f>
        <v>1800000776</v>
      </c>
      <c r="F1594" s="1" t="str">
        <f>"بلبرينگ 6202"</f>
        <v>بلبرينگ 6202</v>
      </c>
      <c r="G1594" s="1" t="str">
        <f>"عدد"</f>
        <v>عدد</v>
      </c>
      <c r="H1594" s="1">
        <v>0</v>
      </c>
      <c r="I1594" s="1">
        <v>0</v>
      </c>
      <c r="J1594" s="1">
        <v>4</v>
      </c>
      <c r="K1594" s="1">
        <v>60000</v>
      </c>
      <c r="L1594" s="1">
        <v>2</v>
      </c>
      <c r="M1594" s="1">
        <v>30000</v>
      </c>
      <c r="O1594" s="1">
        <v>97</v>
      </c>
      <c r="P1594" s="4">
        <f t="shared" si="72"/>
        <v>30000</v>
      </c>
      <c r="Q1594" s="4">
        <f t="shared" si="73"/>
        <v>2</v>
      </c>
      <c r="R1594" s="4">
        <f t="shared" si="74"/>
        <v>15000</v>
      </c>
    </row>
    <row r="1595" spans="1:18">
      <c r="A1595" s="1">
        <v>2</v>
      </c>
      <c r="B1595" s="1" t="str">
        <f>"قطعات و لوازم يدكي"</f>
        <v>قطعات و لوازم يدكي</v>
      </c>
      <c r="C1595" s="1">
        <v>205</v>
      </c>
      <c r="D1595" s="1" t="str">
        <f>"انبار قطعات و لوازم يدكي بندرعباس"</f>
        <v>انبار قطعات و لوازم يدكي بندرعباس</v>
      </c>
      <c r="E1595" s="1" t="str">
        <f>"1800000777"</f>
        <v>1800000777</v>
      </c>
      <c r="F1595" s="1" t="str">
        <f>"فيبر و فنر13"</f>
        <v>فيبر و فنر13</v>
      </c>
      <c r="G1595" s="1" t="str">
        <f>"عدد"</f>
        <v>عدد</v>
      </c>
      <c r="H1595" s="1">
        <v>0</v>
      </c>
      <c r="I1595" s="1">
        <v>0</v>
      </c>
      <c r="J1595" s="1">
        <v>2</v>
      </c>
      <c r="K1595" s="1">
        <v>200000</v>
      </c>
      <c r="L1595" s="1">
        <v>1</v>
      </c>
      <c r="M1595" s="1">
        <v>100000</v>
      </c>
      <c r="O1595" s="1">
        <v>97</v>
      </c>
      <c r="P1595" s="4">
        <f t="shared" si="72"/>
        <v>100000</v>
      </c>
      <c r="Q1595" s="4">
        <f t="shared" si="73"/>
        <v>1</v>
      </c>
      <c r="R1595" s="4">
        <f t="shared" si="74"/>
        <v>100000</v>
      </c>
    </row>
    <row r="1596" spans="1:18">
      <c r="A1596" s="1">
        <v>2</v>
      </c>
      <c r="B1596" s="1" t="str">
        <f>"قطعات و لوازم يدكي"</f>
        <v>قطعات و لوازم يدكي</v>
      </c>
      <c r="C1596" s="1">
        <v>205</v>
      </c>
      <c r="D1596" s="1" t="str">
        <f>"انبار قطعات و لوازم يدكي بندرعباس"</f>
        <v>انبار قطعات و لوازم يدكي بندرعباس</v>
      </c>
      <c r="E1596" s="1" t="str">
        <f>"1800000786"</f>
        <v>1800000786</v>
      </c>
      <c r="F1596" s="1" t="str">
        <f>"ضد يخ و ضدجوش بهران"</f>
        <v>ضد يخ و ضدجوش بهران</v>
      </c>
      <c r="G1596" s="1" t="str">
        <f>"ليتر"</f>
        <v>ليتر</v>
      </c>
      <c r="H1596" s="1">
        <v>0</v>
      </c>
      <c r="I1596" s="1">
        <v>0</v>
      </c>
      <c r="J1596" s="1">
        <v>20</v>
      </c>
      <c r="K1596" s="1">
        <v>3400000</v>
      </c>
      <c r="L1596" s="1">
        <v>0</v>
      </c>
      <c r="M1596" s="1">
        <v>0</v>
      </c>
      <c r="O1596" s="1">
        <v>97</v>
      </c>
      <c r="P1596" s="4">
        <f t="shared" si="72"/>
        <v>3400000</v>
      </c>
      <c r="Q1596" s="4">
        <f t="shared" si="73"/>
        <v>20</v>
      </c>
      <c r="R1596" s="4">
        <f t="shared" si="74"/>
        <v>170000</v>
      </c>
    </row>
    <row r="1597" spans="1:18">
      <c r="A1597" s="1">
        <v>2</v>
      </c>
      <c r="B1597" s="1" t="str">
        <f>"قطعات و لوازم يدكي"</f>
        <v>قطعات و لوازم يدكي</v>
      </c>
      <c r="C1597" s="1">
        <v>205</v>
      </c>
      <c r="D1597" s="1" t="str">
        <f>"انبار قطعات و لوازم يدكي بندرعباس"</f>
        <v>انبار قطعات و لوازم يدكي بندرعباس</v>
      </c>
      <c r="E1597" s="1" t="str">
        <f>"1800000796"</f>
        <v>1800000796</v>
      </c>
      <c r="F1597" s="1" t="str">
        <f>"سه راه ساده 16"</f>
        <v>سه راه ساده 16</v>
      </c>
      <c r="G1597" s="1" t="str">
        <f>"عدد"</f>
        <v>عدد</v>
      </c>
      <c r="H1597" s="1">
        <v>0</v>
      </c>
      <c r="I1597" s="1">
        <v>0</v>
      </c>
      <c r="J1597" s="1">
        <v>20</v>
      </c>
      <c r="K1597" s="1">
        <v>30000</v>
      </c>
      <c r="L1597" s="1">
        <v>1</v>
      </c>
      <c r="M1597" s="1">
        <v>1500</v>
      </c>
      <c r="O1597" s="1">
        <v>97</v>
      </c>
      <c r="P1597" s="4">
        <f t="shared" si="72"/>
        <v>28500</v>
      </c>
      <c r="Q1597" s="4">
        <f t="shared" si="73"/>
        <v>19</v>
      </c>
      <c r="R1597" s="4">
        <f t="shared" si="74"/>
        <v>1500</v>
      </c>
    </row>
    <row r="1598" spans="1:18">
      <c r="A1598" s="1">
        <v>2</v>
      </c>
      <c r="B1598" s="1" t="str">
        <f>"قطعات و لوازم يدكي"</f>
        <v>قطعات و لوازم يدكي</v>
      </c>
      <c r="C1598" s="1">
        <v>205</v>
      </c>
      <c r="D1598" s="1" t="str">
        <f>"انبار قطعات و لوازم يدكي بندرعباس"</f>
        <v>انبار قطعات و لوازم يدكي بندرعباس</v>
      </c>
      <c r="E1598" s="1" t="str">
        <f>"1800000888"</f>
        <v>1800000888</v>
      </c>
      <c r="F1598" s="1" t="s">
        <v>108</v>
      </c>
      <c r="G1598" s="1" t="str">
        <f>"ST"</f>
        <v>ST</v>
      </c>
      <c r="H1598" s="1">
        <v>0</v>
      </c>
      <c r="I1598" s="1">
        <v>0</v>
      </c>
      <c r="J1598" s="1">
        <v>3</v>
      </c>
      <c r="K1598" s="1">
        <v>1482000</v>
      </c>
      <c r="L1598" s="1">
        <v>0</v>
      </c>
      <c r="M1598" s="1">
        <v>0</v>
      </c>
      <c r="O1598" s="1">
        <v>97</v>
      </c>
      <c r="P1598" s="4">
        <f t="shared" si="72"/>
        <v>1482000</v>
      </c>
      <c r="Q1598" s="4">
        <f t="shared" si="73"/>
        <v>3</v>
      </c>
      <c r="R1598" s="4">
        <f t="shared" si="74"/>
        <v>494000</v>
      </c>
    </row>
    <row r="1599" spans="1:18">
      <c r="A1599" s="1">
        <v>2</v>
      </c>
      <c r="B1599" s="1" t="str">
        <f>"قطعات و لوازم يدكي"</f>
        <v>قطعات و لوازم يدكي</v>
      </c>
      <c r="C1599" s="1">
        <v>205</v>
      </c>
      <c r="D1599" s="1" t="str">
        <f>"انبار قطعات و لوازم يدكي بندرعباس"</f>
        <v>انبار قطعات و لوازم يدكي بندرعباس</v>
      </c>
      <c r="E1599" s="1" t="str">
        <f>"1800000944"</f>
        <v>1800000944</v>
      </c>
      <c r="F1599" s="1" t="str">
        <f>"فلاکسيبل حصيري استيل"</f>
        <v>فلاکسيبل حصيري استيل</v>
      </c>
      <c r="G1599" s="1" t="str">
        <f>"عدد"</f>
        <v>عدد</v>
      </c>
      <c r="H1599" s="1">
        <v>0</v>
      </c>
      <c r="I1599" s="1">
        <v>0</v>
      </c>
      <c r="J1599" s="1">
        <v>10</v>
      </c>
      <c r="K1599" s="1">
        <v>16200000</v>
      </c>
      <c r="L1599" s="1">
        <v>8</v>
      </c>
      <c r="M1599" s="1">
        <v>12960000</v>
      </c>
      <c r="O1599" s="1">
        <v>97</v>
      </c>
      <c r="P1599" s="4">
        <f t="shared" si="72"/>
        <v>3240000</v>
      </c>
      <c r="Q1599" s="4">
        <f t="shared" si="73"/>
        <v>2</v>
      </c>
      <c r="R1599" s="4">
        <f t="shared" si="74"/>
        <v>1620000</v>
      </c>
    </row>
    <row r="1600" spans="1:18" hidden="1">
      <c r="A1600" s="1">
        <v>2</v>
      </c>
      <c r="B1600" s="1" t="str">
        <f>"قطعات و لوازم يدكي"</f>
        <v>قطعات و لوازم يدكي</v>
      </c>
      <c r="C1600" s="1">
        <v>205</v>
      </c>
      <c r="D1600" s="1" t="str">
        <f>"انبار قطعات و لوازم يدكي بندرعباس"</f>
        <v>انبار قطعات و لوازم يدكي بندرعباس</v>
      </c>
      <c r="E1600" s="1" t="str">
        <f>"1800000945"</f>
        <v>1800000945</v>
      </c>
      <c r="F1600" s="1" t="str">
        <f>"مهره 1/2"</f>
        <v>مهره 1/2</v>
      </c>
      <c r="G1600" s="1" t="str">
        <f>"عدد"</f>
        <v>عدد</v>
      </c>
      <c r="H1600" s="1">
        <v>0</v>
      </c>
      <c r="I1600" s="1">
        <v>0</v>
      </c>
      <c r="J1600" s="1">
        <v>10</v>
      </c>
      <c r="K1600" s="1">
        <v>35000</v>
      </c>
      <c r="L1600" s="1">
        <v>10</v>
      </c>
      <c r="M1600" s="1">
        <v>35000</v>
      </c>
      <c r="O1600" s="1">
        <v>97</v>
      </c>
      <c r="P1600" s="1">
        <f t="shared" si="72"/>
        <v>0</v>
      </c>
      <c r="Q1600" s="1">
        <f t="shared" si="73"/>
        <v>0</v>
      </c>
      <c r="R1600" s="1" t="e">
        <f t="shared" si="74"/>
        <v>#DIV/0!</v>
      </c>
    </row>
    <row r="1601" spans="1:18">
      <c r="A1601" s="1">
        <v>2</v>
      </c>
      <c r="B1601" s="1" t="str">
        <f>"قطعات و لوازم يدكي"</f>
        <v>قطعات و لوازم يدكي</v>
      </c>
      <c r="C1601" s="1">
        <v>205</v>
      </c>
      <c r="D1601" s="1" t="str">
        <f>"انبار قطعات و لوازم يدكي بندرعباس"</f>
        <v>انبار قطعات و لوازم يدكي بندرعباس</v>
      </c>
      <c r="E1601" s="1" t="str">
        <f>"6801010082"</f>
        <v>6801010082</v>
      </c>
      <c r="F1601" s="1" t="str">
        <f>"کابلشو 6-6 KL"</f>
        <v>کابلشو 6-6 KL</v>
      </c>
      <c r="G1601" s="1" t="str">
        <f>"عدد"</f>
        <v>عدد</v>
      </c>
      <c r="H1601" s="1">
        <v>0</v>
      </c>
      <c r="I1601" s="1">
        <v>0</v>
      </c>
      <c r="J1601" s="1">
        <v>20</v>
      </c>
      <c r="K1601" s="1">
        <v>150000</v>
      </c>
      <c r="L1601" s="1">
        <v>7</v>
      </c>
      <c r="M1601" s="1">
        <v>52500</v>
      </c>
      <c r="O1601" s="1">
        <v>97</v>
      </c>
      <c r="P1601" s="4">
        <f t="shared" si="72"/>
        <v>97500</v>
      </c>
      <c r="Q1601" s="4">
        <f t="shared" si="73"/>
        <v>13</v>
      </c>
      <c r="R1601" s="4">
        <f t="shared" si="74"/>
        <v>7500</v>
      </c>
    </row>
    <row r="1602" spans="1:18">
      <c r="A1602" s="1">
        <v>2</v>
      </c>
      <c r="B1602" s="1" t="str">
        <f>"قطعات و لوازم يدكي"</f>
        <v>قطعات و لوازم يدكي</v>
      </c>
      <c r="C1602" s="1">
        <v>205</v>
      </c>
      <c r="D1602" s="1" t="str">
        <f>"انبار قطعات و لوازم يدكي بندرعباس"</f>
        <v>انبار قطعات و لوازم يدكي بندرعباس</v>
      </c>
      <c r="E1602" s="1" t="str">
        <f>"8138612142"</f>
        <v>8138612142</v>
      </c>
      <c r="F1602" s="1" t="str">
        <f>"پيچ نگهدارنده 1/2 اينچ 80mm"</f>
        <v>پيچ نگهدارنده 1/2 اينچ 80mm</v>
      </c>
      <c r="G1602" s="1" t="str">
        <f>"عدد"</f>
        <v>عدد</v>
      </c>
      <c r="H1602" s="1">
        <v>0</v>
      </c>
      <c r="I1602" s="1">
        <v>0</v>
      </c>
      <c r="J1602" s="1">
        <v>10</v>
      </c>
      <c r="K1602" s="1">
        <v>220000</v>
      </c>
      <c r="L1602" s="1">
        <v>0</v>
      </c>
      <c r="M1602" s="1">
        <v>0</v>
      </c>
      <c r="O1602" s="1">
        <v>97</v>
      </c>
      <c r="P1602" s="4">
        <f t="shared" si="72"/>
        <v>220000</v>
      </c>
      <c r="Q1602" s="4">
        <f t="shared" si="73"/>
        <v>10</v>
      </c>
      <c r="R1602" s="4">
        <f t="shared" si="74"/>
        <v>22000</v>
      </c>
    </row>
    <row r="1603" spans="1:18" hidden="1">
      <c r="A1603" s="1">
        <v>5</v>
      </c>
      <c r="B1603" s="1" t="str">
        <f>"مواداوليه (وکيوم باتوم)"</f>
        <v>مواداوليه (وکيوم باتوم)</v>
      </c>
      <c r="C1603" s="1">
        <v>121</v>
      </c>
      <c r="D1603" s="1" t="str">
        <f>"انبار مواد اوليه بندرعباس(مخازن ملي پخش- هرمزگان)"</f>
        <v>انبار مواد اوليه بندرعباس(مخازن ملي پخش- هرمزگان)</v>
      </c>
      <c r="E1603" s="1" t="str">
        <f>"1000000025"</f>
        <v>1000000025</v>
      </c>
      <c r="F1603" s="1" t="str">
        <f>"وكيوم باتوم"</f>
        <v>وكيوم باتوم</v>
      </c>
      <c r="G1603" s="1" t="str">
        <f>"كيلوگرم"</f>
        <v>كيلوگرم</v>
      </c>
      <c r="H1603" s="1">
        <v>0</v>
      </c>
      <c r="I1603" s="1">
        <v>0</v>
      </c>
      <c r="J1603" s="1">
        <v>41424997</v>
      </c>
      <c r="K1603" s="1">
        <v>1026543921544</v>
      </c>
      <c r="L1603" s="1">
        <v>41424997</v>
      </c>
      <c r="M1603" s="1">
        <v>1026543921544</v>
      </c>
      <c r="O1603" s="1">
        <v>97</v>
      </c>
      <c r="P1603" s="1">
        <f t="shared" ref="P1603:P1666" si="75">I1603+K1603-M1603</f>
        <v>0</v>
      </c>
      <c r="Q1603" s="1">
        <f t="shared" ref="Q1603:Q1666" si="76">H1603+J1603-L1603</f>
        <v>0</v>
      </c>
      <c r="R1603" s="1" t="e">
        <f t="shared" ref="R1603:R1666" si="77">P1603/Q1603</f>
        <v>#DIV/0!</v>
      </c>
    </row>
    <row r="1604" spans="1:18">
      <c r="A1604" s="1">
        <v>6</v>
      </c>
      <c r="B1604" s="1" t="str">
        <f>"موجودي ملزومات اداري"</f>
        <v>موجودي ملزومات اداري</v>
      </c>
      <c r="C1604" s="1">
        <v>110</v>
      </c>
      <c r="D1604" s="1" t="str">
        <f>"ملزومات اداري اصفهان"</f>
        <v>ملزومات اداري اصفهان</v>
      </c>
      <c r="E1604" s="1" t="str">
        <f>"0000011082"</f>
        <v>0000011082</v>
      </c>
      <c r="F1604" s="1" t="str">
        <f>"ماژيك معمولي"</f>
        <v>ماژيك معمولي</v>
      </c>
      <c r="G1604" s="1" t="str">
        <f>"عدد"</f>
        <v>عدد</v>
      </c>
      <c r="H1604" s="1">
        <v>35</v>
      </c>
      <c r="I1604" s="1">
        <v>523627</v>
      </c>
      <c r="J1604" s="1">
        <v>60</v>
      </c>
      <c r="K1604" s="1">
        <v>1440000</v>
      </c>
      <c r="L1604" s="1">
        <v>93</v>
      </c>
      <c r="M1604" s="1">
        <v>1920637</v>
      </c>
      <c r="O1604" s="1">
        <v>97</v>
      </c>
      <c r="P1604" s="4">
        <f t="shared" si="75"/>
        <v>42990</v>
      </c>
      <c r="Q1604" s="4">
        <f t="shared" si="76"/>
        <v>2</v>
      </c>
      <c r="R1604" s="4">
        <f t="shared" si="77"/>
        <v>21495</v>
      </c>
    </row>
    <row r="1605" spans="1:18">
      <c r="A1605" s="1">
        <v>6</v>
      </c>
      <c r="B1605" s="1" t="str">
        <f>"موجودي ملزومات اداري"</f>
        <v>موجودي ملزومات اداري</v>
      </c>
      <c r="C1605" s="1">
        <v>110</v>
      </c>
      <c r="D1605" s="1" t="str">
        <f>"ملزومات اداري اصفهان"</f>
        <v>ملزومات اداري اصفهان</v>
      </c>
      <c r="E1605" s="1" t="str">
        <f>"0000011532"</f>
        <v>0000011532</v>
      </c>
      <c r="F1605" s="1" t="str">
        <f>"چسب کاغذي 2/5 سانتي"</f>
        <v>چسب کاغذي 2/5 سانتي</v>
      </c>
      <c r="G1605" s="1" t="str">
        <f>"عدد"</f>
        <v>عدد</v>
      </c>
      <c r="H1605" s="1">
        <v>5</v>
      </c>
      <c r="I1605" s="1">
        <v>100000</v>
      </c>
      <c r="J1605" s="1">
        <v>0</v>
      </c>
      <c r="K1605" s="1">
        <v>0</v>
      </c>
      <c r="L1605" s="1">
        <v>0</v>
      </c>
      <c r="M1605" s="1">
        <v>0</v>
      </c>
      <c r="O1605" s="1">
        <v>97</v>
      </c>
      <c r="P1605" s="4">
        <f t="shared" si="75"/>
        <v>100000</v>
      </c>
      <c r="Q1605" s="4">
        <f t="shared" si="76"/>
        <v>5</v>
      </c>
      <c r="R1605" s="4">
        <f t="shared" si="77"/>
        <v>20000</v>
      </c>
    </row>
    <row r="1606" spans="1:18">
      <c r="A1606" s="1">
        <v>6</v>
      </c>
      <c r="B1606" s="1" t="str">
        <f>"موجودي ملزومات اداري"</f>
        <v>موجودي ملزومات اداري</v>
      </c>
      <c r="C1606" s="1">
        <v>110</v>
      </c>
      <c r="D1606" s="1" t="str">
        <f>"ملزومات اداري اصفهان"</f>
        <v>ملزومات اداري اصفهان</v>
      </c>
      <c r="E1606" s="1" t="str">
        <f>"0000011592"</f>
        <v>0000011592</v>
      </c>
      <c r="F1606" s="1" t="str">
        <f>"كليپس كاغذ"</f>
        <v>كليپس كاغذ</v>
      </c>
      <c r="G1606" s="1" t="str">
        <f>"عدد"</f>
        <v>عدد</v>
      </c>
      <c r="H1606" s="1">
        <v>374</v>
      </c>
      <c r="I1606" s="1">
        <v>3052060</v>
      </c>
      <c r="J1606" s="1">
        <v>0</v>
      </c>
      <c r="K1606" s="1">
        <v>0</v>
      </c>
      <c r="L1606" s="1">
        <v>33</v>
      </c>
      <c r="M1606" s="1">
        <v>269302</v>
      </c>
      <c r="O1606" s="1">
        <v>97</v>
      </c>
      <c r="P1606" s="4">
        <f t="shared" si="75"/>
        <v>2782758</v>
      </c>
      <c r="Q1606" s="4">
        <f t="shared" si="76"/>
        <v>341</v>
      </c>
      <c r="R1606" s="4">
        <f t="shared" si="77"/>
        <v>8160.5806451612907</v>
      </c>
    </row>
    <row r="1607" spans="1:18">
      <c r="A1607" s="1">
        <v>6</v>
      </c>
      <c r="B1607" s="1" t="str">
        <f>"موجودي ملزومات اداري"</f>
        <v>موجودي ملزومات اداري</v>
      </c>
      <c r="C1607" s="1">
        <v>110</v>
      </c>
      <c r="D1607" s="1" t="str">
        <f>"ملزومات اداري اصفهان"</f>
        <v>ملزومات اداري اصفهان</v>
      </c>
      <c r="E1607" s="1" t="str">
        <f>"0000011642"</f>
        <v>0000011642</v>
      </c>
      <c r="F1607" s="1" t="str">
        <f>"پايه تقويم"</f>
        <v>پايه تقويم</v>
      </c>
      <c r="G1607" s="1" t="str">
        <f>"عدد"</f>
        <v>عدد</v>
      </c>
      <c r="H1607" s="1">
        <v>4</v>
      </c>
      <c r="I1607" s="1">
        <v>520000</v>
      </c>
      <c r="J1607" s="1">
        <v>0</v>
      </c>
      <c r="K1607" s="1">
        <v>0</v>
      </c>
      <c r="L1607" s="1">
        <v>1</v>
      </c>
      <c r="M1607" s="1">
        <v>130000</v>
      </c>
      <c r="O1607" s="1">
        <v>97</v>
      </c>
      <c r="P1607" s="4">
        <f t="shared" si="75"/>
        <v>390000</v>
      </c>
      <c r="Q1607" s="4">
        <f t="shared" si="76"/>
        <v>3</v>
      </c>
      <c r="R1607" s="4">
        <f t="shared" si="77"/>
        <v>130000</v>
      </c>
    </row>
    <row r="1608" spans="1:18">
      <c r="A1608" s="1">
        <v>2</v>
      </c>
      <c r="B1608" s="1" t="str">
        <f>"قطعات و لوازم يدكي"</f>
        <v>قطعات و لوازم يدكي</v>
      </c>
      <c r="C1608" s="1">
        <v>205</v>
      </c>
      <c r="D1608" s="1" t="str">
        <f>"انبار قطعات و لوازم يدكي بندرعباس"</f>
        <v>انبار قطعات و لوازم يدكي بندرعباس</v>
      </c>
      <c r="E1608" s="1" t="str">
        <f>"1800000570"</f>
        <v>1800000570</v>
      </c>
      <c r="F1608" s="1" t="str">
        <f>"گسکت فلزي 2"</f>
        <v>گسکت فلزي 2</v>
      </c>
      <c r="G1608" s="1" t="str">
        <f>"عدد"</f>
        <v>عدد</v>
      </c>
      <c r="H1608" s="1">
        <v>225</v>
      </c>
      <c r="I1608" s="1">
        <v>26550000</v>
      </c>
      <c r="J1608" s="1">
        <v>0</v>
      </c>
      <c r="K1608" s="1">
        <v>0</v>
      </c>
      <c r="L1608" s="1">
        <v>10</v>
      </c>
      <c r="M1608" s="1">
        <v>1180000</v>
      </c>
      <c r="O1608" s="1">
        <v>97</v>
      </c>
      <c r="P1608" s="4">
        <f t="shared" si="75"/>
        <v>25370000</v>
      </c>
      <c r="Q1608" s="4">
        <f t="shared" si="76"/>
        <v>215</v>
      </c>
      <c r="R1608" s="4">
        <f t="shared" si="77"/>
        <v>118000</v>
      </c>
    </row>
    <row r="1609" spans="1:18">
      <c r="A1609" s="1">
        <v>2</v>
      </c>
      <c r="B1609" s="1" t="str">
        <f>"قطعات و لوازم يدكي"</f>
        <v>قطعات و لوازم يدكي</v>
      </c>
      <c r="C1609" s="1">
        <v>205</v>
      </c>
      <c r="D1609" s="1" t="str">
        <f>"انبار قطعات و لوازم يدكي بندرعباس"</f>
        <v>انبار قطعات و لوازم يدكي بندرعباس</v>
      </c>
      <c r="E1609" s="1" t="str">
        <f>"1800000576"</f>
        <v>1800000576</v>
      </c>
      <c r="F1609" s="1" t="str">
        <f>"گسکت فلزي 6"</f>
        <v>گسکت فلزي 6</v>
      </c>
      <c r="G1609" s="1" t="str">
        <f>"عدد"</f>
        <v>عدد</v>
      </c>
      <c r="H1609" s="1">
        <v>83</v>
      </c>
      <c r="I1609" s="1">
        <v>25066000</v>
      </c>
      <c r="J1609" s="1">
        <v>0</v>
      </c>
      <c r="K1609" s="1">
        <v>0</v>
      </c>
      <c r="L1609" s="1">
        <v>10</v>
      </c>
      <c r="M1609" s="1">
        <v>3020000</v>
      </c>
      <c r="O1609" s="1">
        <v>97</v>
      </c>
      <c r="P1609" s="4">
        <f t="shared" si="75"/>
        <v>22046000</v>
      </c>
      <c r="Q1609" s="4">
        <f t="shared" si="76"/>
        <v>73</v>
      </c>
      <c r="R1609" s="4">
        <f t="shared" si="77"/>
        <v>302000</v>
      </c>
    </row>
    <row r="1610" spans="1:18">
      <c r="A1610" s="1">
        <v>2</v>
      </c>
      <c r="B1610" s="1" t="str">
        <f>"قطعات و لوازم يدكي"</f>
        <v>قطعات و لوازم يدكي</v>
      </c>
      <c r="C1610" s="1">
        <v>205</v>
      </c>
      <c r="D1610" s="1" t="str">
        <f>"انبار قطعات و لوازم يدكي بندرعباس"</f>
        <v>انبار قطعات و لوازم يدكي بندرعباس</v>
      </c>
      <c r="E1610" s="1" t="str">
        <f>"1800000584"</f>
        <v>1800000584</v>
      </c>
      <c r="F1610" s="1" t="str">
        <f>"گسکت کاغذي 8"</f>
        <v>گسکت کاغذي 8</v>
      </c>
      <c r="G1610" s="1" t="str">
        <f>"عدد"</f>
        <v>عدد</v>
      </c>
      <c r="H1610" s="1">
        <v>20</v>
      </c>
      <c r="I1610" s="1">
        <v>10800000</v>
      </c>
      <c r="J1610" s="1">
        <v>0</v>
      </c>
      <c r="K1610" s="1">
        <v>0</v>
      </c>
      <c r="L1610" s="1">
        <v>1</v>
      </c>
      <c r="M1610" s="1">
        <v>540000</v>
      </c>
      <c r="O1610" s="1">
        <v>97</v>
      </c>
      <c r="P1610" s="4">
        <f t="shared" si="75"/>
        <v>10260000</v>
      </c>
      <c r="Q1610" s="4">
        <f t="shared" si="76"/>
        <v>19</v>
      </c>
      <c r="R1610" s="4">
        <f t="shared" si="77"/>
        <v>540000</v>
      </c>
    </row>
    <row r="1611" spans="1:18">
      <c r="A1611" s="1">
        <v>2</v>
      </c>
      <c r="B1611" s="1" t="str">
        <f>"قطعات و لوازم يدكي"</f>
        <v>قطعات و لوازم يدكي</v>
      </c>
      <c r="C1611" s="1">
        <v>205</v>
      </c>
      <c r="D1611" s="1" t="str">
        <f>"انبار قطعات و لوازم يدكي بندرعباس"</f>
        <v>انبار قطعات و لوازم يدكي بندرعباس</v>
      </c>
      <c r="E1611" s="1" t="str">
        <f>"1800000595"</f>
        <v>1800000595</v>
      </c>
      <c r="F1611" s="1" t="str">
        <f>"گلند دوپيچ فلزي 16"</f>
        <v>گلند دوپيچ فلزي 16</v>
      </c>
      <c r="G1611" s="1" t="str">
        <f>"عدد"</f>
        <v>عدد</v>
      </c>
      <c r="H1611" s="1">
        <v>8</v>
      </c>
      <c r="I1611" s="1">
        <v>1360000</v>
      </c>
      <c r="J1611" s="1">
        <v>0</v>
      </c>
      <c r="K1611" s="1">
        <v>0</v>
      </c>
      <c r="L1611" s="1">
        <v>5</v>
      </c>
      <c r="M1611" s="1">
        <v>850000</v>
      </c>
      <c r="O1611" s="1">
        <v>97</v>
      </c>
      <c r="P1611" s="4">
        <f t="shared" si="75"/>
        <v>510000</v>
      </c>
      <c r="Q1611" s="4">
        <f t="shared" si="76"/>
        <v>3</v>
      </c>
      <c r="R1611" s="4">
        <f t="shared" si="77"/>
        <v>170000</v>
      </c>
    </row>
    <row r="1612" spans="1:18">
      <c r="A1612" s="1">
        <v>2</v>
      </c>
      <c r="B1612" s="1" t="str">
        <f>"قطعات و لوازم يدكي"</f>
        <v>قطعات و لوازم يدكي</v>
      </c>
      <c r="C1612" s="1">
        <v>205</v>
      </c>
      <c r="D1612" s="1" t="str">
        <f>"انبار قطعات و لوازم يدكي بندرعباس"</f>
        <v>انبار قطعات و لوازم يدكي بندرعباس</v>
      </c>
      <c r="E1612" s="1" t="str">
        <f>"1800000599"</f>
        <v>1800000599</v>
      </c>
      <c r="F1612" s="1" t="str">
        <f>"گلند فلزي باهيت شيرينگ 50"</f>
        <v>گلند فلزي باهيت شيرينگ 50</v>
      </c>
      <c r="G1612" s="1" t="str">
        <f>"عدد"</f>
        <v>عدد</v>
      </c>
      <c r="H1612" s="1">
        <v>9</v>
      </c>
      <c r="I1612" s="1">
        <v>9000000</v>
      </c>
      <c r="J1612" s="1">
        <v>0</v>
      </c>
      <c r="K1612" s="1">
        <v>0</v>
      </c>
      <c r="L1612" s="1">
        <v>2</v>
      </c>
      <c r="M1612" s="1">
        <v>2000000</v>
      </c>
      <c r="O1612" s="1">
        <v>97</v>
      </c>
      <c r="P1612" s="4">
        <f t="shared" si="75"/>
        <v>7000000</v>
      </c>
      <c r="Q1612" s="4">
        <f t="shared" si="76"/>
        <v>7</v>
      </c>
      <c r="R1612" s="4">
        <f t="shared" si="77"/>
        <v>1000000</v>
      </c>
    </row>
    <row r="1613" spans="1:18">
      <c r="A1613" s="1">
        <v>2</v>
      </c>
      <c r="B1613" s="1" t="str">
        <f>"قطعات و لوازم يدكي"</f>
        <v>قطعات و لوازم يدكي</v>
      </c>
      <c r="C1613" s="1">
        <v>205</v>
      </c>
      <c r="D1613" s="1" t="str">
        <f>"انبار قطعات و لوازم يدكي بندرعباس"</f>
        <v>انبار قطعات و لوازم يدكي بندرعباس</v>
      </c>
      <c r="E1613" s="1" t="str">
        <f>"1800000602"</f>
        <v>1800000602</v>
      </c>
      <c r="F1613" s="1" t="str">
        <f>"گلند کابل شارک 50"</f>
        <v>گلند کابل شارک 50</v>
      </c>
      <c r="G1613" s="1" t="str">
        <f>"عدد"</f>
        <v>عدد</v>
      </c>
      <c r="H1613" s="1">
        <v>10</v>
      </c>
      <c r="I1613" s="1">
        <v>200000</v>
      </c>
      <c r="J1613" s="1">
        <v>0</v>
      </c>
      <c r="K1613" s="1">
        <v>0</v>
      </c>
      <c r="L1613" s="1">
        <v>0</v>
      </c>
      <c r="M1613" s="1">
        <v>0</v>
      </c>
      <c r="O1613" s="1">
        <v>97</v>
      </c>
      <c r="P1613" s="4">
        <f t="shared" si="75"/>
        <v>200000</v>
      </c>
      <c r="Q1613" s="4">
        <f t="shared" si="76"/>
        <v>10</v>
      </c>
      <c r="R1613" s="4">
        <f t="shared" si="77"/>
        <v>20000</v>
      </c>
    </row>
    <row r="1614" spans="1:18">
      <c r="A1614" s="1">
        <v>2</v>
      </c>
      <c r="B1614" s="1" t="str">
        <f>"قطعات و لوازم يدكي"</f>
        <v>قطعات و لوازم يدكي</v>
      </c>
      <c r="C1614" s="1">
        <v>205</v>
      </c>
      <c r="D1614" s="1" t="str">
        <f>"انبار قطعات و لوازم يدكي بندرعباس"</f>
        <v>انبار قطعات و لوازم يدكي بندرعباس</v>
      </c>
      <c r="E1614" s="1" t="str">
        <f>"1800000610"</f>
        <v>1800000610</v>
      </c>
      <c r="F1614" s="1" t="str">
        <f>"لاستيک پيک 37"</f>
        <v>لاستيک پيک 37</v>
      </c>
      <c r="G1614" s="1" t="str">
        <f>"عدد"</f>
        <v>عدد</v>
      </c>
      <c r="H1614" s="1">
        <v>5</v>
      </c>
      <c r="I1614" s="1">
        <v>10000000</v>
      </c>
      <c r="J1614" s="1">
        <v>0</v>
      </c>
      <c r="K1614" s="1">
        <v>0</v>
      </c>
      <c r="L1614" s="1">
        <v>4</v>
      </c>
      <c r="M1614" s="1">
        <v>8000000</v>
      </c>
      <c r="O1614" s="1">
        <v>97</v>
      </c>
      <c r="P1614" s="4">
        <f t="shared" si="75"/>
        <v>2000000</v>
      </c>
      <c r="Q1614" s="4">
        <f t="shared" si="76"/>
        <v>1</v>
      </c>
      <c r="R1614" s="4">
        <f t="shared" si="77"/>
        <v>2000000</v>
      </c>
    </row>
    <row r="1615" spans="1:18">
      <c r="A1615" s="1">
        <v>2</v>
      </c>
      <c r="B1615" s="1" t="str">
        <f>"قطعات و لوازم يدكي"</f>
        <v>قطعات و لوازم يدكي</v>
      </c>
      <c r="C1615" s="1">
        <v>205</v>
      </c>
      <c r="D1615" s="1" t="str">
        <f>"انبار قطعات و لوازم يدكي بندرعباس"</f>
        <v>انبار قطعات و لوازم يدكي بندرعباس</v>
      </c>
      <c r="E1615" s="1" t="str">
        <f>"1800000623"</f>
        <v>1800000623</v>
      </c>
      <c r="F1615" s="1" t="str">
        <f>"لوله 2"</f>
        <v>لوله 2</v>
      </c>
      <c r="G1615" s="1" t="str">
        <f>"متر"</f>
        <v>متر</v>
      </c>
      <c r="H1615" s="1">
        <v>4662</v>
      </c>
      <c r="I1615" s="1">
        <v>913835916</v>
      </c>
      <c r="J1615" s="1">
        <v>0</v>
      </c>
      <c r="K1615" s="1">
        <v>0</v>
      </c>
      <c r="L1615" s="1">
        <v>2018</v>
      </c>
      <c r="M1615" s="1">
        <v>395564324</v>
      </c>
      <c r="O1615" s="1">
        <v>97</v>
      </c>
      <c r="P1615" s="4">
        <f t="shared" si="75"/>
        <v>518271592</v>
      </c>
      <c r="Q1615" s="4">
        <f t="shared" si="76"/>
        <v>2644</v>
      </c>
      <c r="R1615" s="4">
        <f t="shared" si="77"/>
        <v>196018</v>
      </c>
    </row>
    <row r="1616" spans="1:18">
      <c r="A1616" s="1">
        <v>2</v>
      </c>
      <c r="B1616" s="1" t="str">
        <f>"قطعات و لوازم يدكي"</f>
        <v>قطعات و لوازم يدكي</v>
      </c>
      <c r="C1616" s="1">
        <v>205</v>
      </c>
      <c r="D1616" s="1" t="str">
        <f>"انبار قطعات و لوازم يدكي بندرعباس"</f>
        <v>انبار قطعات و لوازم يدكي بندرعباس</v>
      </c>
      <c r="E1616" s="1" t="str">
        <f>"1800000626"</f>
        <v>1800000626</v>
      </c>
      <c r="F1616" s="1" t="str">
        <f>"لوله 4"</f>
        <v>لوله 4</v>
      </c>
      <c r="G1616" s="1" t="str">
        <f>"متر"</f>
        <v>متر</v>
      </c>
      <c r="H1616" s="1">
        <v>84</v>
      </c>
      <c r="I1616" s="1">
        <v>43764000</v>
      </c>
      <c r="J1616" s="1">
        <v>0</v>
      </c>
      <c r="K1616" s="1">
        <v>0</v>
      </c>
      <c r="L1616" s="1">
        <v>0</v>
      </c>
      <c r="M1616" s="1">
        <v>0</v>
      </c>
      <c r="O1616" s="1">
        <v>97</v>
      </c>
      <c r="P1616" s="4">
        <f t="shared" si="75"/>
        <v>43764000</v>
      </c>
      <c r="Q1616" s="4">
        <f t="shared" si="76"/>
        <v>84</v>
      </c>
      <c r="R1616" s="4">
        <f t="shared" si="77"/>
        <v>521000</v>
      </c>
    </row>
    <row r="1617" spans="1:18">
      <c r="A1617" s="1">
        <v>2</v>
      </c>
      <c r="B1617" s="1" t="str">
        <f>"قطعات و لوازم يدكي"</f>
        <v>قطعات و لوازم يدكي</v>
      </c>
      <c r="C1617" s="1">
        <v>205</v>
      </c>
      <c r="D1617" s="1" t="str">
        <f>"انبار قطعات و لوازم يدكي بندرعباس"</f>
        <v>انبار قطعات و لوازم يدكي بندرعباس</v>
      </c>
      <c r="E1617" s="1" t="str">
        <f>"1800000630"</f>
        <v>1800000630</v>
      </c>
      <c r="F1617" s="1" t="str">
        <f>"لوله pvc 2"</f>
        <v>لوله pvc 2</v>
      </c>
      <c r="G1617" s="1" t="str">
        <f>"متر"</f>
        <v>متر</v>
      </c>
      <c r="H1617" s="1">
        <v>7</v>
      </c>
      <c r="I1617" s="1">
        <v>560000</v>
      </c>
      <c r="J1617" s="1">
        <v>0</v>
      </c>
      <c r="K1617" s="1">
        <v>0</v>
      </c>
      <c r="L1617" s="1">
        <v>0</v>
      </c>
      <c r="M1617" s="1">
        <v>0</v>
      </c>
      <c r="O1617" s="1">
        <v>97</v>
      </c>
      <c r="P1617" s="4">
        <f t="shared" si="75"/>
        <v>560000</v>
      </c>
      <c r="Q1617" s="4">
        <f t="shared" si="76"/>
        <v>7</v>
      </c>
      <c r="R1617" s="4">
        <f t="shared" si="77"/>
        <v>80000</v>
      </c>
    </row>
    <row r="1618" spans="1:18">
      <c r="A1618" s="1">
        <v>2</v>
      </c>
      <c r="B1618" s="1" t="str">
        <f>"قطعات و لوازم يدكي"</f>
        <v>قطعات و لوازم يدكي</v>
      </c>
      <c r="C1618" s="1">
        <v>205</v>
      </c>
      <c r="D1618" s="1" t="str">
        <f>"انبار قطعات و لوازم يدكي بندرعباس"</f>
        <v>انبار قطعات و لوازم يدكي بندرعباس</v>
      </c>
      <c r="E1618" s="1" t="str">
        <f>"1800000654"</f>
        <v>1800000654</v>
      </c>
      <c r="F1618" s="1" t="str">
        <f>"لوله واتصالات(دوسر زانو-75cm)"</f>
        <v>لوله واتصالات(دوسر زانو-75cm)</v>
      </c>
      <c r="G1618" s="1" t="str">
        <f>"سانتي متر"</f>
        <v>سانتي متر</v>
      </c>
      <c r="H1618" s="1">
        <v>1</v>
      </c>
      <c r="I1618" s="1">
        <v>1000000</v>
      </c>
      <c r="J1618" s="1">
        <v>0</v>
      </c>
      <c r="K1618" s="1">
        <v>0</v>
      </c>
      <c r="L1618" s="1">
        <v>0</v>
      </c>
      <c r="M1618" s="1">
        <v>0</v>
      </c>
      <c r="O1618" s="1">
        <v>97</v>
      </c>
      <c r="P1618" s="4">
        <f t="shared" si="75"/>
        <v>1000000</v>
      </c>
      <c r="Q1618" s="4">
        <f t="shared" si="76"/>
        <v>1</v>
      </c>
      <c r="R1618" s="4">
        <f t="shared" si="77"/>
        <v>1000000</v>
      </c>
    </row>
    <row r="1619" spans="1:18">
      <c r="A1619" s="1">
        <v>2</v>
      </c>
      <c r="B1619" s="1" t="str">
        <f>"قطعات و لوازم يدكي"</f>
        <v>قطعات و لوازم يدكي</v>
      </c>
      <c r="C1619" s="1">
        <v>205</v>
      </c>
      <c r="D1619" s="1" t="str">
        <f>"انبار قطعات و لوازم يدكي بندرعباس"</f>
        <v>انبار قطعات و لوازم يدكي بندرعباس</v>
      </c>
      <c r="E1619" s="1" t="str">
        <f>"1800000661"</f>
        <v>1800000661</v>
      </c>
      <c r="F1619" s="1" t="str">
        <f>"مغزي شير آب کوچک"</f>
        <v>مغزي شير آب کوچک</v>
      </c>
      <c r="G1619" s="1" t="str">
        <f>"عدد"</f>
        <v>عدد</v>
      </c>
      <c r="H1619" s="1">
        <v>5</v>
      </c>
      <c r="I1619" s="1">
        <v>50000</v>
      </c>
      <c r="J1619" s="1">
        <v>0</v>
      </c>
      <c r="K1619" s="1">
        <v>0</v>
      </c>
      <c r="L1619" s="1">
        <v>0</v>
      </c>
      <c r="M1619" s="1">
        <v>0</v>
      </c>
      <c r="O1619" s="1">
        <v>97</v>
      </c>
      <c r="P1619" s="4">
        <f t="shared" si="75"/>
        <v>50000</v>
      </c>
      <c r="Q1619" s="4">
        <f t="shared" si="76"/>
        <v>5</v>
      </c>
      <c r="R1619" s="4">
        <f t="shared" si="77"/>
        <v>10000</v>
      </c>
    </row>
    <row r="1620" spans="1:18">
      <c r="A1620" s="1">
        <v>2</v>
      </c>
      <c r="B1620" s="1" t="str">
        <f>"قطعات و لوازم يدكي"</f>
        <v>قطعات و لوازم يدكي</v>
      </c>
      <c r="C1620" s="1">
        <v>205</v>
      </c>
      <c r="D1620" s="1" t="str">
        <f>"انبار قطعات و لوازم يدكي بندرعباس"</f>
        <v>انبار قطعات و لوازم يدكي بندرعباس</v>
      </c>
      <c r="E1620" s="1" t="str">
        <f>"1800000665"</f>
        <v>1800000665</v>
      </c>
      <c r="F1620" s="1" t="str">
        <f>"مهره برنجي 1"</f>
        <v>مهره برنجي 1</v>
      </c>
      <c r="G1620" s="1" t="str">
        <f>"عدد"</f>
        <v>عدد</v>
      </c>
      <c r="H1620" s="1">
        <v>13</v>
      </c>
      <c r="I1620" s="1">
        <v>390000</v>
      </c>
      <c r="J1620" s="1">
        <v>0</v>
      </c>
      <c r="K1620" s="1">
        <v>0</v>
      </c>
      <c r="L1620" s="1">
        <v>0</v>
      </c>
      <c r="M1620" s="1">
        <v>0</v>
      </c>
      <c r="O1620" s="1">
        <v>97</v>
      </c>
      <c r="P1620" s="4">
        <f t="shared" si="75"/>
        <v>390000</v>
      </c>
      <c r="Q1620" s="4">
        <f t="shared" si="76"/>
        <v>13</v>
      </c>
      <c r="R1620" s="4">
        <f t="shared" si="77"/>
        <v>30000</v>
      </c>
    </row>
    <row r="1621" spans="1:18">
      <c r="A1621" s="1">
        <v>2</v>
      </c>
      <c r="B1621" s="1" t="str">
        <f>"قطعات و لوازم يدكي"</f>
        <v>قطعات و لوازم يدكي</v>
      </c>
      <c r="C1621" s="1">
        <v>205</v>
      </c>
      <c r="D1621" s="1" t="str">
        <f>"انبار قطعات و لوازم يدكي بندرعباس"</f>
        <v>انبار قطعات و لوازم يدكي بندرعباس</v>
      </c>
      <c r="E1621" s="1" t="str">
        <f>"1800000678"</f>
        <v>1800000678</v>
      </c>
      <c r="F1621" s="1" t="str">
        <f>"نوار پرايمر"</f>
        <v>نوار پرايمر</v>
      </c>
      <c r="G1621" s="1" t="str">
        <f>"عدد"</f>
        <v>عدد</v>
      </c>
      <c r="H1621" s="1">
        <v>9</v>
      </c>
      <c r="I1621" s="1">
        <v>450000</v>
      </c>
      <c r="J1621" s="1">
        <v>15</v>
      </c>
      <c r="K1621" s="1">
        <v>900000</v>
      </c>
      <c r="L1621" s="1">
        <v>15</v>
      </c>
      <c r="M1621" s="1">
        <v>820589</v>
      </c>
      <c r="O1621" s="1">
        <v>97</v>
      </c>
      <c r="P1621" s="4">
        <f t="shared" si="75"/>
        <v>529411</v>
      </c>
      <c r="Q1621" s="4">
        <f t="shared" si="76"/>
        <v>9</v>
      </c>
      <c r="R1621" s="4">
        <f t="shared" si="77"/>
        <v>58823.444444444445</v>
      </c>
    </row>
    <row r="1622" spans="1:18">
      <c r="A1622" s="1">
        <v>2</v>
      </c>
      <c r="B1622" s="1" t="str">
        <f>"قطعات و لوازم يدكي"</f>
        <v>قطعات و لوازم يدكي</v>
      </c>
      <c r="C1622" s="1">
        <v>205</v>
      </c>
      <c r="D1622" s="1" t="str">
        <f>"انبار قطعات و لوازم يدكي بندرعباس"</f>
        <v>انبار قطعات و لوازم يدكي بندرعباس</v>
      </c>
      <c r="E1622" s="1" t="str">
        <f>"1800000687"</f>
        <v>1800000687</v>
      </c>
      <c r="F1622" s="1" t="str">
        <f>"وارنيش نسوز برق 12"</f>
        <v>وارنيش نسوز برق 12</v>
      </c>
      <c r="G1622" s="1" t="str">
        <f>"متر"</f>
        <v>متر</v>
      </c>
      <c r="H1622" s="1">
        <v>5</v>
      </c>
      <c r="I1622" s="1">
        <v>650000</v>
      </c>
      <c r="J1622" s="1">
        <v>0</v>
      </c>
      <c r="K1622" s="1">
        <v>0</v>
      </c>
      <c r="L1622" s="1">
        <v>4</v>
      </c>
      <c r="M1622" s="1">
        <v>520000</v>
      </c>
      <c r="O1622" s="1">
        <v>97</v>
      </c>
      <c r="P1622" s="4">
        <f t="shared" si="75"/>
        <v>130000</v>
      </c>
      <c r="Q1622" s="4">
        <f t="shared" si="76"/>
        <v>1</v>
      </c>
      <c r="R1622" s="4">
        <f t="shared" si="77"/>
        <v>130000</v>
      </c>
    </row>
    <row r="1623" spans="1:18" hidden="1">
      <c r="A1623" s="1">
        <v>2</v>
      </c>
      <c r="B1623" s="1" t="str">
        <f>"قطعات و لوازم يدكي"</f>
        <v>قطعات و لوازم يدكي</v>
      </c>
      <c r="C1623" s="1">
        <v>205</v>
      </c>
      <c r="D1623" s="1" t="str">
        <f>"انبار قطعات و لوازم يدكي بندرعباس"</f>
        <v>انبار قطعات و لوازم يدكي بندرعباس</v>
      </c>
      <c r="E1623" s="1" t="str">
        <f>"1800000711"</f>
        <v>1800000711</v>
      </c>
      <c r="F1623" s="1" t="str">
        <f>"نيپل 1/2*2 مانيسمان"</f>
        <v>نيپل 1/2*2 مانيسمان</v>
      </c>
      <c r="G1623" s="1" t="str">
        <f>"عدد"</f>
        <v>عدد</v>
      </c>
      <c r="H1623" s="1">
        <v>3</v>
      </c>
      <c r="I1623" s="1">
        <v>900000</v>
      </c>
      <c r="J1623" s="1">
        <v>0</v>
      </c>
      <c r="K1623" s="1">
        <v>0</v>
      </c>
      <c r="L1623" s="1">
        <v>3</v>
      </c>
      <c r="M1623" s="1">
        <v>900000</v>
      </c>
      <c r="O1623" s="1">
        <v>97</v>
      </c>
      <c r="P1623" s="1">
        <f t="shared" si="75"/>
        <v>0</v>
      </c>
      <c r="Q1623" s="1">
        <f t="shared" si="76"/>
        <v>0</v>
      </c>
      <c r="R1623" s="1" t="e">
        <f t="shared" si="77"/>
        <v>#DIV/0!</v>
      </c>
    </row>
    <row r="1624" spans="1:18" hidden="1">
      <c r="A1624" s="1">
        <v>2</v>
      </c>
      <c r="B1624" s="1" t="str">
        <f>"قطعات و لوازم يدكي"</f>
        <v>قطعات و لوازم يدكي</v>
      </c>
      <c r="C1624" s="1">
        <v>205</v>
      </c>
      <c r="D1624" s="1" t="str">
        <f>"انبار قطعات و لوازم يدكي بندرعباس"</f>
        <v>انبار قطعات و لوازم يدكي بندرعباس</v>
      </c>
      <c r="E1624" s="1" t="str">
        <f>"1800000714"</f>
        <v>1800000714</v>
      </c>
      <c r="F1624" s="1" t="str">
        <f>"چک ولو 3"</f>
        <v>چک ولو 3</v>
      </c>
      <c r="G1624" s="1" t="str">
        <f>"عدد"</f>
        <v>عدد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O1624" s="1">
        <v>97</v>
      </c>
      <c r="P1624" s="1">
        <f t="shared" si="75"/>
        <v>0</v>
      </c>
      <c r="Q1624" s="1">
        <f t="shared" si="76"/>
        <v>0</v>
      </c>
      <c r="R1624" s="1" t="e">
        <f t="shared" si="77"/>
        <v>#DIV/0!</v>
      </c>
    </row>
    <row r="1625" spans="1:18">
      <c r="A1625" s="1">
        <v>2</v>
      </c>
      <c r="B1625" s="1" t="str">
        <f>"قطعات و لوازم يدكي"</f>
        <v>قطعات و لوازم يدكي</v>
      </c>
      <c r="C1625" s="1">
        <v>205</v>
      </c>
      <c r="D1625" s="1" t="str">
        <f>"انبار قطعات و لوازم يدكي بندرعباس"</f>
        <v>انبار قطعات و لوازم يدكي بندرعباس</v>
      </c>
      <c r="E1625" s="1" t="str">
        <f>"1800000715"</f>
        <v>1800000715</v>
      </c>
      <c r="F1625" s="1" t="str">
        <f>"زانو 90 درجه 6 مانيسمان"</f>
        <v>زانو 90 درجه 6 مانيسمان</v>
      </c>
      <c r="G1625" s="1" t="str">
        <f>"عدد"</f>
        <v>عدد</v>
      </c>
      <c r="H1625" s="1">
        <v>4</v>
      </c>
      <c r="I1625" s="1">
        <v>1728000</v>
      </c>
      <c r="J1625" s="1">
        <v>0</v>
      </c>
      <c r="K1625" s="1">
        <v>0</v>
      </c>
      <c r="L1625" s="1">
        <v>0</v>
      </c>
      <c r="M1625" s="1">
        <v>0</v>
      </c>
      <c r="O1625" s="1">
        <v>97</v>
      </c>
      <c r="P1625" s="4">
        <f t="shared" si="75"/>
        <v>1728000</v>
      </c>
      <c r="Q1625" s="4">
        <f t="shared" si="76"/>
        <v>4</v>
      </c>
      <c r="R1625" s="4">
        <f t="shared" si="77"/>
        <v>432000</v>
      </c>
    </row>
    <row r="1626" spans="1:18">
      <c r="A1626" s="1">
        <v>2</v>
      </c>
      <c r="B1626" s="1" t="str">
        <f>"قطعات و لوازم يدكي"</f>
        <v>قطعات و لوازم يدكي</v>
      </c>
      <c r="C1626" s="1">
        <v>205</v>
      </c>
      <c r="D1626" s="1" t="str">
        <f>"انبار قطعات و لوازم يدكي بندرعباس"</f>
        <v>انبار قطعات و لوازم يدكي بندرعباس</v>
      </c>
      <c r="E1626" s="1" t="str">
        <f>"1800000720"</f>
        <v>1800000720</v>
      </c>
      <c r="F1626" s="1" t="str">
        <f>"فيوز گچي 6"</f>
        <v>فيوز گچي 6</v>
      </c>
      <c r="G1626" s="1" t="str">
        <f>"عدد"</f>
        <v>عدد</v>
      </c>
      <c r="H1626" s="1">
        <v>5</v>
      </c>
      <c r="I1626" s="1">
        <v>157500</v>
      </c>
      <c r="J1626" s="1">
        <v>0</v>
      </c>
      <c r="K1626" s="1">
        <v>0</v>
      </c>
      <c r="L1626" s="1">
        <v>3</v>
      </c>
      <c r="M1626" s="1">
        <v>94500</v>
      </c>
      <c r="O1626" s="1">
        <v>97</v>
      </c>
      <c r="P1626" s="4">
        <f t="shared" si="75"/>
        <v>63000</v>
      </c>
      <c r="Q1626" s="4">
        <f t="shared" si="76"/>
        <v>2</v>
      </c>
      <c r="R1626" s="4">
        <f t="shared" si="77"/>
        <v>31500</v>
      </c>
    </row>
    <row r="1627" spans="1:18">
      <c r="A1627" s="1">
        <v>2</v>
      </c>
      <c r="B1627" s="1" t="str">
        <f>"قطعات و لوازم يدكي"</f>
        <v>قطعات و لوازم يدكي</v>
      </c>
      <c r="C1627" s="1">
        <v>205</v>
      </c>
      <c r="D1627" s="1" t="str">
        <f>"انبار قطعات و لوازم يدكي بندرعباس"</f>
        <v>انبار قطعات و لوازم يدكي بندرعباس</v>
      </c>
      <c r="E1627" s="1" t="str">
        <f>"1800000722"</f>
        <v>1800000722</v>
      </c>
      <c r="F1627" s="1" t="str">
        <f>"کابل تلفن"</f>
        <v>کابل تلفن</v>
      </c>
      <c r="G1627" s="1" t="str">
        <f>"متر"</f>
        <v>متر</v>
      </c>
      <c r="H1627" s="1">
        <v>50</v>
      </c>
      <c r="I1627" s="1">
        <v>7500000</v>
      </c>
      <c r="J1627" s="1">
        <v>0</v>
      </c>
      <c r="K1627" s="1">
        <v>0</v>
      </c>
      <c r="L1627" s="1">
        <v>0</v>
      </c>
      <c r="M1627" s="1">
        <v>0</v>
      </c>
      <c r="O1627" s="1">
        <v>97</v>
      </c>
      <c r="P1627" s="4">
        <f t="shared" si="75"/>
        <v>7500000</v>
      </c>
      <c r="Q1627" s="4">
        <f t="shared" si="76"/>
        <v>50</v>
      </c>
      <c r="R1627" s="4">
        <f t="shared" si="77"/>
        <v>150000</v>
      </c>
    </row>
    <row r="1628" spans="1:18" hidden="1">
      <c r="A1628" s="1">
        <v>2</v>
      </c>
      <c r="B1628" s="1" t="str">
        <f>"قطعات و لوازم يدكي"</f>
        <v>قطعات و لوازم يدكي</v>
      </c>
      <c r="C1628" s="1">
        <v>205</v>
      </c>
      <c r="D1628" s="1" t="str">
        <f>"انبار قطعات و لوازم يدكي بندرعباس"</f>
        <v>انبار قطعات و لوازم يدكي بندرعباس</v>
      </c>
      <c r="E1628" s="1" t="str">
        <f>"1800000779"</f>
        <v>1800000779</v>
      </c>
      <c r="F1628" s="1" t="str">
        <f>"محافظ کولر 1010"</f>
        <v>محافظ کولر 1010</v>
      </c>
      <c r="G1628" s="1" t="str">
        <f>"عدد"</f>
        <v>عدد</v>
      </c>
      <c r="H1628" s="1">
        <v>0</v>
      </c>
      <c r="I1628" s="1">
        <v>0</v>
      </c>
      <c r="J1628" s="1">
        <v>1</v>
      </c>
      <c r="K1628" s="1">
        <v>330000</v>
      </c>
      <c r="L1628" s="1">
        <v>1</v>
      </c>
      <c r="M1628" s="1">
        <v>330000</v>
      </c>
      <c r="O1628" s="1">
        <v>97</v>
      </c>
      <c r="P1628" s="1">
        <f t="shared" si="75"/>
        <v>0</v>
      </c>
      <c r="Q1628" s="1">
        <f t="shared" si="76"/>
        <v>0</v>
      </c>
      <c r="R1628" s="1" t="e">
        <f t="shared" si="77"/>
        <v>#DIV/0!</v>
      </c>
    </row>
    <row r="1629" spans="1:18">
      <c r="A1629" s="1">
        <v>2</v>
      </c>
      <c r="B1629" s="1" t="str">
        <f>"قطعات و لوازم يدكي"</f>
        <v>قطعات و لوازم يدكي</v>
      </c>
      <c r="C1629" s="1">
        <v>205</v>
      </c>
      <c r="D1629" s="1" t="str">
        <f>"انبار قطعات و لوازم يدكي بندرعباس"</f>
        <v>انبار قطعات و لوازم يدكي بندرعباس</v>
      </c>
      <c r="E1629" s="1" t="str">
        <f>"1800000807"</f>
        <v>1800000807</v>
      </c>
      <c r="F1629" s="1" t="str">
        <f>"چرخ ثابت چدني"</f>
        <v>چرخ ثابت چدني</v>
      </c>
      <c r="G1629" s="1" t="str">
        <f>"عدد"</f>
        <v>عدد</v>
      </c>
      <c r="H1629" s="1">
        <v>0</v>
      </c>
      <c r="I1629" s="1">
        <v>0</v>
      </c>
      <c r="J1629" s="1">
        <v>2</v>
      </c>
      <c r="K1629" s="1">
        <v>1100000</v>
      </c>
      <c r="L1629" s="1">
        <v>0</v>
      </c>
      <c r="M1629" s="1">
        <v>0</v>
      </c>
      <c r="O1629" s="1">
        <v>97</v>
      </c>
      <c r="P1629" s="4">
        <f t="shared" si="75"/>
        <v>1100000</v>
      </c>
      <c r="Q1629" s="4">
        <f t="shared" si="76"/>
        <v>2</v>
      </c>
      <c r="R1629" s="4">
        <f t="shared" si="77"/>
        <v>550000</v>
      </c>
    </row>
    <row r="1630" spans="1:18" hidden="1">
      <c r="A1630" s="1">
        <v>2</v>
      </c>
      <c r="B1630" s="1" t="str">
        <f>"قطعات و لوازم يدكي"</f>
        <v>قطعات و لوازم يدكي</v>
      </c>
      <c r="C1630" s="1">
        <v>205</v>
      </c>
      <c r="D1630" s="1" t="str">
        <f>"انبار قطعات و لوازم يدكي بندرعباس"</f>
        <v>انبار قطعات و لوازم يدكي بندرعباس</v>
      </c>
      <c r="E1630" s="1" t="str">
        <f>"1800000810"</f>
        <v>1800000810</v>
      </c>
      <c r="F1630" s="1" t="str">
        <f>"اورينگ 5"</f>
        <v>اورينگ 5</v>
      </c>
      <c r="G1630" s="1" t="str">
        <f>"متر"</f>
        <v>متر</v>
      </c>
      <c r="H1630" s="1">
        <v>0</v>
      </c>
      <c r="I1630" s="1">
        <v>0</v>
      </c>
      <c r="J1630" s="1">
        <v>2</v>
      </c>
      <c r="K1630" s="1">
        <v>180000</v>
      </c>
      <c r="L1630" s="1">
        <v>2</v>
      </c>
      <c r="M1630" s="1">
        <v>180000</v>
      </c>
      <c r="O1630" s="1">
        <v>97</v>
      </c>
      <c r="P1630" s="1">
        <f t="shared" si="75"/>
        <v>0</v>
      </c>
      <c r="Q1630" s="1">
        <f t="shared" si="76"/>
        <v>0</v>
      </c>
      <c r="R1630" s="1" t="e">
        <f t="shared" si="77"/>
        <v>#DIV/0!</v>
      </c>
    </row>
    <row r="1631" spans="1:18" hidden="1">
      <c r="A1631" s="1">
        <v>2</v>
      </c>
      <c r="B1631" s="1" t="str">
        <f>"قطعات و لوازم يدكي"</f>
        <v>قطعات و لوازم يدكي</v>
      </c>
      <c r="C1631" s="1">
        <v>205</v>
      </c>
      <c r="D1631" s="1" t="str">
        <f>"انبار قطعات و لوازم يدكي بندرعباس"</f>
        <v>انبار قطعات و لوازم يدكي بندرعباس</v>
      </c>
      <c r="E1631" s="1" t="str">
        <f>"1800000863"</f>
        <v>1800000863</v>
      </c>
      <c r="F1631" s="1" t="str">
        <f>"ماده رنگ زرد"</f>
        <v>ماده رنگ زرد</v>
      </c>
      <c r="G1631" s="1" t="str">
        <f>"كيلوگرم"</f>
        <v>كيلوگرم</v>
      </c>
      <c r="H1631" s="1">
        <v>0</v>
      </c>
      <c r="I1631" s="1">
        <v>0</v>
      </c>
      <c r="J1631" s="1">
        <v>0.25</v>
      </c>
      <c r="K1631" s="1">
        <v>60000</v>
      </c>
      <c r="L1631" s="1">
        <v>0.25</v>
      </c>
      <c r="M1631" s="1">
        <v>60000</v>
      </c>
      <c r="O1631" s="1">
        <v>97</v>
      </c>
      <c r="P1631" s="1">
        <f t="shared" si="75"/>
        <v>0</v>
      </c>
      <c r="Q1631" s="1">
        <f t="shared" si="76"/>
        <v>0</v>
      </c>
      <c r="R1631" s="1" t="e">
        <f t="shared" si="77"/>
        <v>#DIV/0!</v>
      </c>
    </row>
    <row r="1632" spans="1:18">
      <c r="A1632" s="1">
        <v>2</v>
      </c>
      <c r="B1632" s="1" t="str">
        <f>"قطعات و لوازم يدكي"</f>
        <v>قطعات و لوازم يدكي</v>
      </c>
      <c r="C1632" s="1">
        <v>205</v>
      </c>
      <c r="D1632" s="1" t="str">
        <f>"انبار قطعات و لوازم يدكي بندرعباس"</f>
        <v>انبار قطعات و لوازم يدكي بندرعباس</v>
      </c>
      <c r="E1632" s="1" t="str">
        <f>"1800000892"</f>
        <v>1800000892</v>
      </c>
      <c r="F1632" s="1" t="s">
        <v>109</v>
      </c>
      <c r="G1632" s="1" t="str">
        <f>"ST"</f>
        <v>ST</v>
      </c>
      <c r="H1632" s="1">
        <v>0</v>
      </c>
      <c r="I1632" s="1">
        <v>0</v>
      </c>
      <c r="J1632" s="1">
        <v>4</v>
      </c>
      <c r="K1632" s="1">
        <v>7467200</v>
      </c>
      <c r="L1632" s="1">
        <v>0</v>
      </c>
      <c r="M1632" s="1">
        <v>0</v>
      </c>
      <c r="O1632" s="1">
        <v>97</v>
      </c>
      <c r="P1632" s="4">
        <f t="shared" si="75"/>
        <v>7467200</v>
      </c>
      <c r="Q1632" s="4">
        <f t="shared" si="76"/>
        <v>4</v>
      </c>
      <c r="R1632" s="4">
        <f t="shared" si="77"/>
        <v>1866800</v>
      </c>
    </row>
    <row r="1633" spans="1:18" hidden="1">
      <c r="A1633" s="1">
        <v>2</v>
      </c>
      <c r="B1633" s="1" t="str">
        <f>"قطعات و لوازم يدكي"</f>
        <v>قطعات و لوازم يدكي</v>
      </c>
      <c r="C1633" s="1">
        <v>205</v>
      </c>
      <c r="D1633" s="1" t="str">
        <f>"انبار قطعات و لوازم يدكي بندرعباس"</f>
        <v>انبار قطعات و لوازم يدكي بندرعباس</v>
      </c>
      <c r="E1633" s="1" t="str">
        <f>"1800000938"</f>
        <v>1800000938</v>
      </c>
      <c r="F1633" s="1" t="str">
        <f>"زانو ساده 25"</f>
        <v>زانو ساده 25</v>
      </c>
      <c r="G1633" s="1" t="str">
        <f>"عدد"</f>
        <v>عدد</v>
      </c>
      <c r="H1633" s="1">
        <v>0</v>
      </c>
      <c r="I1633" s="1">
        <v>0</v>
      </c>
      <c r="J1633" s="1">
        <v>10</v>
      </c>
      <c r="K1633" s="1">
        <v>180000</v>
      </c>
      <c r="L1633" s="1">
        <v>10</v>
      </c>
      <c r="M1633" s="1">
        <v>180000</v>
      </c>
      <c r="O1633" s="1">
        <v>97</v>
      </c>
      <c r="P1633" s="1">
        <f t="shared" si="75"/>
        <v>0</v>
      </c>
      <c r="Q1633" s="1">
        <f t="shared" si="76"/>
        <v>0</v>
      </c>
      <c r="R1633" s="1" t="e">
        <f t="shared" si="77"/>
        <v>#DIV/0!</v>
      </c>
    </row>
    <row r="1634" spans="1:18" hidden="1">
      <c r="A1634" s="1">
        <v>2</v>
      </c>
      <c r="B1634" s="1" t="str">
        <f>"قطعات و لوازم يدكي"</f>
        <v>قطعات و لوازم يدكي</v>
      </c>
      <c r="C1634" s="1">
        <v>205</v>
      </c>
      <c r="D1634" s="1" t="str">
        <f>"انبار قطعات و لوازم يدكي بندرعباس"</f>
        <v>انبار قطعات و لوازم يدكي بندرعباس</v>
      </c>
      <c r="E1634" s="1" t="str">
        <f>"1800000939"</f>
        <v>1800000939</v>
      </c>
      <c r="F1634" s="1" t="str">
        <f>"زانو 45 درجه"</f>
        <v>زانو 45 درجه</v>
      </c>
      <c r="G1634" s="1" t="str">
        <f>"عدد"</f>
        <v>عدد</v>
      </c>
      <c r="H1634" s="1">
        <v>0</v>
      </c>
      <c r="I1634" s="1">
        <v>0</v>
      </c>
      <c r="J1634" s="1">
        <v>3</v>
      </c>
      <c r="K1634" s="1">
        <v>48000</v>
      </c>
      <c r="L1634" s="1">
        <v>3</v>
      </c>
      <c r="M1634" s="1">
        <v>48000</v>
      </c>
      <c r="O1634" s="1">
        <v>97</v>
      </c>
      <c r="P1634" s="1">
        <f t="shared" si="75"/>
        <v>0</v>
      </c>
      <c r="Q1634" s="1">
        <f t="shared" si="76"/>
        <v>0</v>
      </c>
      <c r="R1634" s="1" t="e">
        <f t="shared" si="77"/>
        <v>#DIV/0!</v>
      </c>
    </row>
    <row r="1635" spans="1:18" hidden="1">
      <c r="A1635" s="1">
        <v>2</v>
      </c>
      <c r="B1635" s="1" t="str">
        <f>"قطعات و لوازم يدكي"</f>
        <v>قطعات و لوازم يدكي</v>
      </c>
      <c r="C1635" s="1">
        <v>205</v>
      </c>
      <c r="D1635" s="1" t="str">
        <f>"انبار قطعات و لوازم يدكي بندرعباس"</f>
        <v>انبار قطعات و لوازم يدكي بندرعباس</v>
      </c>
      <c r="E1635" s="1" t="str">
        <f>"1800000943"</f>
        <v>1800000943</v>
      </c>
      <c r="F1635" s="1" t="str">
        <f>"شير شيلنگي دسته گازي"</f>
        <v>شير شيلنگي دسته گازي</v>
      </c>
      <c r="G1635" s="1" t="str">
        <f>"عدد"</f>
        <v>عدد</v>
      </c>
      <c r="H1635" s="1">
        <v>0</v>
      </c>
      <c r="I1635" s="1">
        <v>0</v>
      </c>
      <c r="J1635" s="1">
        <v>1</v>
      </c>
      <c r="K1635" s="1">
        <v>250000</v>
      </c>
      <c r="L1635" s="1">
        <v>1</v>
      </c>
      <c r="M1635" s="1">
        <v>250000</v>
      </c>
      <c r="O1635" s="1">
        <v>97</v>
      </c>
      <c r="P1635" s="1">
        <f t="shared" si="75"/>
        <v>0</v>
      </c>
      <c r="Q1635" s="1">
        <f t="shared" si="76"/>
        <v>0</v>
      </c>
      <c r="R1635" s="1" t="e">
        <f t="shared" si="77"/>
        <v>#DIV/0!</v>
      </c>
    </row>
    <row r="1636" spans="1:18" hidden="1">
      <c r="A1636" s="1">
        <v>2</v>
      </c>
      <c r="B1636" s="1" t="str">
        <f>"قطعات و لوازم يدكي"</f>
        <v>قطعات و لوازم يدكي</v>
      </c>
      <c r="C1636" s="1">
        <v>205</v>
      </c>
      <c r="D1636" s="1" t="str">
        <f>"انبار قطعات و لوازم يدكي بندرعباس"</f>
        <v>انبار قطعات و لوازم يدكي بندرعباس</v>
      </c>
      <c r="E1636" s="1" t="str">
        <f>"1800000998"</f>
        <v>1800000998</v>
      </c>
      <c r="F1636" s="1" t="str">
        <f>"مهره ماسوره 25"</f>
        <v>مهره ماسوره 25</v>
      </c>
      <c r="G1636" s="1" t="str">
        <f>"عدد"</f>
        <v>عدد</v>
      </c>
      <c r="H1636" s="1">
        <v>0</v>
      </c>
      <c r="I1636" s="1">
        <v>0</v>
      </c>
      <c r="J1636" s="1">
        <v>1</v>
      </c>
      <c r="K1636" s="1">
        <v>180000</v>
      </c>
      <c r="L1636" s="1">
        <v>1</v>
      </c>
      <c r="M1636" s="1">
        <v>180000</v>
      </c>
      <c r="O1636" s="1">
        <v>97</v>
      </c>
      <c r="P1636" s="1">
        <f t="shared" si="75"/>
        <v>0</v>
      </c>
      <c r="Q1636" s="1">
        <f t="shared" si="76"/>
        <v>0</v>
      </c>
      <c r="R1636" s="1" t="e">
        <f t="shared" si="77"/>
        <v>#DIV/0!</v>
      </c>
    </row>
    <row r="1637" spans="1:18" hidden="1">
      <c r="A1637" s="1">
        <v>2</v>
      </c>
      <c r="B1637" s="1" t="str">
        <f>"قطعات و لوازم يدكي"</f>
        <v>قطعات و لوازم يدكي</v>
      </c>
      <c r="C1637" s="1">
        <v>205</v>
      </c>
      <c r="D1637" s="1" t="str">
        <f>"انبار قطعات و لوازم يدكي بندرعباس"</f>
        <v>انبار قطعات و لوازم يدكي بندرعباس</v>
      </c>
      <c r="E1637" s="1" t="str">
        <f>"4311700199"</f>
        <v>4311700199</v>
      </c>
      <c r="F1637" s="1" t="str">
        <f>"مهره ماسوره 1 اينچ"</f>
        <v>مهره ماسوره 1 اينچ</v>
      </c>
      <c r="G1637" s="1" t="str">
        <f>"عدد"</f>
        <v>عدد</v>
      </c>
      <c r="H1637" s="1">
        <v>0</v>
      </c>
      <c r="I1637" s="1">
        <v>0</v>
      </c>
      <c r="J1637" s="1">
        <v>1</v>
      </c>
      <c r="K1637" s="1">
        <v>210000</v>
      </c>
      <c r="L1637" s="1">
        <v>1</v>
      </c>
      <c r="M1637" s="1">
        <v>210000</v>
      </c>
      <c r="O1637" s="1">
        <v>97</v>
      </c>
      <c r="P1637" s="1">
        <f t="shared" si="75"/>
        <v>0</v>
      </c>
      <c r="Q1637" s="1">
        <f t="shared" si="76"/>
        <v>0</v>
      </c>
      <c r="R1637" s="1" t="e">
        <f t="shared" si="77"/>
        <v>#DIV/0!</v>
      </c>
    </row>
    <row r="1638" spans="1:18">
      <c r="A1638" s="1">
        <v>2</v>
      </c>
      <c r="B1638" s="1" t="str">
        <f>"قطعات و لوازم يدكي"</f>
        <v>قطعات و لوازم يدكي</v>
      </c>
      <c r="C1638" s="1">
        <v>205</v>
      </c>
      <c r="D1638" s="1" t="str">
        <f>"انبار قطعات و لوازم يدكي بندرعباس"</f>
        <v>انبار قطعات و لوازم يدكي بندرعباس</v>
      </c>
      <c r="E1638" s="1" t="str">
        <f>"6952025622"</f>
        <v>6952025622</v>
      </c>
      <c r="F1638" s="1" t="str">
        <f>"پايه مهتابي"</f>
        <v>پايه مهتابي</v>
      </c>
      <c r="G1638" s="1" t="str">
        <f>"عدد"</f>
        <v>عدد</v>
      </c>
      <c r="H1638" s="1">
        <v>0</v>
      </c>
      <c r="I1638" s="1">
        <v>0</v>
      </c>
      <c r="J1638" s="1">
        <v>20</v>
      </c>
      <c r="K1638" s="1">
        <v>200000</v>
      </c>
      <c r="L1638" s="1">
        <v>0</v>
      </c>
      <c r="M1638" s="1">
        <v>0</v>
      </c>
      <c r="O1638" s="1">
        <v>97</v>
      </c>
      <c r="P1638" s="4">
        <f t="shared" si="75"/>
        <v>200000</v>
      </c>
      <c r="Q1638" s="4">
        <f t="shared" si="76"/>
        <v>20</v>
      </c>
      <c r="R1638" s="4">
        <f t="shared" si="77"/>
        <v>10000</v>
      </c>
    </row>
    <row r="1639" spans="1:18" hidden="1">
      <c r="A1639" s="1">
        <v>6</v>
      </c>
      <c r="B1639" s="1" t="str">
        <f>"موجودي ملزومات اداري"</f>
        <v>موجودي ملزومات اداري</v>
      </c>
      <c r="C1639" s="1">
        <v>101</v>
      </c>
      <c r="D1639" s="1" t="str">
        <f>"انبار قطعات و لوازم يدكي اصفهان"</f>
        <v>انبار قطعات و لوازم يدكي اصفهان</v>
      </c>
      <c r="E1639" s="1" t="str">
        <f>"5800083122"</f>
        <v>5800083122</v>
      </c>
      <c r="F1639" s="1" t="str">
        <f>"BALL BEARING 6212 C3 2RS"</f>
        <v>BALL BEARING 6212 C3 2RS</v>
      </c>
      <c r="G1639" s="1" t="str">
        <f>"عدد"</f>
        <v>عدد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O1639" s="1">
        <v>97</v>
      </c>
      <c r="P1639" s="1">
        <f t="shared" si="75"/>
        <v>0</v>
      </c>
      <c r="Q1639" s="1">
        <f t="shared" si="76"/>
        <v>0</v>
      </c>
      <c r="R1639" s="1" t="e">
        <f t="shared" si="77"/>
        <v>#DIV/0!</v>
      </c>
    </row>
    <row r="1640" spans="1:18">
      <c r="A1640" s="1">
        <v>6</v>
      </c>
      <c r="B1640" s="1" t="str">
        <f>"موجودي ملزومات اداري"</f>
        <v>موجودي ملزومات اداري</v>
      </c>
      <c r="C1640" s="1">
        <v>110</v>
      </c>
      <c r="D1640" s="1" t="str">
        <f>"ملزومات اداري اصفهان"</f>
        <v>ملزومات اداري اصفهان</v>
      </c>
      <c r="E1640" s="1" t="str">
        <f>"0000011162"</f>
        <v>0000011162</v>
      </c>
      <c r="F1640" s="1" t="str">
        <f>"پاك كن"</f>
        <v>پاك كن</v>
      </c>
      <c r="G1640" s="1" t="str">
        <f>"عدد"</f>
        <v>عدد</v>
      </c>
      <c r="H1640" s="1">
        <v>51</v>
      </c>
      <c r="I1640" s="1">
        <v>317226</v>
      </c>
      <c r="J1640" s="1">
        <v>30</v>
      </c>
      <c r="K1640" s="1">
        <v>720000</v>
      </c>
      <c r="L1640" s="1">
        <v>74</v>
      </c>
      <c r="M1640" s="1">
        <v>940345</v>
      </c>
      <c r="O1640" s="1">
        <v>97</v>
      </c>
      <c r="P1640" s="4">
        <f t="shared" si="75"/>
        <v>96881</v>
      </c>
      <c r="Q1640" s="4">
        <f t="shared" si="76"/>
        <v>7</v>
      </c>
      <c r="R1640" s="4">
        <f t="shared" si="77"/>
        <v>13840.142857142857</v>
      </c>
    </row>
    <row r="1641" spans="1:18" hidden="1">
      <c r="A1641" s="1">
        <v>6</v>
      </c>
      <c r="B1641" s="1" t="str">
        <f>"موجودي ملزومات اداري"</f>
        <v>موجودي ملزومات اداري</v>
      </c>
      <c r="C1641" s="1">
        <v>110</v>
      </c>
      <c r="D1641" s="1" t="str">
        <f>"ملزومات اداري اصفهان"</f>
        <v>ملزومات اداري اصفهان</v>
      </c>
      <c r="E1641" s="1" t="str">
        <f>"0000011412"</f>
        <v>0000011412</v>
      </c>
      <c r="F1641" s="1" t="str">
        <f>"ماشين دوخت بزرگ"</f>
        <v>ماشين دوخت بزرگ</v>
      </c>
      <c r="G1641" s="1" t="str">
        <f>"عدد"</f>
        <v>عدد</v>
      </c>
      <c r="H1641" s="1">
        <v>3</v>
      </c>
      <c r="I1641" s="1">
        <v>1110000</v>
      </c>
      <c r="J1641" s="1">
        <v>0</v>
      </c>
      <c r="K1641" s="1">
        <v>0</v>
      </c>
      <c r="L1641" s="1">
        <v>3</v>
      </c>
      <c r="M1641" s="1">
        <v>1110000</v>
      </c>
      <c r="O1641" s="1">
        <v>97</v>
      </c>
      <c r="P1641" s="1">
        <f t="shared" si="75"/>
        <v>0</v>
      </c>
      <c r="Q1641" s="1">
        <f t="shared" si="76"/>
        <v>0</v>
      </c>
      <c r="R1641" s="1" t="e">
        <f t="shared" si="77"/>
        <v>#DIV/0!</v>
      </c>
    </row>
    <row r="1642" spans="1:18">
      <c r="A1642" s="1">
        <v>6</v>
      </c>
      <c r="B1642" s="1" t="str">
        <f>"موجودي ملزومات اداري"</f>
        <v>موجودي ملزومات اداري</v>
      </c>
      <c r="C1642" s="1">
        <v>110</v>
      </c>
      <c r="D1642" s="1" t="str">
        <f>"ملزومات اداري اصفهان"</f>
        <v>ملزومات اداري اصفهان</v>
      </c>
      <c r="E1642" s="1" t="str">
        <f>"0000011542"</f>
        <v>0000011542</v>
      </c>
      <c r="F1642" s="1" t="str">
        <f>"چسب کاغذي 5 سانتي"</f>
        <v>چسب کاغذي 5 سانتي</v>
      </c>
      <c r="G1642" s="1" t="str">
        <f>"عدد"</f>
        <v>عدد</v>
      </c>
      <c r="H1642" s="1">
        <v>4</v>
      </c>
      <c r="I1642" s="1">
        <v>160000</v>
      </c>
      <c r="J1642" s="1">
        <v>0</v>
      </c>
      <c r="K1642" s="1">
        <v>0</v>
      </c>
      <c r="L1642" s="1">
        <v>0</v>
      </c>
      <c r="M1642" s="1">
        <v>0</v>
      </c>
      <c r="O1642" s="1">
        <v>97</v>
      </c>
      <c r="P1642" s="4">
        <f t="shared" si="75"/>
        <v>160000</v>
      </c>
      <c r="Q1642" s="4">
        <f t="shared" si="76"/>
        <v>4</v>
      </c>
      <c r="R1642" s="4">
        <f t="shared" si="77"/>
        <v>40000</v>
      </c>
    </row>
    <row r="1643" spans="1:18">
      <c r="A1643" s="1">
        <v>6</v>
      </c>
      <c r="B1643" s="1" t="str">
        <f>"موجودي ملزومات اداري"</f>
        <v>موجودي ملزومات اداري</v>
      </c>
      <c r="C1643" s="1">
        <v>110</v>
      </c>
      <c r="D1643" s="1" t="str">
        <f>"ملزومات اداري اصفهان"</f>
        <v>ملزومات اداري اصفهان</v>
      </c>
      <c r="E1643" s="1" t="str">
        <f>"0000011602"</f>
        <v>0000011602</v>
      </c>
      <c r="F1643" s="1" t="str">
        <f>"سوزن ته گرد"</f>
        <v>سوزن ته گرد</v>
      </c>
      <c r="G1643" s="1" t="str">
        <f>"عدد"</f>
        <v>عدد</v>
      </c>
      <c r="H1643" s="1">
        <v>200</v>
      </c>
      <c r="I1643" s="1">
        <v>2385714</v>
      </c>
      <c r="J1643" s="1">
        <v>0</v>
      </c>
      <c r="K1643" s="1">
        <v>0</v>
      </c>
      <c r="L1643" s="1">
        <v>22</v>
      </c>
      <c r="M1643" s="1">
        <v>262430</v>
      </c>
      <c r="O1643" s="1">
        <v>97</v>
      </c>
      <c r="P1643" s="4">
        <f t="shared" si="75"/>
        <v>2123284</v>
      </c>
      <c r="Q1643" s="4">
        <f t="shared" si="76"/>
        <v>178</v>
      </c>
      <c r="R1643" s="4">
        <f t="shared" si="77"/>
        <v>11928.561797752809</v>
      </c>
    </row>
    <row r="1644" spans="1:18" hidden="1">
      <c r="A1644" s="1">
        <v>6</v>
      </c>
      <c r="B1644" s="1" t="str">
        <f>"موجودي ملزومات اداري"</f>
        <v>موجودي ملزومات اداري</v>
      </c>
      <c r="C1644" s="1">
        <v>110</v>
      </c>
      <c r="D1644" s="1" t="str">
        <f>"ملزومات اداري اصفهان"</f>
        <v>ملزومات اداري اصفهان</v>
      </c>
      <c r="E1644" s="1" t="str">
        <f>"0000011612"</f>
        <v>0000011612</v>
      </c>
      <c r="F1644" s="1" t="str">
        <f>"سوزن دوخت بزرگ"</f>
        <v>سوزن دوخت بزرگ</v>
      </c>
      <c r="G1644" s="1" t="str">
        <f>"عدد"</f>
        <v>عدد</v>
      </c>
      <c r="H1644" s="1">
        <v>290</v>
      </c>
      <c r="I1644" s="1">
        <v>3480000</v>
      </c>
      <c r="J1644" s="1">
        <v>100</v>
      </c>
      <c r="K1644" s="1">
        <v>2700000</v>
      </c>
      <c r="L1644" s="1">
        <v>577</v>
      </c>
      <c r="M1644" s="1">
        <v>8927523</v>
      </c>
      <c r="O1644" s="1">
        <v>97</v>
      </c>
      <c r="P1644" s="1">
        <f t="shared" si="75"/>
        <v>-2747523</v>
      </c>
      <c r="Q1644" s="1">
        <f t="shared" si="76"/>
        <v>-187</v>
      </c>
      <c r="R1644" s="1">
        <f t="shared" si="77"/>
        <v>14692.636363636364</v>
      </c>
    </row>
    <row r="1645" spans="1:18" hidden="1">
      <c r="A1645" s="1">
        <v>2</v>
      </c>
      <c r="B1645" s="1" t="str">
        <f>"قطعات و لوازم يدكي"</f>
        <v>قطعات و لوازم يدكي</v>
      </c>
      <c r="C1645" s="1">
        <v>101</v>
      </c>
      <c r="D1645" s="1" t="str">
        <f>"انبار قطعات و لوازم يدكي اصفهان"</f>
        <v>انبار قطعات و لوازم يدكي اصفهان</v>
      </c>
      <c r="E1645" s="1" t="str">
        <f>"8100000172"</f>
        <v>8100000172</v>
      </c>
      <c r="F1645" s="1" t="str">
        <f>"پيچ و مهره 2*8"</f>
        <v>پيچ و مهره 2*8</v>
      </c>
      <c r="G1645" s="1" t="str">
        <f>"عدد"</f>
        <v>عدد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O1645" s="1">
        <v>97</v>
      </c>
      <c r="P1645" s="1">
        <f t="shared" si="75"/>
        <v>0</v>
      </c>
      <c r="Q1645" s="1">
        <f t="shared" si="76"/>
        <v>0</v>
      </c>
      <c r="R1645" s="1" t="e">
        <f t="shared" si="77"/>
        <v>#DIV/0!</v>
      </c>
    </row>
    <row r="1646" spans="1:18">
      <c r="A1646" s="1">
        <v>2</v>
      </c>
      <c r="B1646" s="1" t="str">
        <f>"قطعات و لوازم يدكي"</f>
        <v>قطعات و لوازم يدكي</v>
      </c>
      <c r="C1646" s="1">
        <v>101</v>
      </c>
      <c r="D1646" s="1" t="str">
        <f>"انبار قطعات و لوازم يدكي اصفهان"</f>
        <v>انبار قطعات و لوازم يدكي اصفهان</v>
      </c>
      <c r="E1646" s="1" t="str">
        <f>"8101017502"</f>
        <v>8101017502</v>
      </c>
      <c r="F1646" s="1" t="str">
        <f>"پيچ ومهره 1*100"</f>
        <v>پيچ ومهره 1*100</v>
      </c>
      <c r="G1646" s="1" t="str">
        <f>"عدد"</f>
        <v>عدد</v>
      </c>
      <c r="H1646" s="1">
        <v>6</v>
      </c>
      <c r="I1646" s="1">
        <v>742</v>
      </c>
      <c r="J1646" s="1">
        <v>0</v>
      </c>
      <c r="K1646" s="1">
        <v>0</v>
      </c>
      <c r="L1646" s="1">
        <v>0</v>
      </c>
      <c r="M1646" s="1">
        <v>0</v>
      </c>
      <c r="O1646" s="1">
        <v>97</v>
      </c>
      <c r="P1646" s="4">
        <f t="shared" si="75"/>
        <v>742</v>
      </c>
      <c r="Q1646" s="4">
        <f t="shared" si="76"/>
        <v>6</v>
      </c>
      <c r="R1646" s="4">
        <f t="shared" si="77"/>
        <v>123.66666666666667</v>
      </c>
    </row>
    <row r="1647" spans="1:18">
      <c r="A1647" s="1">
        <v>2</v>
      </c>
      <c r="B1647" s="1" t="str">
        <f>"قطعات و لوازم يدكي"</f>
        <v>قطعات و لوازم يدكي</v>
      </c>
      <c r="C1647" s="1">
        <v>101</v>
      </c>
      <c r="D1647" s="1" t="str">
        <f>"انبار قطعات و لوازم يدكي اصفهان"</f>
        <v>انبار قطعات و لوازم يدكي اصفهان</v>
      </c>
      <c r="E1647" s="1" t="str">
        <f>"8138612162"</f>
        <v>8138612162</v>
      </c>
      <c r="F1647" s="1" t="str">
        <f>"پيچ نگهدارنده 1/2 اينچ * 100ميليمتر"</f>
        <v>پيچ نگهدارنده 1/2 اينچ * 100ميليمتر</v>
      </c>
      <c r="G1647" s="1" t="str">
        <f>"عدد"</f>
        <v>عدد</v>
      </c>
      <c r="H1647" s="1">
        <v>106</v>
      </c>
      <c r="I1647" s="1">
        <v>859046</v>
      </c>
      <c r="J1647" s="1">
        <v>2</v>
      </c>
      <c r="K1647" s="1">
        <v>16208</v>
      </c>
      <c r="L1647" s="1">
        <v>6</v>
      </c>
      <c r="M1647" s="1">
        <v>48625</v>
      </c>
      <c r="O1647" s="1">
        <v>97</v>
      </c>
      <c r="P1647" s="4">
        <f t="shared" si="75"/>
        <v>826629</v>
      </c>
      <c r="Q1647" s="4">
        <f t="shared" si="76"/>
        <v>102</v>
      </c>
      <c r="R1647" s="4">
        <f t="shared" si="77"/>
        <v>8104.2058823529414</v>
      </c>
    </row>
    <row r="1648" spans="1:18" hidden="1">
      <c r="A1648" s="1">
        <v>2</v>
      </c>
      <c r="B1648" s="1" t="str">
        <f>"قطعات و لوازم يدكي"</f>
        <v>قطعات و لوازم يدكي</v>
      </c>
      <c r="C1648" s="1">
        <v>101</v>
      </c>
      <c r="D1648" s="1" t="str">
        <f>"انبار قطعات و لوازم يدكي اصفهان"</f>
        <v>انبار قطعات و لوازم يدكي اصفهان</v>
      </c>
      <c r="E1648" s="1" t="str">
        <f>"8138615552"</f>
        <v>8138615552</v>
      </c>
      <c r="F1648" s="1" t="str">
        <f>"پيچ و مهره  کاور پمپ"</f>
        <v>پيچ و مهره  کاور پمپ</v>
      </c>
      <c r="G1648" s="1" t="str">
        <f>"عدد"</f>
        <v>عدد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O1648" s="1">
        <v>97</v>
      </c>
      <c r="P1648" s="1">
        <f t="shared" si="75"/>
        <v>0</v>
      </c>
      <c r="Q1648" s="1">
        <f t="shared" si="76"/>
        <v>0</v>
      </c>
      <c r="R1648" s="1" t="e">
        <f t="shared" si="77"/>
        <v>#DIV/0!</v>
      </c>
    </row>
    <row r="1649" spans="1:18">
      <c r="A1649" s="1">
        <v>2</v>
      </c>
      <c r="B1649" s="1" t="str">
        <f>"قطعات و لوازم يدكي"</f>
        <v>قطعات و لوازم يدكي</v>
      </c>
      <c r="C1649" s="1">
        <v>101</v>
      </c>
      <c r="D1649" s="1" t="str">
        <f>"انبار قطعات و لوازم يدكي اصفهان"</f>
        <v>انبار قطعات و لوازم يدكي اصفهان</v>
      </c>
      <c r="E1649" s="1" t="str">
        <f>"8178010182"</f>
        <v>8178010182</v>
      </c>
      <c r="F1649" s="1" t="str">
        <f>"واشر تخت معمولي 5/8"</f>
        <v>واشر تخت معمولي 5/8</v>
      </c>
      <c r="G1649" s="1" t="str">
        <f>"عدد"</f>
        <v>عدد</v>
      </c>
      <c r="H1649" s="1">
        <v>90</v>
      </c>
      <c r="I1649" s="1">
        <v>349908</v>
      </c>
      <c r="J1649" s="1">
        <v>0</v>
      </c>
      <c r="K1649" s="1">
        <v>0</v>
      </c>
      <c r="L1649" s="1">
        <v>0</v>
      </c>
      <c r="M1649" s="1">
        <v>0</v>
      </c>
      <c r="O1649" s="1">
        <v>97</v>
      </c>
      <c r="P1649" s="4">
        <f t="shared" si="75"/>
        <v>349908</v>
      </c>
      <c r="Q1649" s="4">
        <f t="shared" si="76"/>
        <v>90</v>
      </c>
      <c r="R1649" s="4">
        <f t="shared" si="77"/>
        <v>3887.8666666666668</v>
      </c>
    </row>
    <row r="1650" spans="1:18">
      <c r="A1650" s="1">
        <v>2</v>
      </c>
      <c r="B1650" s="1" t="str">
        <f>"قطعات و لوازم يدكي"</f>
        <v>قطعات و لوازم يدكي</v>
      </c>
      <c r="C1650" s="1">
        <v>101</v>
      </c>
      <c r="D1650" s="1" t="str">
        <f>"انبار قطعات و لوازم يدكي اصفهان"</f>
        <v>انبار قطعات و لوازم يدكي اصفهان</v>
      </c>
      <c r="E1650" s="1" t="str">
        <f>"8178010222"</f>
        <v>8178010222</v>
      </c>
      <c r="F1650" s="1" t="str">
        <f>"واشر تخت معمولي 7/8"</f>
        <v>واشر تخت معمولي 7/8</v>
      </c>
      <c r="G1650" s="1" t="str">
        <f>"عدد"</f>
        <v>عدد</v>
      </c>
      <c r="H1650" s="1">
        <v>100</v>
      </c>
      <c r="I1650" s="1">
        <v>38000</v>
      </c>
      <c r="J1650" s="1">
        <v>0</v>
      </c>
      <c r="K1650" s="1">
        <v>0</v>
      </c>
      <c r="L1650" s="1">
        <v>0</v>
      </c>
      <c r="M1650" s="1">
        <v>0</v>
      </c>
      <c r="O1650" s="1">
        <v>97</v>
      </c>
      <c r="P1650" s="4">
        <f t="shared" si="75"/>
        <v>38000</v>
      </c>
      <c r="Q1650" s="4">
        <f t="shared" si="76"/>
        <v>100</v>
      </c>
      <c r="R1650" s="4">
        <f t="shared" si="77"/>
        <v>380</v>
      </c>
    </row>
    <row r="1651" spans="1:18">
      <c r="A1651" s="1">
        <v>2</v>
      </c>
      <c r="B1651" s="1" t="str">
        <f>"قطعات و لوازم يدكي"</f>
        <v>قطعات و لوازم يدكي</v>
      </c>
      <c r="C1651" s="1">
        <v>101</v>
      </c>
      <c r="D1651" s="1" t="str">
        <f>"انبار قطعات و لوازم يدكي اصفهان"</f>
        <v>انبار قطعات و لوازم يدكي اصفهان</v>
      </c>
      <c r="E1651" s="1" t="str">
        <f>"8178010242"</f>
        <v>8178010242</v>
      </c>
      <c r="F1651" s="1" t="s">
        <v>110</v>
      </c>
      <c r="G1651" s="1" t="str">
        <f>"عدد"</f>
        <v>عدد</v>
      </c>
      <c r="H1651" s="1">
        <v>48</v>
      </c>
      <c r="I1651" s="1">
        <v>24960</v>
      </c>
      <c r="J1651" s="1">
        <v>0</v>
      </c>
      <c r="K1651" s="1">
        <v>0</v>
      </c>
      <c r="L1651" s="1">
        <v>1</v>
      </c>
      <c r="M1651" s="1">
        <v>520</v>
      </c>
      <c r="O1651" s="1">
        <v>97</v>
      </c>
      <c r="P1651" s="4">
        <f t="shared" si="75"/>
        <v>24440</v>
      </c>
      <c r="Q1651" s="4">
        <f t="shared" si="76"/>
        <v>47</v>
      </c>
      <c r="R1651" s="4">
        <f t="shared" si="77"/>
        <v>520</v>
      </c>
    </row>
    <row r="1652" spans="1:18">
      <c r="A1652" s="1">
        <v>2</v>
      </c>
      <c r="B1652" s="1" t="str">
        <f>"قطعات و لوازم يدكي"</f>
        <v>قطعات و لوازم يدكي</v>
      </c>
      <c r="C1652" s="1">
        <v>101</v>
      </c>
      <c r="D1652" s="1" t="str">
        <f>"انبار قطعات و لوازم يدكي اصفهان"</f>
        <v>انبار قطعات و لوازم يدكي اصفهان</v>
      </c>
      <c r="E1652" s="1" t="str">
        <f>"8300000022"</f>
        <v>8300000022</v>
      </c>
      <c r="F1652" s="1" t="str">
        <f>"تيوپ اكس پنل 1*12G"</f>
        <v>تيوپ اكس پنل 1*12G</v>
      </c>
      <c r="G1652" s="1" t="str">
        <f>"عدد"</f>
        <v>عدد</v>
      </c>
      <c r="H1652" s="1">
        <v>1</v>
      </c>
      <c r="I1652" s="1">
        <v>2270000</v>
      </c>
      <c r="J1652" s="1">
        <v>0</v>
      </c>
      <c r="K1652" s="1">
        <v>0</v>
      </c>
      <c r="L1652" s="1">
        <v>0</v>
      </c>
      <c r="M1652" s="1">
        <v>0</v>
      </c>
      <c r="O1652" s="1">
        <v>97</v>
      </c>
      <c r="P1652" s="4">
        <f t="shared" si="75"/>
        <v>2270000</v>
      </c>
      <c r="Q1652" s="4">
        <f t="shared" si="76"/>
        <v>1</v>
      </c>
      <c r="R1652" s="4">
        <f t="shared" si="77"/>
        <v>2270000</v>
      </c>
    </row>
    <row r="1653" spans="1:18" hidden="1">
      <c r="A1653" s="1">
        <v>2</v>
      </c>
      <c r="B1653" s="1" t="str">
        <f>"قطعات و لوازم يدكي"</f>
        <v>قطعات و لوازم يدكي</v>
      </c>
      <c r="C1653" s="1">
        <v>101</v>
      </c>
      <c r="D1653" s="1" t="str">
        <f>"انبار قطعات و لوازم يدكي اصفهان"</f>
        <v>انبار قطعات و لوازم يدكي اصفهان</v>
      </c>
      <c r="E1653" s="1" t="str">
        <f>"8301010122"</f>
        <v>8301010122</v>
      </c>
      <c r="F1653" s="1" t="str">
        <f>"FLASH BACK"</f>
        <v>FLASH BACK</v>
      </c>
      <c r="G1653" s="1" t="str">
        <f>"عدد"</f>
        <v>عدد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O1653" s="1">
        <v>97</v>
      </c>
      <c r="P1653" s="1">
        <f t="shared" si="75"/>
        <v>0</v>
      </c>
      <c r="Q1653" s="1">
        <f t="shared" si="76"/>
        <v>0</v>
      </c>
      <c r="R1653" s="1" t="e">
        <f t="shared" si="77"/>
        <v>#DIV/0!</v>
      </c>
    </row>
    <row r="1654" spans="1:18" hidden="1">
      <c r="A1654" s="1">
        <v>2</v>
      </c>
      <c r="B1654" s="1" t="str">
        <f>"قطعات و لوازم يدكي"</f>
        <v>قطعات و لوازم يدكي</v>
      </c>
      <c r="C1654" s="1">
        <v>101</v>
      </c>
      <c r="D1654" s="1" t="str">
        <f>"انبار قطعات و لوازم يدكي اصفهان"</f>
        <v>انبار قطعات و لوازم يدكي اصفهان</v>
      </c>
      <c r="E1654" s="1" t="str">
        <f>"8301010232"</f>
        <v>8301010232</v>
      </c>
      <c r="F1654" s="1" t="str">
        <f>"فيلتر آبگير"</f>
        <v>فيلتر آبگير</v>
      </c>
      <c r="G1654" s="1" t="str">
        <f>"عدد"</f>
        <v>عدد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O1654" s="1">
        <v>97</v>
      </c>
      <c r="P1654" s="1">
        <f t="shared" si="75"/>
        <v>0</v>
      </c>
      <c r="Q1654" s="1">
        <f t="shared" si="76"/>
        <v>0</v>
      </c>
      <c r="R1654" s="1" t="e">
        <f t="shared" si="77"/>
        <v>#DIV/0!</v>
      </c>
    </row>
    <row r="1655" spans="1:18" hidden="1">
      <c r="A1655" s="1">
        <v>2</v>
      </c>
      <c r="B1655" s="1" t="str">
        <f>"قطعات و لوازم يدكي"</f>
        <v>قطعات و لوازم يدكي</v>
      </c>
      <c r="C1655" s="1">
        <v>101</v>
      </c>
      <c r="D1655" s="1" t="str">
        <f>"انبار قطعات و لوازم يدكي اصفهان"</f>
        <v>انبار قطعات و لوازم يدكي اصفهان</v>
      </c>
      <c r="E1655" s="1" t="str">
        <f>"8301020312"</f>
        <v>8301020312</v>
      </c>
      <c r="F1655" s="1" t="str">
        <f>"گريس پمپ"</f>
        <v>گريس پمپ</v>
      </c>
      <c r="G1655" s="1" t="str">
        <f>"عدد"</f>
        <v>عدد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O1655" s="1">
        <v>97</v>
      </c>
      <c r="P1655" s="1">
        <f t="shared" si="75"/>
        <v>0</v>
      </c>
      <c r="Q1655" s="1">
        <f t="shared" si="76"/>
        <v>0</v>
      </c>
      <c r="R1655" s="1" t="e">
        <f t="shared" si="77"/>
        <v>#DIV/0!</v>
      </c>
    </row>
    <row r="1656" spans="1:18" hidden="1">
      <c r="A1656" s="1">
        <v>2</v>
      </c>
      <c r="B1656" s="1" t="str">
        <f>"قطعات و لوازم يدكي"</f>
        <v>قطعات و لوازم يدكي</v>
      </c>
      <c r="C1656" s="1">
        <v>101</v>
      </c>
      <c r="D1656" s="1" t="str">
        <f>"انبار قطعات و لوازم يدكي اصفهان"</f>
        <v>انبار قطعات و لوازم يدكي اصفهان</v>
      </c>
      <c r="E1656" s="1" t="str">
        <f>"8541201202"</f>
        <v>8541201202</v>
      </c>
      <c r="F1656" s="1" t="s">
        <v>111</v>
      </c>
      <c r="G1656" s="1" t="str">
        <f>"عدد"</f>
        <v>عدد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O1656" s="1">
        <v>97</v>
      </c>
      <c r="P1656" s="1">
        <f t="shared" si="75"/>
        <v>0</v>
      </c>
      <c r="Q1656" s="1">
        <f t="shared" si="76"/>
        <v>0</v>
      </c>
      <c r="R1656" s="1" t="e">
        <f t="shared" si="77"/>
        <v>#DIV/0!</v>
      </c>
    </row>
    <row r="1657" spans="1:18" hidden="1">
      <c r="A1657" s="1">
        <v>2</v>
      </c>
      <c r="B1657" s="1" t="str">
        <f>"قطعات و لوازم يدكي"</f>
        <v>قطعات و لوازم يدكي</v>
      </c>
      <c r="C1657" s="1">
        <v>101</v>
      </c>
      <c r="D1657" s="1" t="str">
        <f>"انبار قطعات و لوازم يدكي اصفهان"</f>
        <v>انبار قطعات و لوازم يدكي اصفهان</v>
      </c>
      <c r="E1657" s="1" t="str">
        <f>"8541201242"</f>
        <v>8541201242</v>
      </c>
      <c r="F1657" s="1" t="str">
        <f>"واشر گسکت اسپيرال 6 کلاس 150"</f>
        <v>واشر گسکت اسپيرال 6 کلاس 150</v>
      </c>
      <c r="G1657" s="1" t="str">
        <f>"عدد"</f>
        <v>عدد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O1657" s="1">
        <v>97</v>
      </c>
      <c r="P1657" s="1">
        <f t="shared" si="75"/>
        <v>0</v>
      </c>
      <c r="Q1657" s="1">
        <f t="shared" si="76"/>
        <v>0</v>
      </c>
      <c r="R1657" s="1" t="e">
        <f t="shared" si="77"/>
        <v>#DIV/0!</v>
      </c>
    </row>
    <row r="1658" spans="1:18">
      <c r="A1658" s="1">
        <v>2</v>
      </c>
      <c r="B1658" s="1" t="str">
        <f>"قطعات و لوازم يدكي"</f>
        <v>قطعات و لوازم يدكي</v>
      </c>
      <c r="C1658" s="1">
        <v>101</v>
      </c>
      <c r="D1658" s="1" t="str">
        <f>"انبار قطعات و لوازم يدكي اصفهان"</f>
        <v>انبار قطعات و لوازم يدكي اصفهان</v>
      </c>
      <c r="E1658" s="1" t="str">
        <f>"8541330042"</f>
        <v>8541330042</v>
      </c>
      <c r="F1658" s="1" t="s">
        <v>112</v>
      </c>
      <c r="G1658" s="1" t="str">
        <f>"عدد"</f>
        <v>عدد</v>
      </c>
      <c r="H1658" s="1">
        <v>59</v>
      </c>
      <c r="I1658" s="1">
        <v>64322</v>
      </c>
      <c r="J1658" s="1">
        <v>341</v>
      </c>
      <c r="K1658" s="1">
        <v>41509000</v>
      </c>
      <c r="L1658" s="1">
        <v>114</v>
      </c>
      <c r="M1658" s="1">
        <v>10308387</v>
      </c>
      <c r="O1658" s="1">
        <v>97</v>
      </c>
      <c r="P1658" s="4">
        <f t="shared" si="75"/>
        <v>31264935</v>
      </c>
      <c r="Q1658" s="4">
        <f t="shared" si="76"/>
        <v>286</v>
      </c>
      <c r="R1658" s="4">
        <f t="shared" si="77"/>
        <v>109317.95454545454</v>
      </c>
    </row>
    <row r="1659" spans="1:18">
      <c r="A1659" s="1">
        <v>2</v>
      </c>
      <c r="B1659" s="1" t="str">
        <f>"قطعات و لوازم يدكي"</f>
        <v>قطعات و لوازم يدكي</v>
      </c>
      <c r="C1659" s="1">
        <v>101</v>
      </c>
      <c r="D1659" s="1" t="str">
        <f>"انبار قطعات و لوازم يدكي اصفهان"</f>
        <v>انبار قطعات و لوازم يدكي اصفهان</v>
      </c>
      <c r="E1659" s="1" t="str">
        <f>"8541330302"</f>
        <v>8541330302</v>
      </c>
      <c r="F1659" s="1" t="s">
        <v>113</v>
      </c>
      <c r="G1659" s="1" t="str">
        <f>"عدد"</f>
        <v>عدد</v>
      </c>
      <c r="H1659" s="1">
        <v>34</v>
      </c>
      <c r="I1659" s="1">
        <v>642600</v>
      </c>
      <c r="J1659" s="1">
        <v>15</v>
      </c>
      <c r="K1659" s="1">
        <v>4800000</v>
      </c>
      <c r="L1659" s="1">
        <v>28</v>
      </c>
      <c r="M1659" s="1">
        <v>1986135</v>
      </c>
      <c r="O1659" s="1">
        <v>97</v>
      </c>
      <c r="P1659" s="4">
        <f t="shared" si="75"/>
        <v>3456465</v>
      </c>
      <c r="Q1659" s="4">
        <f t="shared" si="76"/>
        <v>21</v>
      </c>
      <c r="R1659" s="4">
        <f t="shared" si="77"/>
        <v>164593.57142857142</v>
      </c>
    </row>
    <row r="1660" spans="1:18">
      <c r="A1660" s="1">
        <v>2</v>
      </c>
      <c r="B1660" s="1" t="str">
        <f>"قطعات و لوازم يدكي"</f>
        <v>قطعات و لوازم يدكي</v>
      </c>
      <c r="C1660" s="1">
        <v>101</v>
      </c>
      <c r="D1660" s="1" t="str">
        <f>"انبار قطعات و لوازم يدكي اصفهان"</f>
        <v>انبار قطعات و لوازم يدكي اصفهان</v>
      </c>
      <c r="E1660" s="1" t="str">
        <f>"8541331302"</f>
        <v>8541331302</v>
      </c>
      <c r="F1660" s="1" t="s">
        <v>114</v>
      </c>
      <c r="G1660" s="1" t="str">
        <f>"عدد"</f>
        <v>عدد</v>
      </c>
      <c r="H1660" s="1">
        <v>32</v>
      </c>
      <c r="I1660" s="1">
        <v>1536885</v>
      </c>
      <c r="J1660" s="1">
        <v>3</v>
      </c>
      <c r="K1660" s="1">
        <v>144028</v>
      </c>
      <c r="L1660" s="1">
        <v>7</v>
      </c>
      <c r="M1660" s="1">
        <v>336194</v>
      </c>
      <c r="O1660" s="1">
        <v>97</v>
      </c>
      <c r="P1660" s="4">
        <f t="shared" si="75"/>
        <v>1344719</v>
      </c>
      <c r="Q1660" s="4">
        <f t="shared" si="76"/>
        <v>28</v>
      </c>
      <c r="R1660" s="4">
        <f t="shared" si="77"/>
        <v>48025.678571428572</v>
      </c>
    </row>
    <row r="1661" spans="1:18" hidden="1">
      <c r="A1661" s="1">
        <v>2</v>
      </c>
      <c r="B1661" s="1" t="str">
        <f>"قطعات و لوازم يدكي"</f>
        <v>قطعات و لوازم يدكي</v>
      </c>
      <c r="C1661" s="1">
        <v>101</v>
      </c>
      <c r="D1661" s="1" t="str">
        <f>"انبار قطعات و لوازم يدكي اصفهان"</f>
        <v>انبار قطعات و لوازم يدكي اصفهان</v>
      </c>
      <c r="E1661" s="1" t="str">
        <f>"8564010162"</f>
        <v>8564010162</v>
      </c>
      <c r="F1661" s="1" t="str">
        <f>"نوار نسوز 5 سانتي"</f>
        <v>نوار نسوز 5 سانتي</v>
      </c>
      <c r="G1661" s="1" t="str">
        <f>"متر"</f>
        <v>متر</v>
      </c>
      <c r="H1661" s="1">
        <v>0</v>
      </c>
      <c r="I1661" s="1">
        <v>0</v>
      </c>
      <c r="J1661" s="1">
        <v>75</v>
      </c>
      <c r="K1661" s="1">
        <v>1980000</v>
      </c>
      <c r="L1661" s="1">
        <v>75</v>
      </c>
      <c r="M1661" s="1">
        <v>1980000</v>
      </c>
      <c r="O1661" s="1">
        <v>97</v>
      </c>
      <c r="P1661" s="1">
        <f t="shared" si="75"/>
        <v>0</v>
      </c>
      <c r="Q1661" s="1">
        <f t="shared" si="76"/>
        <v>0</v>
      </c>
      <c r="R1661" s="1" t="e">
        <f t="shared" si="77"/>
        <v>#DIV/0!</v>
      </c>
    </row>
    <row r="1662" spans="1:18">
      <c r="A1662" s="1">
        <v>2</v>
      </c>
      <c r="B1662" s="1" t="str">
        <f>"قطعات و لوازم يدكي"</f>
        <v>قطعات و لوازم يدكي</v>
      </c>
      <c r="C1662" s="1">
        <v>101</v>
      </c>
      <c r="D1662" s="1" t="str">
        <f>"انبار قطعات و لوازم يدكي اصفهان"</f>
        <v>انبار قطعات و لوازم يدكي اصفهان</v>
      </c>
      <c r="E1662" s="1" t="str">
        <f>"8701021062"</f>
        <v>8701021062</v>
      </c>
      <c r="F1662" s="1" t="str">
        <f>"STUARTS MICROMETER (Blue check"</f>
        <v>STUARTS MICROMETER (Blue check</v>
      </c>
      <c r="G1662" s="1" t="str">
        <f>"عدد"</f>
        <v>عدد</v>
      </c>
      <c r="H1662" s="1">
        <v>4</v>
      </c>
      <c r="I1662" s="1">
        <v>988000</v>
      </c>
      <c r="J1662" s="1">
        <v>0</v>
      </c>
      <c r="K1662" s="1">
        <v>0</v>
      </c>
      <c r="L1662" s="1">
        <v>0</v>
      </c>
      <c r="M1662" s="1">
        <v>0</v>
      </c>
      <c r="O1662" s="1">
        <v>97</v>
      </c>
      <c r="P1662" s="4">
        <f t="shared" si="75"/>
        <v>988000</v>
      </c>
      <c r="Q1662" s="4">
        <f t="shared" si="76"/>
        <v>4</v>
      </c>
      <c r="R1662" s="4">
        <f t="shared" si="77"/>
        <v>247000</v>
      </c>
    </row>
    <row r="1663" spans="1:18">
      <c r="A1663" s="1">
        <v>2</v>
      </c>
      <c r="B1663" s="1" t="str">
        <f>"قطعات و لوازم يدكي"</f>
        <v>قطعات و لوازم يدكي</v>
      </c>
      <c r="C1663" s="1">
        <v>101</v>
      </c>
      <c r="D1663" s="1" t="str">
        <f>"انبار قطعات و لوازم يدكي اصفهان"</f>
        <v>انبار قطعات و لوازم يدكي اصفهان</v>
      </c>
      <c r="E1663" s="1" t="str">
        <f>"8722011002"</f>
        <v>8722011002</v>
      </c>
      <c r="F1663" s="1" t="str">
        <f>"روغن  هيدروليک بهران 68"</f>
        <v>روغن  هيدروليک بهران 68</v>
      </c>
      <c r="G1663" s="1" t="str">
        <f>"ليتر"</f>
        <v>ليتر</v>
      </c>
      <c r="H1663" s="1">
        <v>100</v>
      </c>
      <c r="I1663" s="1">
        <v>5734000</v>
      </c>
      <c r="J1663" s="1">
        <v>0</v>
      </c>
      <c r="K1663" s="1">
        <v>0</v>
      </c>
      <c r="L1663" s="1">
        <v>0</v>
      </c>
      <c r="M1663" s="1">
        <v>0</v>
      </c>
      <c r="O1663" s="1">
        <v>97</v>
      </c>
      <c r="P1663" s="4">
        <f t="shared" si="75"/>
        <v>5734000</v>
      </c>
      <c r="Q1663" s="4">
        <f t="shared" si="76"/>
        <v>100</v>
      </c>
      <c r="R1663" s="4">
        <f t="shared" si="77"/>
        <v>57340</v>
      </c>
    </row>
    <row r="1664" spans="1:18">
      <c r="A1664" s="1">
        <v>2</v>
      </c>
      <c r="B1664" s="1" t="str">
        <f>"قطعات و لوازم يدكي"</f>
        <v>قطعات و لوازم يدكي</v>
      </c>
      <c r="C1664" s="1">
        <v>101</v>
      </c>
      <c r="D1664" s="1" t="str">
        <f>"انبار قطعات و لوازم يدكي اصفهان"</f>
        <v>انبار قطعات و لوازم يدكي اصفهان</v>
      </c>
      <c r="E1664" s="1" t="str">
        <f>"8722011042"</f>
        <v>8722011042</v>
      </c>
      <c r="F1664" s="1" t="str">
        <f>"روغن کمپرسور آنلايزر(ultera coolant)"</f>
        <v>روغن کمپرسور آنلايزر(ultera coolant)</v>
      </c>
      <c r="G1664" s="1" t="str">
        <f>"ليتر"</f>
        <v>ليتر</v>
      </c>
      <c r="H1664" s="1">
        <v>25</v>
      </c>
      <c r="I1664" s="1">
        <v>28500000</v>
      </c>
      <c r="J1664" s="1">
        <v>0</v>
      </c>
      <c r="K1664" s="1">
        <v>0</v>
      </c>
      <c r="L1664" s="1">
        <v>4</v>
      </c>
      <c r="M1664" s="1">
        <v>4560000</v>
      </c>
      <c r="O1664" s="1">
        <v>97</v>
      </c>
      <c r="P1664" s="4">
        <f t="shared" si="75"/>
        <v>23940000</v>
      </c>
      <c r="Q1664" s="4">
        <f t="shared" si="76"/>
        <v>21</v>
      </c>
      <c r="R1664" s="4">
        <f t="shared" si="77"/>
        <v>1140000</v>
      </c>
    </row>
    <row r="1665" spans="1:18">
      <c r="A1665" s="1">
        <v>2</v>
      </c>
      <c r="B1665" s="1" t="str">
        <f>"قطعات و لوازم يدكي"</f>
        <v>قطعات و لوازم يدكي</v>
      </c>
      <c r="C1665" s="1">
        <v>101</v>
      </c>
      <c r="D1665" s="1" t="str">
        <f>"انبار قطعات و لوازم يدكي اصفهان"</f>
        <v>انبار قطعات و لوازم يدكي اصفهان</v>
      </c>
      <c r="E1665" s="1" t="str">
        <f>"8722030322"</f>
        <v>8722030322</v>
      </c>
      <c r="F1665" s="1" t="str">
        <f>"روغن TECHTROL GOLO III (C-1601A/B"</f>
        <v>روغن TECHTROL GOLO III (C-1601A/B</v>
      </c>
      <c r="G1665" s="1" t="str">
        <f>"ليتر"</f>
        <v>ليتر</v>
      </c>
      <c r="H1665" s="1">
        <v>516</v>
      </c>
      <c r="I1665" s="1">
        <v>453773715</v>
      </c>
      <c r="J1665" s="1">
        <v>0</v>
      </c>
      <c r="K1665" s="1">
        <v>0</v>
      </c>
      <c r="L1665" s="1">
        <v>308</v>
      </c>
      <c r="M1665" s="1">
        <v>270857178</v>
      </c>
      <c r="O1665" s="1">
        <v>97</v>
      </c>
      <c r="P1665" s="4">
        <f t="shared" si="75"/>
        <v>182916537</v>
      </c>
      <c r="Q1665" s="4">
        <f t="shared" si="76"/>
        <v>208</v>
      </c>
      <c r="R1665" s="4">
        <f t="shared" si="77"/>
        <v>879406.42788461538</v>
      </c>
    </row>
    <row r="1666" spans="1:18">
      <c r="A1666" s="1">
        <v>2</v>
      </c>
      <c r="B1666" s="1" t="str">
        <f>"قطعات و لوازم يدكي"</f>
        <v>قطعات و لوازم يدكي</v>
      </c>
      <c r="C1666" s="1">
        <v>101</v>
      </c>
      <c r="D1666" s="1" t="str">
        <f>"انبار قطعات و لوازم يدكي اصفهان"</f>
        <v>انبار قطعات و لوازم يدكي اصفهان</v>
      </c>
      <c r="E1666" s="1" t="str">
        <f>"8722030362"</f>
        <v>8722030362</v>
      </c>
      <c r="F1666" s="1" t="str">
        <f>"روغن Shell donax tm  مخصوص آسياب امولسيون"</f>
        <v>روغن Shell donax tm  مخصوص آسياب امولسيون</v>
      </c>
      <c r="G1666" s="1" t="str">
        <f>"ليتر"</f>
        <v>ليتر</v>
      </c>
      <c r="H1666" s="1">
        <v>20</v>
      </c>
      <c r="I1666" s="1">
        <v>3000000</v>
      </c>
      <c r="J1666" s="1">
        <v>0</v>
      </c>
      <c r="K1666" s="1">
        <v>0</v>
      </c>
      <c r="L1666" s="1">
        <v>0</v>
      </c>
      <c r="M1666" s="1">
        <v>0</v>
      </c>
      <c r="O1666" s="1">
        <v>97</v>
      </c>
      <c r="P1666" s="4">
        <f t="shared" si="75"/>
        <v>3000000</v>
      </c>
      <c r="Q1666" s="4">
        <f t="shared" si="76"/>
        <v>20</v>
      </c>
      <c r="R1666" s="4">
        <f t="shared" si="77"/>
        <v>150000</v>
      </c>
    </row>
    <row r="1667" spans="1:18" hidden="1">
      <c r="A1667" s="1">
        <v>2</v>
      </c>
      <c r="B1667" s="1" t="str">
        <f>"قطعات و لوازم يدكي"</f>
        <v>قطعات و لوازم يدكي</v>
      </c>
      <c r="C1667" s="1">
        <v>101</v>
      </c>
      <c r="D1667" s="1" t="str">
        <f>"انبار قطعات و لوازم يدكي اصفهان"</f>
        <v>انبار قطعات و لوازم يدكي اصفهان</v>
      </c>
      <c r="E1667" s="1" t="str">
        <f>"8722060702"</f>
        <v>8722060702</v>
      </c>
      <c r="F1667" s="1" t="str">
        <f>"روغن  بهران توربين 68"</f>
        <v>روغن  بهران توربين 68</v>
      </c>
      <c r="G1667" s="1" t="str">
        <f>"ليتر"</f>
        <v>ليتر</v>
      </c>
      <c r="H1667" s="1">
        <v>208</v>
      </c>
      <c r="I1667" s="1">
        <v>10317359</v>
      </c>
      <c r="J1667" s="1">
        <v>0</v>
      </c>
      <c r="K1667" s="1">
        <v>0</v>
      </c>
      <c r="L1667" s="1">
        <v>208</v>
      </c>
      <c r="M1667" s="1">
        <v>10317359</v>
      </c>
      <c r="O1667" s="1">
        <v>97</v>
      </c>
      <c r="P1667" s="1">
        <f t="shared" ref="P1667:P1730" si="78">I1667+K1667-M1667</f>
        <v>0</v>
      </c>
      <c r="Q1667" s="1">
        <f t="shared" ref="Q1667:Q1730" si="79">H1667+J1667-L1667</f>
        <v>0</v>
      </c>
      <c r="R1667" s="1" t="e">
        <f t="shared" ref="R1667:R1730" si="80">P1667/Q1667</f>
        <v>#DIV/0!</v>
      </c>
    </row>
    <row r="1668" spans="1:18">
      <c r="A1668" s="1">
        <v>2</v>
      </c>
      <c r="B1668" s="1" t="str">
        <f>"قطعات و لوازم يدكي"</f>
        <v>قطعات و لوازم يدكي</v>
      </c>
      <c r="C1668" s="1">
        <v>101</v>
      </c>
      <c r="D1668" s="1" t="str">
        <f>"انبار قطعات و لوازم يدكي اصفهان"</f>
        <v>انبار قطعات و لوازم يدكي اصفهان</v>
      </c>
      <c r="E1668" s="1" t="str">
        <f>"8722070792"</f>
        <v>8722070792</v>
      </c>
      <c r="F1668" s="1" t="str">
        <f>"روغن HB-125"</f>
        <v>روغن HB-125</v>
      </c>
      <c r="G1668" s="1" t="str">
        <f>"ليتر"</f>
        <v>ليتر</v>
      </c>
      <c r="H1668" s="1">
        <v>1248</v>
      </c>
      <c r="I1668" s="1">
        <v>16146482</v>
      </c>
      <c r="J1668" s="1">
        <v>0</v>
      </c>
      <c r="K1668" s="1">
        <v>0</v>
      </c>
      <c r="L1668" s="1">
        <v>0</v>
      </c>
      <c r="M1668" s="1">
        <v>0</v>
      </c>
      <c r="O1668" s="1">
        <v>97</v>
      </c>
      <c r="P1668" s="4">
        <f t="shared" si="78"/>
        <v>16146482</v>
      </c>
      <c r="Q1668" s="4">
        <f t="shared" si="79"/>
        <v>1248</v>
      </c>
      <c r="R1668" s="4">
        <f t="shared" si="80"/>
        <v>12937.886217948719</v>
      </c>
    </row>
    <row r="1669" spans="1:18">
      <c r="A1669" s="1">
        <v>2</v>
      </c>
      <c r="B1669" s="1" t="str">
        <f>"قطعات و لوازم يدكي"</f>
        <v>قطعات و لوازم يدكي</v>
      </c>
      <c r="C1669" s="1">
        <v>101</v>
      </c>
      <c r="D1669" s="1" t="str">
        <f>"انبار قطعات و لوازم يدكي اصفهان"</f>
        <v>انبار قطعات و لوازم يدكي اصفهان</v>
      </c>
      <c r="E1669" s="1" t="str">
        <f>"8726220932"</f>
        <v>8726220932</v>
      </c>
      <c r="F1669" s="1" t="str">
        <f>"روغن IG 150"</f>
        <v>روغن IG 150</v>
      </c>
      <c r="G1669" s="1" t="str">
        <f>"ليتر"</f>
        <v>ليتر</v>
      </c>
      <c r="H1669" s="1">
        <v>1664</v>
      </c>
      <c r="I1669" s="1">
        <v>88792319</v>
      </c>
      <c r="J1669" s="1">
        <v>0</v>
      </c>
      <c r="K1669" s="1">
        <v>0</v>
      </c>
      <c r="L1669" s="1">
        <v>624</v>
      </c>
      <c r="M1669" s="1">
        <v>33297120</v>
      </c>
      <c r="O1669" s="1">
        <v>97</v>
      </c>
      <c r="P1669" s="4">
        <f t="shared" si="78"/>
        <v>55495199</v>
      </c>
      <c r="Q1669" s="4">
        <f t="shared" si="79"/>
        <v>1040</v>
      </c>
      <c r="R1669" s="4">
        <f t="shared" si="80"/>
        <v>53360.768269230772</v>
      </c>
    </row>
    <row r="1670" spans="1:18">
      <c r="A1670" s="1">
        <v>2</v>
      </c>
      <c r="B1670" s="1" t="str">
        <f>"قطعات و لوازم يدكي"</f>
        <v>قطعات و لوازم يدكي</v>
      </c>
      <c r="C1670" s="1">
        <v>101</v>
      </c>
      <c r="D1670" s="1" t="str">
        <f>"انبار قطعات و لوازم يدكي اصفهان"</f>
        <v>انبار قطعات و لوازم يدكي اصفهان</v>
      </c>
      <c r="E1670" s="1" t="str">
        <f>"8726220942"</f>
        <v>8726220942</v>
      </c>
      <c r="F1670" s="1" t="str">
        <f>"SHELL Turbo T 32"</f>
        <v>SHELL Turbo T 32</v>
      </c>
      <c r="G1670" s="1" t="str">
        <f>"ليتر"</f>
        <v>ليتر</v>
      </c>
      <c r="H1670" s="1">
        <v>1463</v>
      </c>
      <c r="I1670" s="1">
        <v>278815756</v>
      </c>
      <c r="J1670" s="1">
        <v>209</v>
      </c>
      <c r="K1670" s="1">
        <v>39830822</v>
      </c>
      <c r="L1670" s="1">
        <v>1045</v>
      </c>
      <c r="M1670" s="1">
        <v>199154111</v>
      </c>
      <c r="O1670" s="1">
        <v>97</v>
      </c>
      <c r="P1670" s="4">
        <f t="shared" si="78"/>
        <v>119492467</v>
      </c>
      <c r="Q1670" s="4">
        <f t="shared" si="79"/>
        <v>627</v>
      </c>
      <c r="R1670" s="4">
        <f t="shared" si="80"/>
        <v>190578.09728867625</v>
      </c>
    </row>
    <row r="1671" spans="1:18" hidden="1">
      <c r="A1671" s="1">
        <v>2</v>
      </c>
      <c r="B1671" s="1" t="str">
        <f>"قطعات و لوازم يدكي"</f>
        <v>قطعات و لوازم يدكي</v>
      </c>
      <c r="C1671" s="1">
        <v>101</v>
      </c>
      <c r="D1671" s="1" t="str">
        <f>"انبار قطعات و لوازم يدكي اصفهان"</f>
        <v>انبار قطعات و لوازم يدكي اصفهان</v>
      </c>
      <c r="E1671" s="1" t="str">
        <f>"8726220952"</f>
        <v>8726220952</v>
      </c>
      <c r="F1671" s="1" t="str">
        <f>"روغن بهران بردبار 150"</f>
        <v>روغن بهران بردبار 150</v>
      </c>
      <c r="G1671" s="1" t="str">
        <f>"ليتر"</f>
        <v>ليتر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O1671" s="1">
        <v>97</v>
      </c>
      <c r="P1671" s="1">
        <f t="shared" si="78"/>
        <v>0</v>
      </c>
      <c r="Q1671" s="1">
        <f t="shared" si="79"/>
        <v>0</v>
      </c>
      <c r="R1671" s="1" t="e">
        <f t="shared" si="80"/>
        <v>#DIV/0!</v>
      </c>
    </row>
    <row r="1672" spans="1:18">
      <c r="A1672" s="1">
        <v>2</v>
      </c>
      <c r="B1672" s="1" t="str">
        <f>"قطعات و لوازم يدكي"</f>
        <v>قطعات و لوازم يدكي</v>
      </c>
      <c r="C1672" s="1">
        <v>101</v>
      </c>
      <c r="D1672" s="1" t="str">
        <f>"انبار قطعات و لوازم يدكي اصفهان"</f>
        <v>انبار قطعات و لوازم يدكي اصفهان</v>
      </c>
      <c r="E1672" s="1" t="str">
        <f>"8765523512"</f>
        <v>8765523512</v>
      </c>
      <c r="F1672" s="1" t="str">
        <f>"گريس Alvania EP1"</f>
        <v>گريس Alvania EP1</v>
      </c>
      <c r="G1672" s="1" t="str">
        <f>"كيلوگرم"</f>
        <v>كيلوگرم</v>
      </c>
      <c r="H1672" s="1">
        <v>4</v>
      </c>
      <c r="I1672" s="1">
        <v>2260000</v>
      </c>
      <c r="J1672" s="1">
        <v>0</v>
      </c>
      <c r="K1672" s="1">
        <v>0</v>
      </c>
      <c r="L1672" s="1">
        <v>0</v>
      </c>
      <c r="M1672" s="1">
        <v>0</v>
      </c>
      <c r="O1672" s="1">
        <v>97</v>
      </c>
      <c r="P1672" s="4">
        <f t="shared" si="78"/>
        <v>2260000</v>
      </c>
      <c r="Q1672" s="4">
        <f t="shared" si="79"/>
        <v>4</v>
      </c>
      <c r="R1672" s="4">
        <f t="shared" si="80"/>
        <v>565000</v>
      </c>
    </row>
    <row r="1673" spans="1:18" hidden="1">
      <c r="A1673" s="1">
        <v>2</v>
      </c>
      <c r="B1673" s="1" t="str">
        <f>"قطعات و لوازم يدكي"</f>
        <v>قطعات و لوازم يدكي</v>
      </c>
      <c r="C1673" s="1">
        <v>101</v>
      </c>
      <c r="D1673" s="1" t="str">
        <f>"انبار قطعات و لوازم يدكي اصفهان"</f>
        <v>انبار قطعات و لوازم يدكي اصفهان</v>
      </c>
      <c r="E1673" s="1" t="str">
        <f>"8901020092"</f>
        <v>8901020092</v>
      </c>
      <c r="F1673" s="1" t="str">
        <f>"ظرف تبخير"</f>
        <v>ظرف تبخير</v>
      </c>
      <c r="G1673" s="1" t="str">
        <f>"عدد"</f>
        <v>عدد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O1673" s="1">
        <v>97</v>
      </c>
      <c r="P1673" s="1">
        <f t="shared" si="78"/>
        <v>0</v>
      </c>
      <c r="Q1673" s="1">
        <f t="shared" si="79"/>
        <v>0</v>
      </c>
      <c r="R1673" s="1" t="e">
        <f t="shared" si="80"/>
        <v>#DIV/0!</v>
      </c>
    </row>
    <row r="1674" spans="1:18" hidden="1">
      <c r="A1674" s="1">
        <v>2</v>
      </c>
      <c r="B1674" s="1" t="str">
        <f>"قطعات و لوازم يدكي"</f>
        <v>قطعات و لوازم يدكي</v>
      </c>
      <c r="C1674" s="1">
        <v>101</v>
      </c>
      <c r="D1674" s="1" t="str">
        <f>"انبار قطعات و لوازم يدكي اصفهان"</f>
        <v>انبار قطعات و لوازم يدكي اصفهان</v>
      </c>
      <c r="E1674" s="1" t="str">
        <f>"9500000022"</f>
        <v>9500000022</v>
      </c>
      <c r="F1674" s="1" t="str">
        <f>"زانو جوشي 90 درجه 6 رده 40"</f>
        <v>زانو جوشي 90 درجه 6 رده 40</v>
      </c>
      <c r="G1674" s="1" t="str">
        <f>"عدد"</f>
        <v>عدد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O1674" s="1">
        <v>97</v>
      </c>
      <c r="P1674" s="1">
        <f t="shared" si="78"/>
        <v>0</v>
      </c>
      <c r="Q1674" s="1">
        <f t="shared" si="79"/>
        <v>0</v>
      </c>
      <c r="R1674" s="1" t="e">
        <f t="shared" si="80"/>
        <v>#DIV/0!</v>
      </c>
    </row>
    <row r="1675" spans="1:18" hidden="1">
      <c r="A1675" s="1">
        <v>2</v>
      </c>
      <c r="B1675" s="1" t="str">
        <f>"قطعات و لوازم يدكي"</f>
        <v>قطعات و لوازم يدكي</v>
      </c>
      <c r="C1675" s="1">
        <v>101</v>
      </c>
      <c r="D1675" s="1" t="str">
        <f>"انبار قطعات و لوازم يدكي اصفهان"</f>
        <v>انبار قطعات و لوازم يدكي اصفهان</v>
      </c>
      <c r="E1675" s="1" t="str">
        <f>"9500000042"</f>
        <v>9500000042</v>
      </c>
      <c r="F1675" s="1" t="str">
        <f>"تبديل جوشي 6*4 رده 40"</f>
        <v>تبديل جوشي 6*4 رده 40</v>
      </c>
      <c r="G1675" s="1" t="str">
        <f>"عدد"</f>
        <v>عدد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O1675" s="1">
        <v>97</v>
      </c>
      <c r="P1675" s="1">
        <f t="shared" si="78"/>
        <v>0</v>
      </c>
      <c r="Q1675" s="1">
        <f t="shared" si="79"/>
        <v>0</v>
      </c>
      <c r="R1675" s="1" t="e">
        <f t="shared" si="80"/>
        <v>#DIV/0!</v>
      </c>
    </row>
    <row r="1676" spans="1:18" hidden="1">
      <c r="A1676" s="1">
        <v>2</v>
      </c>
      <c r="B1676" s="1" t="str">
        <f>"قطعات و لوازم يدكي"</f>
        <v>قطعات و لوازم يدكي</v>
      </c>
      <c r="C1676" s="1">
        <v>101</v>
      </c>
      <c r="D1676" s="1" t="str">
        <f>"انبار قطعات و لوازم يدكي اصفهان"</f>
        <v>انبار قطعات و لوازم يدكي اصفهان</v>
      </c>
      <c r="E1676" s="1" t="str">
        <f>"9500000102"</f>
        <v>9500000102</v>
      </c>
      <c r="F1676" s="1" t="str">
        <f>"يوبولت 6"</f>
        <v>يوبولت 6</v>
      </c>
      <c r="G1676" s="1" t="str">
        <f>"عدد"</f>
        <v>عدد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O1676" s="1">
        <v>97</v>
      </c>
      <c r="P1676" s="1">
        <f t="shared" si="78"/>
        <v>0</v>
      </c>
      <c r="Q1676" s="1">
        <f t="shared" si="79"/>
        <v>0</v>
      </c>
      <c r="R1676" s="1" t="e">
        <f t="shared" si="80"/>
        <v>#DIV/0!</v>
      </c>
    </row>
    <row r="1677" spans="1:18" hidden="1">
      <c r="A1677" s="1">
        <v>2</v>
      </c>
      <c r="B1677" s="1" t="str">
        <f>"قطعات و لوازم يدكي"</f>
        <v>قطعات و لوازم يدكي</v>
      </c>
      <c r="C1677" s="1">
        <v>101</v>
      </c>
      <c r="D1677" s="1" t="str">
        <f>"انبار قطعات و لوازم يدكي اصفهان"</f>
        <v>انبار قطعات و لوازم يدكي اصفهان</v>
      </c>
      <c r="E1677" s="1" t="str">
        <f>"9500000172"</f>
        <v>9500000172</v>
      </c>
      <c r="F1677" s="1" t="str">
        <f>"نيپل 3/4 رده 160"</f>
        <v>نيپل 3/4 رده 160</v>
      </c>
      <c r="G1677" s="1" t="str">
        <f>"عدد"</f>
        <v>عدد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O1677" s="1">
        <v>97</v>
      </c>
      <c r="P1677" s="1">
        <f t="shared" si="78"/>
        <v>0</v>
      </c>
      <c r="Q1677" s="1">
        <f t="shared" si="79"/>
        <v>0</v>
      </c>
      <c r="R1677" s="1" t="e">
        <f t="shared" si="80"/>
        <v>#DIV/0!</v>
      </c>
    </row>
    <row r="1678" spans="1:18">
      <c r="A1678" s="1">
        <v>2</v>
      </c>
      <c r="B1678" s="1" t="str">
        <f>"قطعات و لوازم يدكي"</f>
        <v>قطعات و لوازم يدكي</v>
      </c>
      <c r="C1678" s="1">
        <v>120</v>
      </c>
      <c r="D1678" s="1" t="str">
        <f>"انبار قطعات و لوازم يدكي بشکه سازي اصفهان"</f>
        <v>انبار قطعات و لوازم يدكي بشکه سازي اصفهان</v>
      </c>
      <c r="E1678" s="1" t="str">
        <f>"4111700029"</f>
        <v>4111700029</v>
      </c>
      <c r="F1678" s="1" t="str">
        <f>"لامپ چراغ گردان ليفتراک"</f>
        <v>لامپ چراغ گردان ليفتراک</v>
      </c>
      <c r="G1678" s="1" t="str">
        <f>"عدد"</f>
        <v>عدد</v>
      </c>
      <c r="H1678" s="1">
        <v>0</v>
      </c>
      <c r="I1678" s="1">
        <v>0</v>
      </c>
      <c r="J1678" s="1">
        <v>6</v>
      </c>
      <c r="K1678" s="1">
        <v>1500000</v>
      </c>
      <c r="L1678" s="1">
        <v>0</v>
      </c>
      <c r="M1678" s="1">
        <v>0</v>
      </c>
      <c r="O1678" s="1">
        <v>97</v>
      </c>
      <c r="P1678" s="4">
        <f t="shared" si="78"/>
        <v>1500000</v>
      </c>
      <c r="Q1678" s="4">
        <f t="shared" si="79"/>
        <v>6</v>
      </c>
      <c r="R1678" s="4">
        <f t="shared" si="80"/>
        <v>250000</v>
      </c>
    </row>
    <row r="1679" spans="1:18">
      <c r="A1679" s="1">
        <v>2</v>
      </c>
      <c r="B1679" s="1" t="str">
        <f>"قطعات و لوازم يدكي"</f>
        <v>قطعات و لوازم يدكي</v>
      </c>
      <c r="C1679" s="1">
        <v>120</v>
      </c>
      <c r="D1679" s="1" t="str">
        <f>"انبار قطعات و لوازم يدكي بشکه سازي اصفهان"</f>
        <v>انبار قطعات و لوازم يدكي بشکه سازي اصفهان</v>
      </c>
      <c r="E1679" s="1" t="str">
        <f>"4111700040"</f>
        <v>4111700040</v>
      </c>
      <c r="F1679" s="1" t="str">
        <f>"فيوز قلمي 20 آمپر"</f>
        <v>فيوز قلمي 20 آمپر</v>
      </c>
      <c r="G1679" s="1" t="str">
        <f>"عدد"</f>
        <v>عدد</v>
      </c>
      <c r="H1679" s="1">
        <v>0</v>
      </c>
      <c r="I1679" s="1">
        <v>0</v>
      </c>
      <c r="J1679" s="1">
        <v>19</v>
      </c>
      <c r="K1679" s="1">
        <v>570000</v>
      </c>
      <c r="L1679" s="1">
        <v>0</v>
      </c>
      <c r="M1679" s="1">
        <v>0</v>
      </c>
      <c r="O1679" s="1">
        <v>97</v>
      </c>
      <c r="P1679" s="4">
        <f t="shared" si="78"/>
        <v>570000</v>
      </c>
      <c r="Q1679" s="4">
        <f t="shared" si="79"/>
        <v>19</v>
      </c>
      <c r="R1679" s="4">
        <f t="shared" si="80"/>
        <v>30000</v>
      </c>
    </row>
    <row r="1680" spans="1:18">
      <c r="A1680" s="1">
        <v>2</v>
      </c>
      <c r="B1680" s="1" t="str">
        <f>"قطعات و لوازم يدكي"</f>
        <v>قطعات و لوازم يدكي</v>
      </c>
      <c r="C1680" s="1">
        <v>120</v>
      </c>
      <c r="D1680" s="1" t="str">
        <f>"انبار قطعات و لوازم يدكي بشکه سازي اصفهان"</f>
        <v>انبار قطعات و لوازم يدكي بشکه سازي اصفهان</v>
      </c>
      <c r="E1680" s="1" t="str">
        <f>"4111700053"</f>
        <v>4111700053</v>
      </c>
      <c r="F1680" s="1" t="str">
        <f>"شصتي کله قارچي."</f>
        <v>شصتي کله قارچي.</v>
      </c>
      <c r="G1680" s="1" t="str">
        <f>"عدد"</f>
        <v>عدد</v>
      </c>
      <c r="H1680" s="1">
        <v>0</v>
      </c>
      <c r="I1680" s="1">
        <v>0</v>
      </c>
      <c r="J1680" s="1">
        <v>9</v>
      </c>
      <c r="K1680" s="1">
        <v>450000</v>
      </c>
      <c r="L1680" s="1">
        <v>0</v>
      </c>
      <c r="M1680" s="1">
        <v>0</v>
      </c>
      <c r="O1680" s="1">
        <v>97</v>
      </c>
      <c r="P1680" s="4">
        <f t="shared" si="78"/>
        <v>450000</v>
      </c>
      <c r="Q1680" s="4">
        <f t="shared" si="79"/>
        <v>9</v>
      </c>
      <c r="R1680" s="4">
        <f t="shared" si="80"/>
        <v>50000</v>
      </c>
    </row>
    <row r="1681" spans="1:18" hidden="1">
      <c r="A1681" s="1">
        <v>6</v>
      </c>
      <c r="B1681" s="1" t="str">
        <f>"موجودي ملزومات اداري"</f>
        <v>موجودي ملزومات اداري</v>
      </c>
      <c r="C1681" s="1">
        <v>110</v>
      </c>
      <c r="D1681" s="1" t="str">
        <f>"ملزومات اداري اصفهان"</f>
        <v>ملزومات اداري اصفهان</v>
      </c>
      <c r="E1681" s="1" t="str">
        <f>"0000011692"</f>
        <v>0000011692</v>
      </c>
      <c r="F1681" s="1" t="str">
        <f>"شيرازه بزرگ 12"</f>
        <v>شيرازه بزرگ 12</v>
      </c>
      <c r="G1681" s="1" t="str">
        <f>"عدد"</f>
        <v>عدد</v>
      </c>
      <c r="H1681" s="1">
        <v>33</v>
      </c>
      <c r="I1681" s="1">
        <v>28050</v>
      </c>
      <c r="J1681" s="1">
        <v>0</v>
      </c>
      <c r="K1681" s="1">
        <v>0</v>
      </c>
      <c r="L1681" s="1">
        <v>33</v>
      </c>
      <c r="M1681" s="1">
        <v>28050</v>
      </c>
      <c r="O1681" s="1">
        <v>97</v>
      </c>
      <c r="P1681" s="1">
        <f t="shared" si="78"/>
        <v>0</v>
      </c>
      <c r="Q1681" s="1">
        <f t="shared" si="79"/>
        <v>0</v>
      </c>
      <c r="R1681" s="1" t="e">
        <f t="shared" si="80"/>
        <v>#DIV/0!</v>
      </c>
    </row>
    <row r="1682" spans="1:18" hidden="1">
      <c r="A1682" s="1">
        <v>6</v>
      </c>
      <c r="B1682" s="1" t="str">
        <f>"موجودي ملزومات اداري"</f>
        <v>موجودي ملزومات اداري</v>
      </c>
      <c r="C1682" s="1">
        <v>110</v>
      </c>
      <c r="D1682" s="1" t="str">
        <f>"ملزومات اداري اصفهان"</f>
        <v>ملزومات اداري اصفهان</v>
      </c>
      <c r="E1682" s="1" t="str">
        <f>"0000011712"</f>
        <v>0000011712</v>
      </c>
      <c r="F1682" s="1" t="str">
        <f>"ديوايدر"</f>
        <v>ديوايدر</v>
      </c>
      <c r="G1682" s="1" t="str">
        <f>"عدد"</f>
        <v>عدد</v>
      </c>
      <c r="H1682" s="1">
        <v>5</v>
      </c>
      <c r="I1682" s="1">
        <v>400000</v>
      </c>
      <c r="J1682" s="1">
        <v>0</v>
      </c>
      <c r="K1682" s="1">
        <v>0</v>
      </c>
      <c r="L1682" s="1">
        <v>5</v>
      </c>
      <c r="M1682" s="1">
        <v>400000</v>
      </c>
      <c r="O1682" s="1">
        <v>97</v>
      </c>
      <c r="P1682" s="1">
        <f t="shared" si="78"/>
        <v>0</v>
      </c>
      <c r="Q1682" s="1">
        <f t="shared" si="79"/>
        <v>0</v>
      </c>
      <c r="R1682" s="1" t="e">
        <f t="shared" si="80"/>
        <v>#DIV/0!</v>
      </c>
    </row>
    <row r="1683" spans="1:18">
      <c r="A1683" s="1">
        <v>6</v>
      </c>
      <c r="B1683" s="1" t="str">
        <f>"موجودي ملزومات اداري"</f>
        <v>موجودي ملزومات اداري</v>
      </c>
      <c r="C1683" s="1">
        <v>110</v>
      </c>
      <c r="D1683" s="1" t="str">
        <f>"ملزومات اداري اصفهان"</f>
        <v>ملزومات اداري اصفهان</v>
      </c>
      <c r="E1683" s="1" t="str">
        <f>"0000020062"</f>
        <v>0000020062</v>
      </c>
      <c r="F1683" s="1" t="str">
        <f>"لباس كار يكسره"</f>
        <v>لباس كار يكسره</v>
      </c>
      <c r="G1683" s="1" t="str">
        <f>"عدد"</f>
        <v>عدد</v>
      </c>
      <c r="H1683" s="1">
        <v>73</v>
      </c>
      <c r="I1683" s="1">
        <v>45148158</v>
      </c>
      <c r="J1683" s="1">
        <v>245</v>
      </c>
      <c r="K1683" s="1">
        <v>282800000</v>
      </c>
      <c r="L1683" s="1">
        <v>244</v>
      </c>
      <c r="M1683" s="1">
        <v>246996808</v>
      </c>
      <c r="O1683" s="1">
        <v>97</v>
      </c>
      <c r="P1683" s="4">
        <f t="shared" si="78"/>
        <v>80951350</v>
      </c>
      <c r="Q1683" s="4">
        <f t="shared" si="79"/>
        <v>74</v>
      </c>
      <c r="R1683" s="4">
        <f t="shared" si="80"/>
        <v>1093937.1621621621</v>
      </c>
    </row>
    <row r="1684" spans="1:18">
      <c r="A1684" s="1">
        <v>6</v>
      </c>
      <c r="B1684" s="1" t="str">
        <f>"موجودي ملزومات اداري"</f>
        <v>موجودي ملزومات اداري</v>
      </c>
      <c r="C1684" s="1">
        <v>110</v>
      </c>
      <c r="D1684" s="1" t="str">
        <f>"ملزومات اداري اصفهان"</f>
        <v>ملزومات اداري اصفهان</v>
      </c>
      <c r="E1684" s="1" t="str">
        <f>"0000020302"</f>
        <v>0000020302</v>
      </c>
      <c r="F1684" s="1" t="str">
        <f>"مقنعه جوشکاري چرمي"</f>
        <v>مقنعه جوشکاري چرمي</v>
      </c>
      <c r="G1684" s="1" t="str">
        <f>"عدد"</f>
        <v>عدد</v>
      </c>
      <c r="H1684" s="1">
        <v>47</v>
      </c>
      <c r="I1684" s="1">
        <v>10105000</v>
      </c>
      <c r="J1684" s="1">
        <v>0</v>
      </c>
      <c r="K1684" s="1">
        <v>0</v>
      </c>
      <c r="L1684" s="1">
        <v>0</v>
      </c>
      <c r="M1684" s="1">
        <v>0</v>
      </c>
      <c r="O1684" s="1">
        <v>97</v>
      </c>
      <c r="P1684" s="4">
        <f t="shared" si="78"/>
        <v>10105000</v>
      </c>
      <c r="Q1684" s="4">
        <f t="shared" si="79"/>
        <v>47</v>
      </c>
      <c r="R1684" s="4">
        <f t="shared" si="80"/>
        <v>215000</v>
      </c>
    </row>
    <row r="1685" spans="1:18">
      <c r="A1685" s="1">
        <v>6</v>
      </c>
      <c r="B1685" s="1" t="str">
        <f>"موجودي ملزومات اداري"</f>
        <v>موجودي ملزومات اداري</v>
      </c>
      <c r="C1685" s="1">
        <v>110</v>
      </c>
      <c r="D1685" s="1" t="str">
        <f>"ملزومات اداري اصفهان"</f>
        <v>ملزومات اداري اصفهان</v>
      </c>
      <c r="E1685" s="1" t="str">
        <f>"0000020322"</f>
        <v>0000020322</v>
      </c>
      <c r="F1685" s="1" t="str">
        <f>"دستکش طرح فرانسه"</f>
        <v>دستکش طرح فرانسه</v>
      </c>
      <c r="G1685" s="1" t="str">
        <f>"جفت"</f>
        <v>جفت</v>
      </c>
      <c r="H1685" s="1">
        <v>21</v>
      </c>
      <c r="I1685" s="1">
        <v>6342000</v>
      </c>
      <c r="J1685" s="1">
        <v>0</v>
      </c>
      <c r="K1685" s="1">
        <v>0</v>
      </c>
      <c r="L1685" s="1">
        <v>0</v>
      </c>
      <c r="M1685" s="1">
        <v>0</v>
      </c>
      <c r="O1685" s="1">
        <v>97</v>
      </c>
      <c r="P1685" s="4">
        <f t="shared" si="78"/>
        <v>6342000</v>
      </c>
      <c r="Q1685" s="4">
        <f t="shared" si="79"/>
        <v>21</v>
      </c>
      <c r="R1685" s="4">
        <f t="shared" si="80"/>
        <v>302000</v>
      </c>
    </row>
    <row r="1686" spans="1:18" hidden="1">
      <c r="A1686" s="1">
        <v>6</v>
      </c>
      <c r="B1686" s="1" t="str">
        <f>"موجودي ملزومات اداري"</f>
        <v>موجودي ملزومات اداري</v>
      </c>
      <c r="C1686" s="1">
        <v>110</v>
      </c>
      <c r="D1686" s="1" t="str">
        <f>"ملزومات اداري اصفهان"</f>
        <v>ملزومات اداري اصفهان</v>
      </c>
      <c r="E1686" s="1" t="str">
        <f>"0000055072"</f>
        <v>0000055072</v>
      </c>
      <c r="F1686" s="1" t="str">
        <f>"مسواک دستشويي"</f>
        <v>مسواک دستشويي</v>
      </c>
      <c r="G1686" s="1" t="str">
        <f>"عدد"</f>
        <v>عدد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O1686" s="1">
        <v>97</v>
      </c>
      <c r="P1686" s="1">
        <f t="shared" si="78"/>
        <v>0</v>
      </c>
      <c r="Q1686" s="1">
        <f t="shared" si="79"/>
        <v>0</v>
      </c>
      <c r="R1686" s="1" t="e">
        <f t="shared" si="80"/>
        <v>#DIV/0!</v>
      </c>
    </row>
    <row r="1687" spans="1:18">
      <c r="A1687" s="1">
        <v>6</v>
      </c>
      <c r="B1687" s="1" t="str">
        <f>"موجودي ملزومات اداري"</f>
        <v>موجودي ملزومات اداري</v>
      </c>
      <c r="C1687" s="1">
        <v>110</v>
      </c>
      <c r="D1687" s="1" t="str">
        <f>"ملزومات اداري اصفهان"</f>
        <v>ملزومات اداري اصفهان</v>
      </c>
      <c r="E1687" s="1" t="str">
        <f>"0000055552"</f>
        <v>0000055552</v>
      </c>
      <c r="F1687" s="1" t="str">
        <f>"زير دستي"</f>
        <v>زير دستي</v>
      </c>
      <c r="G1687" s="1" t="str">
        <f>"عدد"</f>
        <v>عدد</v>
      </c>
      <c r="H1687" s="1">
        <v>9</v>
      </c>
      <c r="I1687" s="1">
        <v>360000</v>
      </c>
      <c r="J1687" s="1">
        <v>10</v>
      </c>
      <c r="K1687" s="1">
        <v>500000</v>
      </c>
      <c r="L1687" s="1">
        <v>16</v>
      </c>
      <c r="M1687" s="1">
        <v>718572</v>
      </c>
      <c r="O1687" s="1">
        <v>97</v>
      </c>
      <c r="P1687" s="4">
        <f t="shared" si="78"/>
        <v>141428</v>
      </c>
      <c r="Q1687" s="4">
        <f t="shared" si="79"/>
        <v>3</v>
      </c>
      <c r="R1687" s="4">
        <f t="shared" si="80"/>
        <v>47142.666666666664</v>
      </c>
    </row>
    <row r="1688" spans="1:18" hidden="1">
      <c r="A1688" s="1">
        <v>6</v>
      </c>
      <c r="B1688" s="1" t="str">
        <f>"موجودي ملزومات اداري"</f>
        <v>موجودي ملزومات اداري</v>
      </c>
      <c r="C1688" s="1">
        <v>110</v>
      </c>
      <c r="D1688" s="1" t="str">
        <f>"ملزومات اداري اصفهان"</f>
        <v>ملزومات اداري اصفهان</v>
      </c>
      <c r="E1688" s="1" t="str">
        <f>"1501020132"</f>
        <v>1501020132</v>
      </c>
      <c r="F1688" s="1" t="str">
        <f>"گاز استريل"</f>
        <v>گاز استريل</v>
      </c>
      <c r="G1688" s="1" t="str">
        <f>"عدد"</f>
        <v>عدد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O1688" s="1">
        <v>97</v>
      </c>
      <c r="P1688" s="1">
        <f t="shared" si="78"/>
        <v>0</v>
      </c>
      <c r="Q1688" s="1">
        <f t="shared" si="79"/>
        <v>0</v>
      </c>
      <c r="R1688" s="1" t="e">
        <f t="shared" si="80"/>
        <v>#DIV/0!</v>
      </c>
    </row>
    <row r="1689" spans="1:18" hidden="1">
      <c r="A1689" s="1">
        <v>6</v>
      </c>
      <c r="B1689" s="1" t="str">
        <f>"موجودي ملزومات اداري"</f>
        <v>موجودي ملزومات اداري</v>
      </c>
      <c r="C1689" s="1">
        <v>110</v>
      </c>
      <c r="D1689" s="1" t="str">
        <f>"ملزومات اداري اصفهان"</f>
        <v>ملزومات اداري اصفهان</v>
      </c>
      <c r="E1689" s="1" t="str">
        <f>"1501020592"</f>
        <v>1501020592</v>
      </c>
      <c r="F1689" s="1" t="str">
        <f>"نخ قالي"</f>
        <v>نخ قالي</v>
      </c>
      <c r="G1689" s="1" t="str">
        <f>"كيلوگرم"</f>
        <v>كيلوگرم</v>
      </c>
      <c r="H1689" s="1">
        <v>0</v>
      </c>
      <c r="I1689" s="1">
        <v>0</v>
      </c>
      <c r="J1689" s="1">
        <v>20</v>
      </c>
      <c r="K1689" s="1">
        <v>8200000</v>
      </c>
      <c r="L1689" s="1">
        <v>20</v>
      </c>
      <c r="M1689" s="1">
        <v>8200000</v>
      </c>
      <c r="O1689" s="1">
        <v>97</v>
      </c>
      <c r="P1689" s="1">
        <f t="shared" si="78"/>
        <v>0</v>
      </c>
      <c r="Q1689" s="1">
        <f t="shared" si="79"/>
        <v>0</v>
      </c>
      <c r="R1689" s="1" t="e">
        <f t="shared" si="80"/>
        <v>#DIV/0!</v>
      </c>
    </row>
    <row r="1690" spans="1:18">
      <c r="A1690" s="1">
        <v>6</v>
      </c>
      <c r="B1690" s="1" t="str">
        <f>"موجودي ملزومات اداري"</f>
        <v>موجودي ملزومات اداري</v>
      </c>
      <c r="C1690" s="1">
        <v>110</v>
      </c>
      <c r="D1690" s="1" t="str">
        <f>"ملزومات اداري اصفهان"</f>
        <v>ملزومات اداري اصفهان</v>
      </c>
      <c r="E1690" s="1" t="str">
        <f>"1501021182"</f>
        <v>1501021182</v>
      </c>
      <c r="F1690" s="1" t="str">
        <f>"مغزي شير مخلوط"</f>
        <v>مغزي شير مخلوط</v>
      </c>
      <c r="G1690" s="1" t="str">
        <f>"عدد"</f>
        <v>عدد</v>
      </c>
      <c r="H1690" s="1">
        <v>9</v>
      </c>
      <c r="I1690" s="1">
        <v>450000</v>
      </c>
      <c r="J1690" s="1">
        <v>0</v>
      </c>
      <c r="K1690" s="1">
        <v>0</v>
      </c>
      <c r="L1690" s="1">
        <v>2</v>
      </c>
      <c r="M1690" s="1">
        <v>100000</v>
      </c>
      <c r="O1690" s="1">
        <v>97</v>
      </c>
      <c r="P1690" s="4">
        <f t="shared" si="78"/>
        <v>350000</v>
      </c>
      <c r="Q1690" s="4">
        <f t="shared" si="79"/>
        <v>7</v>
      </c>
      <c r="R1690" s="4">
        <f t="shared" si="80"/>
        <v>50000</v>
      </c>
    </row>
    <row r="1691" spans="1:18">
      <c r="A1691" s="1">
        <v>6</v>
      </c>
      <c r="B1691" s="1" t="str">
        <f>"موجودي ملزومات اداري"</f>
        <v>موجودي ملزومات اداري</v>
      </c>
      <c r="C1691" s="1">
        <v>110</v>
      </c>
      <c r="D1691" s="1" t="str">
        <f>"ملزومات اداري اصفهان"</f>
        <v>ملزومات اداري اصفهان</v>
      </c>
      <c r="E1691" s="1" t="str">
        <f>"1501021242"</f>
        <v>1501021242</v>
      </c>
      <c r="F1691" s="1" t="str">
        <f>"پارچه باد نما قطر 30 سانتيمتر"</f>
        <v>پارچه باد نما قطر 30 سانتيمتر</v>
      </c>
      <c r="G1691" s="1" t="str">
        <f>"عدد"</f>
        <v>عدد</v>
      </c>
      <c r="H1691" s="1">
        <v>4</v>
      </c>
      <c r="I1691" s="1">
        <v>5400000</v>
      </c>
      <c r="J1691" s="1">
        <v>6</v>
      </c>
      <c r="K1691" s="1">
        <v>9000000</v>
      </c>
      <c r="L1691" s="1">
        <v>5</v>
      </c>
      <c r="M1691" s="1">
        <v>6900000</v>
      </c>
      <c r="O1691" s="1">
        <v>97</v>
      </c>
      <c r="P1691" s="4">
        <f t="shared" si="78"/>
        <v>7500000</v>
      </c>
      <c r="Q1691" s="4">
        <f t="shared" si="79"/>
        <v>5</v>
      </c>
      <c r="R1691" s="4">
        <f t="shared" si="80"/>
        <v>1500000</v>
      </c>
    </row>
    <row r="1692" spans="1:18" hidden="1">
      <c r="A1692" s="1">
        <v>6</v>
      </c>
      <c r="B1692" s="1" t="str">
        <f>"موجودي ملزومات اداري"</f>
        <v>موجودي ملزومات اداري</v>
      </c>
      <c r="C1692" s="1">
        <v>110</v>
      </c>
      <c r="D1692" s="1" t="str">
        <f>"ملزومات اداري اصفهان"</f>
        <v>ملزومات اداري اصفهان</v>
      </c>
      <c r="E1692" s="1" t="str">
        <f>"1501021302"</f>
        <v>1501021302</v>
      </c>
      <c r="F1692" s="1" t="str">
        <f>"روپو ش آزمايشگاه"</f>
        <v>روپو ش آزمايشگاه</v>
      </c>
      <c r="G1692" s="1" t="str">
        <f>"عدد"</f>
        <v>عدد</v>
      </c>
      <c r="H1692" s="1">
        <v>0</v>
      </c>
      <c r="I1692" s="1">
        <v>0</v>
      </c>
      <c r="J1692" s="1">
        <v>21</v>
      </c>
      <c r="K1692" s="1">
        <v>6720000</v>
      </c>
      <c r="L1692" s="1">
        <v>21</v>
      </c>
      <c r="M1692" s="1">
        <v>6720000</v>
      </c>
      <c r="O1692" s="1">
        <v>97</v>
      </c>
      <c r="P1692" s="1">
        <f t="shared" si="78"/>
        <v>0</v>
      </c>
      <c r="Q1692" s="1">
        <f t="shared" si="79"/>
        <v>0</v>
      </c>
      <c r="R1692" s="1" t="e">
        <f t="shared" si="80"/>
        <v>#DIV/0!</v>
      </c>
    </row>
    <row r="1693" spans="1:18">
      <c r="A1693" s="1">
        <v>6</v>
      </c>
      <c r="B1693" s="1" t="str">
        <f>"موجودي ملزومات اداري"</f>
        <v>موجودي ملزومات اداري</v>
      </c>
      <c r="C1693" s="1">
        <v>110</v>
      </c>
      <c r="D1693" s="1" t="str">
        <f>"ملزومات اداري اصفهان"</f>
        <v>ملزومات اداري اصفهان</v>
      </c>
      <c r="E1693" s="1" t="str">
        <f>"1501021372"</f>
        <v>1501021372</v>
      </c>
      <c r="F1693" s="1" t="str">
        <f>"مجوز کار گرم"</f>
        <v>مجوز کار گرم</v>
      </c>
      <c r="G1693" s="1" t="str">
        <f>"پد"</f>
        <v>پد</v>
      </c>
      <c r="H1693" s="1">
        <v>0</v>
      </c>
      <c r="I1693" s="1">
        <v>0</v>
      </c>
      <c r="J1693" s="1">
        <v>100</v>
      </c>
      <c r="K1693" s="1">
        <v>10000000</v>
      </c>
      <c r="L1693" s="1">
        <v>0</v>
      </c>
      <c r="M1693" s="1">
        <v>0</v>
      </c>
      <c r="O1693" s="1">
        <v>97</v>
      </c>
      <c r="P1693" s="4">
        <f t="shared" si="78"/>
        <v>10000000</v>
      </c>
      <c r="Q1693" s="4">
        <f t="shared" si="79"/>
        <v>100</v>
      </c>
      <c r="R1693" s="4">
        <f t="shared" si="80"/>
        <v>100000</v>
      </c>
    </row>
    <row r="1694" spans="1:18">
      <c r="A1694" s="1">
        <v>6</v>
      </c>
      <c r="B1694" s="1" t="str">
        <f>"موجودي ملزومات اداري"</f>
        <v>موجودي ملزومات اداري</v>
      </c>
      <c r="C1694" s="1">
        <v>110</v>
      </c>
      <c r="D1694" s="1" t="str">
        <f>"ملزومات اداري اصفهان"</f>
        <v>ملزومات اداري اصفهان</v>
      </c>
      <c r="E1694" s="1" t="str">
        <f>"1501021422"</f>
        <v>1501021422</v>
      </c>
      <c r="F1694" s="1" t="str">
        <f>"مجوز استفاده از سبد و جرثقيل"</f>
        <v>مجوز استفاده از سبد و جرثقيل</v>
      </c>
      <c r="G1694" s="1" t="str">
        <f>"پد"</f>
        <v>پد</v>
      </c>
      <c r="H1694" s="1">
        <v>0</v>
      </c>
      <c r="I1694" s="1">
        <v>0</v>
      </c>
      <c r="J1694" s="1">
        <v>20</v>
      </c>
      <c r="K1694" s="1">
        <v>3400000</v>
      </c>
      <c r="L1694" s="1">
        <v>0</v>
      </c>
      <c r="M1694" s="1">
        <v>0</v>
      </c>
      <c r="O1694" s="1">
        <v>97</v>
      </c>
      <c r="P1694" s="4">
        <f t="shared" si="78"/>
        <v>3400000</v>
      </c>
      <c r="Q1694" s="4">
        <f t="shared" si="79"/>
        <v>20</v>
      </c>
      <c r="R1694" s="4">
        <f t="shared" si="80"/>
        <v>170000</v>
      </c>
    </row>
    <row r="1695" spans="1:18" hidden="1">
      <c r="A1695" s="1">
        <v>6</v>
      </c>
      <c r="B1695" s="1" t="str">
        <f>"موجودي ملزومات اداري"</f>
        <v>موجودي ملزومات اداري</v>
      </c>
      <c r="C1695" s="1">
        <v>110</v>
      </c>
      <c r="D1695" s="1" t="str">
        <f>"ملزومات اداري اصفهان"</f>
        <v>ملزومات اداري اصفهان</v>
      </c>
      <c r="E1695" s="1" t="str">
        <f>"1501030042"</f>
        <v>1501030042</v>
      </c>
      <c r="F1695" s="1" t="str">
        <f>"کارتريج 85A"</f>
        <v>کارتريج 85A</v>
      </c>
      <c r="G1695" s="1" t="str">
        <f>"عدد"</f>
        <v>عدد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O1695" s="1">
        <v>97</v>
      </c>
      <c r="P1695" s="1">
        <f t="shared" si="78"/>
        <v>0</v>
      </c>
      <c r="Q1695" s="1">
        <f t="shared" si="79"/>
        <v>0</v>
      </c>
      <c r="R1695" s="1" t="e">
        <f t="shared" si="80"/>
        <v>#DIV/0!</v>
      </c>
    </row>
    <row r="1696" spans="1:18" hidden="1">
      <c r="A1696" s="1">
        <v>6</v>
      </c>
      <c r="B1696" s="1" t="str">
        <f>"موجودي ملزومات اداري"</f>
        <v>موجودي ملزومات اداري</v>
      </c>
      <c r="C1696" s="1">
        <v>110</v>
      </c>
      <c r="D1696" s="1" t="str">
        <f>"ملزومات اداري اصفهان"</f>
        <v>ملزومات اداري اصفهان</v>
      </c>
      <c r="E1696" s="1" t="str">
        <f>"1501030062"</f>
        <v>1501030062</v>
      </c>
      <c r="F1696" s="1" t="str">
        <f>"کارتريج 49A"</f>
        <v>کارتريج 49A</v>
      </c>
      <c r="G1696" s="1" t="str">
        <f>"عدد"</f>
        <v>عدد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O1696" s="1">
        <v>97</v>
      </c>
      <c r="P1696" s="1">
        <f t="shared" si="78"/>
        <v>0</v>
      </c>
      <c r="Q1696" s="1">
        <f t="shared" si="79"/>
        <v>0</v>
      </c>
      <c r="R1696" s="1" t="e">
        <f t="shared" si="80"/>
        <v>#DIV/0!</v>
      </c>
    </row>
    <row r="1697" spans="1:18" hidden="1">
      <c r="A1697" s="1">
        <v>6</v>
      </c>
      <c r="B1697" s="1" t="str">
        <f>"موجودي ملزومات اداري"</f>
        <v>موجودي ملزومات اداري</v>
      </c>
      <c r="C1697" s="1">
        <v>110</v>
      </c>
      <c r="D1697" s="1" t="str">
        <f>"ملزومات اداري اصفهان"</f>
        <v>ملزومات اداري اصفهان</v>
      </c>
      <c r="E1697" s="1" t="str">
        <f>"1501030092"</f>
        <v>1501030092</v>
      </c>
      <c r="F1697" s="1" t="str">
        <f>"کارتريج 80A"</f>
        <v>کارتريج 80A</v>
      </c>
      <c r="G1697" s="1" t="str">
        <f>"عدد"</f>
        <v>عدد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O1697" s="1">
        <v>97</v>
      </c>
      <c r="P1697" s="1">
        <f t="shared" si="78"/>
        <v>0</v>
      </c>
      <c r="Q1697" s="1">
        <f t="shared" si="79"/>
        <v>0</v>
      </c>
      <c r="R1697" s="1" t="e">
        <f t="shared" si="80"/>
        <v>#DIV/0!</v>
      </c>
    </row>
    <row r="1698" spans="1:18" hidden="1">
      <c r="A1698" s="1">
        <v>6</v>
      </c>
      <c r="B1698" s="1" t="str">
        <f>"موجودي ملزومات اداري"</f>
        <v>موجودي ملزومات اداري</v>
      </c>
      <c r="C1698" s="1">
        <v>110</v>
      </c>
      <c r="D1698" s="1" t="str">
        <f>"ملزومات اداري اصفهان"</f>
        <v>ملزومات اداري اصفهان</v>
      </c>
      <c r="E1698" s="1" t="str">
        <f>"1502030192"</f>
        <v>1502030192</v>
      </c>
      <c r="F1698" s="1" t="str">
        <f>"باطري ليفتراک 150 BE"</f>
        <v>باطري ليفتراک 150 BE</v>
      </c>
      <c r="G1698" s="1" t="str">
        <f>"عدد"</f>
        <v>عدد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O1698" s="1">
        <v>97</v>
      </c>
      <c r="P1698" s="1">
        <f t="shared" si="78"/>
        <v>0</v>
      </c>
      <c r="Q1698" s="1">
        <f t="shared" si="79"/>
        <v>0</v>
      </c>
      <c r="R1698" s="1" t="e">
        <f t="shared" si="80"/>
        <v>#DIV/0!</v>
      </c>
    </row>
    <row r="1699" spans="1:18">
      <c r="A1699" s="1">
        <v>6</v>
      </c>
      <c r="B1699" s="1" t="str">
        <f>"موجودي ملزومات اداري"</f>
        <v>موجودي ملزومات اداري</v>
      </c>
      <c r="C1699" s="1">
        <v>110</v>
      </c>
      <c r="D1699" s="1" t="str">
        <f>"ملزومات اداري اصفهان"</f>
        <v>ملزومات اداري اصفهان</v>
      </c>
      <c r="E1699" s="1" t="str">
        <f>"1502030422"</f>
        <v>1502030422</v>
      </c>
      <c r="F1699" s="1" t="str">
        <f>"دستکش محافظ برق 500 ولت"</f>
        <v>دستکش محافظ برق 500 ولت</v>
      </c>
      <c r="G1699" s="1" t="str">
        <f>"جفت"</f>
        <v>جفت</v>
      </c>
      <c r="H1699" s="1">
        <v>4</v>
      </c>
      <c r="I1699" s="1">
        <v>3600000</v>
      </c>
      <c r="J1699" s="1">
        <v>0</v>
      </c>
      <c r="K1699" s="1">
        <v>0</v>
      </c>
      <c r="L1699" s="1">
        <v>3</v>
      </c>
      <c r="M1699" s="1">
        <v>2700000</v>
      </c>
      <c r="O1699" s="1">
        <v>97</v>
      </c>
      <c r="P1699" s="4">
        <f t="shared" si="78"/>
        <v>900000</v>
      </c>
      <c r="Q1699" s="4">
        <f t="shared" si="79"/>
        <v>1</v>
      </c>
      <c r="R1699" s="4">
        <f t="shared" si="80"/>
        <v>900000</v>
      </c>
    </row>
    <row r="1700" spans="1:18" hidden="1">
      <c r="A1700" s="1">
        <v>6</v>
      </c>
      <c r="B1700" s="1" t="str">
        <f>"موجودي ملزومات اداري"</f>
        <v>موجودي ملزومات اداري</v>
      </c>
      <c r="C1700" s="1">
        <v>110</v>
      </c>
      <c r="D1700" s="1" t="str">
        <f>"ملزومات اداري اصفهان"</f>
        <v>ملزومات اداري اصفهان</v>
      </c>
      <c r="E1700" s="1" t="str">
        <f>"1502030552"</f>
        <v>1502030552</v>
      </c>
      <c r="F1700" s="1" t="str">
        <f>"سيفون سينک دستشويي"</f>
        <v>سيفون سينک دستشويي</v>
      </c>
      <c r="G1700" s="1" t="str">
        <f>"عدد"</f>
        <v>عدد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O1700" s="1">
        <v>97</v>
      </c>
      <c r="P1700" s="1">
        <f t="shared" si="78"/>
        <v>0</v>
      </c>
      <c r="Q1700" s="1">
        <f t="shared" si="79"/>
        <v>0</v>
      </c>
      <c r="R1700" s="1" t="e">
        <f t="shared" si="80"/>
        <v>#DIV/0!</v>
      </c>
    </row>
    <row r="1701" spans="1:18" hidden="1">
      <c r="A1701" s="1">
        <v>6</v>
      </c>
      <c r="B1701" s="1" t="str">
        <f>"موجودي ملزومات اداري"</f>
        <v>موجودي ملزومات اداري</v>
      </c>
      <c r="C1701" s="1">
        <v>110</v>
      </c>
      <c r="D1701" s="1" t="str">
        <f>"ملزومات اداري اصفهان"</f>
        <v>ملزومات اداري اصفهان</v>
      </c>
      <c r="E1701" s="1" t="str">
        <f>"1502030612"</f>
        <v>1502030612</v>
      </c>
      <c r="F1701" s="1" t="str">
        <f>"ترافيک رويه نارنجي"</f>
        <v>ترافيک رويه نارنجي</v>
      </c>
      <c r="G1701" s="1" t="str">
        <f>"كيلوگرم"</f>
        <v>كيلوگرم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O1701" s="1">
        <v>97</v>
      </c>
      <c r="P1701" s="1">
        <f t="shared" si="78"/>
        <v>0</v>
      </c>
      <c r="Q1701" s="1">
        <f t="shared" si="79"/>
        <v>0</v>
      </c>
      <c r="R1701" s="1" t="e">
        <f t="shared" si="80"/>
        <v>#DIV/0!</v>
      </c>
    </row>
    <row r="1702" spans="1:18" hidden="1">
      <c r="A1702" s="1">
        <v>6</v>
      </c>
      <c r="B1702" s="1" t="str">
        <f>"موجودي ملزومات اداري"</f>
        <v>موجودي ملزومات اداري</v>
      </c>
      <c r="C1702" s="1">
        <v>110</v>
      </c>
      <c r="D1702" s="1" t="str">
        <f>"ملزومات اداري اصفهان"</f>
        <v>ملزومات اداري اصفهان</v>
      </c>
      <c r="E1702" s="1" t="str">
        <f>"1502030622"</f>
        <v>1502030622</v>
      </c>
      <c r="F1702" s="1" t="str">
        <f>"تينر ترافيک"</f>
        <v>تينر ترافيک</v>
      </c>
      <c r="G1702" s="1" t="str">
        <f>"ليتر"</f>
        <v>ليتر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O1702" s="1">
        <v>97</v>
      </c>
      <c r="P1702" s="1">
        <f t="shared" si="78"/>
        <v>0</v>
      </c>
      <c r="Q1702" s="1">
        <f t="shared" si="79"/>
        <v>0</v>
      </c>
      <c r="R1702" s="1" t="e">
        <f t="shared" si="80"/>
        <v>#DIV/0!</v>
      </c>
    </row>
    <row r="1703" spans="1:18" hidden="1">
      <c r="A1703" s="1">
        <v>6</v>
      </c>
      <c r="B1703" s="1" t="str">
        <f>"موجودي ملزومات اداري"</f>
        <v>موجودي ملزومات اداري</v>
      </c>
      <c r="C1703" s="1">
        <v>110</v>
      </c>
      <c r="D1703" s="1" t="str">
        <f>"ملزومات اداري اصفهان"</f>
        <v>ملزومات اداري اصفهان</v>
      </c>
      <c r="E1703" s="1" t="str">
        <f>"1502030772"</f>
        <v>1502030772</v>
      </c>
      <c r="F1703" s="1" t="str">
        <f>"خار فنري"</f>
        <v>خار فنري</v>
      </c>
      <c r="G1703" s="1" t="str">
        <f>"عدد"</f>
        <v>عدد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O1703" s="1">
        <v>97</v>
      </c>
      <c r="P1703" s="1">
        <f t="shared" si="78"/>
        <v>0</v>
      </c>
      <c r="Q1703" s="1">
        <f t="shared" si="79"/>
        <v>0</v>
      </c>
      <c r="R1703" s="1" t="e">
        <f t="shared" si="80"/>
        <v>#DIV/0!</v>
      </c>
    </row>
    <row r="1704" spans="1:18" hidden="1">
      <c r="A1704" s="1">
        <v>6</v>
      </c>
      <c r="B1704" s="1" t="str">
        <f>"موجودي ملزومات اداري"</f>
        <v>موجودي ملزومات اداري</v>
      </c>
      <c r="C1704" s="1">
        <v>110</v>
      </c>
      <c r="D1704" s="1" t="str">
        <f>"ملزومات اداري اصفهان"</f>
        <v>ملزومات اداري اصفهان</v>
      </c>
      <c r="E1704" s="1" t="str">
        <f>"1502030862"</f>
        <v>1502030862</v>
      </c>
      <c r="F1704" s="1" t="str">
        <f>"بازوي راه بند"</f>
        <v>بازوي راه بند</v>
      </c>
      <c r="G1704" s="1" t="str">
        <f>"عدد"</f>
        <v>عدد</v>
      </c>
      <c r="H1704" s="1">
        <v>0</v>
      </c>
      <c r="I1704" s="1">
        <v>0</v>
      </c>
      <c r="J1704" s="1">
        <v>1</v>
      </c>
      <c r="K1704" s="1">
        <v>3300000</v>
      </c>
      <c r="L1704" s="1">
        <v>1</v>
      </c>
      <c r="M1704" s="1">
        <v>3300000</v>
      </c>
      <c r="O1704" s="1">
        <v>97</v>
      </c>
      <c r="P1704" s="1">
        <f t="shared" si="78"/>
        <v>0</v>
      </c>
      <c r="Q1704" s="1">
        <f t="shared" si="79"/>
        <v>0</v>
      </c>
      <c r="R1704" s="1" t="e">
        <f t="shared" si="80"/>
        <v>#DIV/0!</v>
      </c>
    </row>
    <row r="1705" spans="1:18" hidden="1">
      <c r="A1705" s="1">
        <v>6</v>
      </c>
      <c r="B1705" s="1" t="str">
        <f>"موجودي ملزومات اداري"</f>
        <v>موجودي ملزومات اداري</v>
      </c>
      <c r="C1705" s="1">
        <v>110</v>
      </c>
      <c r="D1705" s="1" t="str">
        <f>"ملزومات اداري اصفهان"</f>
        <v>ملزومات اداري اصفهان</v>
      </c>
      <c r="E1705" s="1" t="str">
        <f>"1502031032"</f>
        <v>1502031032</v>
      </c>
      <c r="F1705" s="1" t="str">
        <f>"فولي بزرگ کولر"</f>
        <v>فولي بزرگ کولر</v>
      </c>
      <c r="G1705" s="1" t="str">
        <f>"عدد"</f>
        <v>عدد</v>
      </c>
      <c r="H1705" s="1">
        <v>0</v>
      </c>
      <c r="I1705" s="1">
        <v>0</v>
      </c>
      <c r="J1705" s="1">
        <v>1</v>
      </c>
      <c r="K1705" s="1">
        <v>100000</v>
      </c>
      <c r="L1705" s="1">
        <v>1</v>
      </c>
      <c r="M1705" s="1">
        <v>100000</v>
      </c>
      <c r="O1705" s="1">
        <v>97</v>
      </c>
      <c r="P1705" s="1">
        <f t="shared" si="78"/>
        <v>0</v>
      </c>
      <c r="Q1705" s="1">
        <f t="shared" si="79"/>
        <v>0</v>
      </c>
      <c r="R1705" s="1" t="e">
        <f t="shared" si="80"/>
        <v>#DIV/0!</v>
      </c>
    </row>
    <row r="1706" spans="1:18" hidden="1">
      <c r="A1706" s="1">
        <v>6</v>
      </c>
      <c r="B1706" s="1" t="str">
        <f>"موجودي ملزومات اداري"</f>
        <v>موجودي ملزومات اداري</v>
      </c>
      <c r="C1706" s="1">
        <v>110</v>
      </c>
      <c r="D1706" s="1" t="str">
        <f>"ملزومات اداري اصفهان"</f>
        <v>ملزومات اداري اصفهان</v>
      </c>
      <c r="E1706" s="1" t="str">
        <f>"1502031332"</f>
        <v>1502031332</v>
      </c>
      <c r="F1706" s="1" t="str">
        <f>"پلاستيک عرض 8 متر"</f>
        <v>پلاستيک عرض 8 متر</v>
      </c>
      <c r="G1706" s="1" t="str">
        <f>"كيلوگرم"</f>
        <v>كيلوگرم</v>
      </c>
      <c r="H1706" s="1">
        <v>0</v>
      </c>
      <c r="I1706" s="1">
        <v>0</v>
      </c>
      <c r="J1706" s="1">
        <v>2800</v>
      </c>
      <c r="K1706" s="1">
        <v>373800000</v>
      </c>
      <c r="L1706" s="1">
        <v>2800</v>
      </c>
      <c r="M1706" s="1">
        <v>373800000</v>
      </c>
      <c r="O1706" s="1">
        <v>97</v>
      </c>
      <c r="P1706" s="1">
        <f t="shared" si="78"/>
        <v>0</v>
      </c>
      <c r="Q1706" s="1">
        <f t="shared" si="79"/>
        <v>0</v>
      </c>
      <c r="R1706" s="1" t="e">
        <f t="shared" si="80"/>
        <v>#DIV/0!</v>
      </c>
    </row>
    <row r="1707" spans="1:18" hidden="1">
      <c r="A1707" s="1">
        <v>6</v>
      </c>
      <c r="B1707" s="1" t="str">
        <f>"موجودي ملزومات اداري"</f>
        <v>موجودي ملزومات اداري</v>
      </c>
      <c r="C1707" s="1">
        <v>110</v>
      </c>
      <c r="D1707" s="1" t="str">
        <f>"ملزومات اداري اصفهان"</f>
        <v>ملزومات اداري اصفهان</v>
      </c>
      <c r="E1707" s="1" t="str">
        <f>"1502031462"</f>
        <v>1502031462</v>
      </c>
      <c r="F1707" s="1" t="str">
        <f>"طي لاستيکي 40 سانتي"</f>
        <v>طي لاستيکي 40 سانتي</v>
      </c>
      <c r="G1707" s="1" t="str">
        <f>"عدد"</f>
        <v>عدد</v>
      </c>
      <c r="H1707" s="1">
        <v>0</v>
      </c>
      <c r="I1707" s="1">
        <v>0</v>
      </c>
      <c r="J1707" s="1">
        <v>20</v>
      </c>
      <c r="K1707" s="1">
        <v>4000000</v>
      </c>
      <c r="L1707" s="1">
        <v>20</v>
      </c>
      <c r="M1707" s="1">
        <v>4000000</v>
      </c>
      <c r="O1707" s="1">
        <v>97</v>
      </c>
      <c r="P1707" s="1">
        <f t="shared" si="78"/>
        <v>0</v>
      </c>
      <c r="Q1707" s="1">
        <f t="shared" si="79"/>
        <v>0</v>
      </c>
      <c r="R1707" s="1" t="e">
        <f t="shared" si="80"/>
        <v>#DIV/0!</v>
      </c>
    </row>
    <row r="1708" spans="1:18" hidden="1">
      <c r="A1708" s="1">
        <v>6</v>
      </c>
      <c r="B1708" s="1" t="str">
        <f>"موجودي ملزومات اداري"</f>
        <v>موجودي ملزومات اداري</v>
      </c>
      <c r="C1708" s="1">
        <v>110</v>
      </c>
      <c r="D1708" s="1" t="str">
        <f>"ملزومات اداري اصفهان"</f>
        <v>ملزومات اداري اصفهان</v>
      </c>
      <c r="E1708" s="1" t="str">
        <f>"1502031482"</f>
        <v>1502031482</v>
      </c>
      <c r="F1708" s="1" t="str">
        <f>"جارو لاستيکي"</f>
        <v>جارو لاستيکي</v>
      </c>
      <c r="G1708" s="1" t="str">
        <f>"عدد"</f>
        <v>عدد</v>
      </c>
      <c r="H1708" s="1">
        <v>0</v>
      </c>
      <c r="I1708" s="1">
        <v>0</v>
      </c>
      <c r="J1708" s="1">
        <v>40</v>
      </c>
      <c r="K1708" s="1">
        <v>6800000</v>
      </c>
      <c r="L1708" s="1">
        <v>40</v>
      </c>
      <c r="M1708" s="1">
        <v>6800000</v>
      </c>
      <c r="O1708" s="1">
        <v>97</v>
      </c>
      <c r="P1708" s="1">
        <f t="shared" si="78"/>
        <v>0</v>
      </c>
      <c r="Q1708" s="1">
        <f t="shared" si="79"/>
        <v>0</v>
      </c>
      <c r="R1708" s="1" t="e">
        <f t="shared" si="80"/>
        <v>#DIV/0!</v>
      </c>
    </row>
    <row r="1709" spans="1:18">
      <c r="A1709" s="1">
        <v>6</v>
      </c>
      <c r="B1709" s="1" t="str">
        <f>"موجودي ملزومات اداري"</f>
        <v>موجودي ملزومات اداري</v>
      </c>
      <c r="C1709" s="1">
        <v>205</v>
      </c>
      <c r="D1709" s="1" t="str">
        <f>"انبار قطعات و لوازم يدكي بندرعباس"</f>
        <v>انبار قطعات و لوازم يدكي بندرعباس</v>
      </c>
      <c r="E1709" s="1" t="str">
        <f>"0000059852"</f>
        <v>0000059852</v>
      </c>
      <c r="F1709" s="1" t="str">
        <f>"سيم 1/5 نرم"</f>
        <v>سيم 1/5 نرم</v>
      </c>
      <c r="G1709" s="1" t="str">
        <f>"كيلوگرم"</f>
        <v>كيلوگرم</v>
      </c>
      <c r="H1709" s="1">
        <v>0</v>
      </c>
      <c r="I1709" s="1">
        <v>0</v>
      </c>
      <c r="J1709" s="1">
        <v>66</v>
      </c>
      <c r="K1709" s="1">
        <v>4640000</v>
      </c>
      <c r="L1709" s="1">
        <v>51</v>
      </c>
      <c r="M1709" s="1">
        <v>3585454</v>
      </c>
      <c r="O1709" s="1">
        <v>97</v>
      </c>
      <c r="P1709" s="4">
        <f t="shared" si="78"/>
        <v>1054546</v>
      </c>
      <c r="Q1709" s="4">
        <f t="shared" si="79"/>
        <v>15</v>
      </c>
      <c r="R1709" s="4">
        <f t="shared" si="80"/>
        <v>70303.066666666666</v>
      </c>
    </row>
    <row r="1710" spans="1:18">
      <c r="A1710" s="1">
        <v>6</v>
      </c>
      <c r="B1710" s="1" t="str">
        <f>"موجودي ملزومات اداري"</f>
        <v>موجودي ملزومات اداري</v>
      </c>
      <c r="C1710" s="1">
        <v>205</v>
      </c>
      <c r="D1710" s="1" t="str">
        <f>"انبار قطعات و لوازم يدكي بندرعباس"</f>
        <v>انبار قطعات و لوازم يدكي بندرعباس</v>
      </c>
      <c r="E1710" s="1" t="str">
        <f>"1101015242"</f>
        <v>1101015242</v>
      </c>
      <c r="F1710" s="1" t="str">
        <f>"سري باد"</f>
        <v>سري باد</v>
      </c>
      <c r="G1710" s="1" t="str">
        <f>"عدد"</f>
        <v>عدد</v>
      </c>
      <c r="H1710" s="1">
        <v>0</v>
      </c>
      <c r="I1710" s="1">
        <v>0</v>
      </c>
      <c r="J1710" s="1">
        <v>1</v>
      </c>
      <c r="K1710" s="1">
        <v>200000</v>
      </c>
      <c r="L1710" s="1">
        <v>0</v>
      </c>
      <c r="M1710" s="1">
        <v>0</v>
      </c>
      <c r="O1710" s="1">
        <v>97</v>
      </c>
      <c r="P1710" s="4">
        <f t="shared" si="78"/>
        <v>200000</v>
      </c>
      <c r="Q1710" s="4">
        <f t="shared" si="79"/>
        <v>1</v>
      </c>
      <c r="R1710" s="4">
        <f t="shared" si="80"/>
        <v>200000</v>
      </c>
    </row>
    <row r="1711" spans="1:18">
      <c r="A1711" s="1">
        <v>6</v>
      </c>
      <c r="B1711" s="1" t="str">
        <f>"موجودي ملزومات اداري"</f>
        <v>موجودي ملزومات اداري</v>
      </c>
      <c r="C1711" s="1">
        <v>205</v>
      </c>
      <c r="D1711" s="1" t="str">
        <f>"انبار قطعات و لوازم يدكي بندرعباس"</f>
        <v>انبار قطعات و لوازم يدكي بندرعباس</v>
      </c>
      <c r="E1711" s="1" t="str">
        <f>"1501021222"</f>
        <v>1501021222</v>
      </c>
      <c r="F1711" s="1" t="str">
        <f>"نوار خطر"</f>
        <v>نوار خطر</v>
      </c>
      <c r="G1711" s="1" t="str">
        <f>"رول"</f>
        <v>رول</v>
      </c>
      <c r="H1711" s="1">
        <v>2</v>
      </c>
      <c r="I1711" s="1">
        <v>700000</v>
      </c>
      <c r="J1711" s="1">
        <v>10</v>
      </c>
      <c r="K1711" s="1">
        <v>1200000</v>
      </c>
      <c r="L1711" s="1">
        <v>9</v>
      </c>
      <c r="M1711" s="1">
        <v>1471000</v>
      </c>
      <c r="O1711" s="1">
        <v>97</v>
      </c>
      <c r="P1711" s="4">
        <f t="shared" si="78"/>
        <v>429000</v>
      </c>
      <c r="Q1711" s="4">
        <f t="shared" si="79"/>
        <v>3</v>
      </c>
      <c r="R1711" s="4">
        <f t="shared" si="80"/>
        <v>143000</v>
      </c>
    </row>
    <row r="1712" spans="1:18" hidden="1">
      <c r="A1712" s="1">
        <v>8</v>
      </c>
      <c r="B1712" s="1" t="str">
        <f>"ساير موجودي هاي مواد اوليه"</f>
        <v>ساير موجودي هاي مواد اوليه</v>
      </c>
      <c r="C1712" s="1">
        <v>103</v>
      </c>
      <c r="D1712" s="1" t="str">
        <f>"انبار مواد اوليه اصفهان"</f>
        <v>انبار مواد اوليه اصفهان</v>
      </c>
      <c r="E1712" s="1" t="str">
        <f>"8726200902"</f>
        <v>8726200902</v>
      </c>
      <c r="F1712" s="1" t="str">
        <f>"استابيرام 4582"</f>
        <v>استابيرام 4582</v>
      </c>
      <c r="G1712" s="1" t="str">
        <f>"كيلوگرم"</f>
        <v>كيلوگرم</v>
      </c>
      <c r="H1712" s="1">
        <v>0</v>
      </c>
      <c r="I1712" s="1">
        <v>0</v>
      </c>
      <c r="J1712" s="1">
        <v>2800</v>
      </c>
      <c r="K1712" s="1">
        <v>980000000</v>
      </c>
      <c r="L1712" s="1">
        <v>2800</v>
      </c>
      <c r="M1712" s="1">
        <v>980000000</v>
      </c>
      <c r="O1712" s="1">
        <v>97</v>
      </c>
      <c r="P1712" s="1">
        <f t="shared" si="78"/>
        <v>0</v>
      </c>
      <c r="Q1712" s="1">
        <f t="shared" si="79"/>
        <v>0</v>
      </c>
      <c r="R1712" s="1" t="e">
        <f t="shared" si="80"/>
        <v>#DIV/0!</v>
      </c>
    </row>
    <row r="1713" spans="1:18">
      <c r="A1713" s="1">
        <v>9</v>
      </c>
      <c r="B1713" s="1" t="str">
        <f>"موجودي داراييهاي ثابت نزد انبار"</f>
        <v>موجودي داراييهاي ثابت نزد انبار</v>
      </c>
      <c r="C1713" s="1">
        <v>117</v>
      </c>
      <c r="D1713" s="1" t="str">
        <f>"انبار دارايي ثابت اصفهان"</f>
        <v>انبار دارايي ثابت اصفهان</v>
      </c>
      <c r="E1713" s="1" t="str">
        <f>"1301020332"</f>
        <v>1301020332</v>
      </c>
      <c r="F1713" s="1" t="str">
        <f>"بخاري برقي ايستاده"</f>
        <v>بخاري برقي ايستاده</v>
      </c>
      <c r="G1713" s="1" t="str">
        <f>"دستگاه"</f>
        <v>دستگاه</v>
      </c>
      <c r="H1713" s="1">
        <v>2</v>
      </c>
      <c r="I1713" s="1">
        <v>1080000</v>
      </c>
      <c r="J1713" s="1">
        <v>0</v>
      </c>
      <c r="K1713" s="1">
        <v>0</v>
      </c>
      <c r="L1713" s="1">
        <v>0</v>
      </c>
      <c r="M1713" s="1">
        <v>0</v>
      </c>
      <c r="O1713" s="1">
        <v>97</v>
      </c>
      <c r="P1713" s="4">
        <f t="shared" si="78"/>
        <v>1080000</v>
      </c>
      <c r="Q1713" s="4">
        <f t="shared" si="79"/>
        <v>2</v>
      </c>
      <c r="R1713" s="4">
        <f t="shared" si="80"/>
        <v>540000</v>
      </c>
    </row>
    <row r="1714" spans="1:18" hidden="1">
      <c r="A1714" s="1">
        <v>9</v>
      </c>
      <c r="B1714" s="1" t="str">
        <f>"موجودي داراييهاي ثابت نزد انبار"</f>
        <v>موجودي داراييهاي ثابت نزد انبار</v>
      </c>
      <c r="C1714" s="1">
        <v>117</v>
      </c>
      <c r="D1714" s="1" t="str">
        <f>"انبار دارايي ثابت اصفهان"</f>
        <v>انبار دارايي ثابت اصفهان</v>
      </c>
      <c r="E1714" s="1" t="str">
        <f>"1301021282"</f>
        <v>1301021282</v>
      </c>
      <c r="F1714" s="1" t="str">
        <f>"کپسول 50 کيلوئي بالن بغل"</f>
        <v>کپسول 50 کيلوئي بالن بغل</v>
      </c>
      <c r="G1714" s="1" t="str">
        <f>"عدد"</f>
        <v>عدد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O1714" s="1">
        <v>97</v>
      </c>
      <c r="P1714" s="1">
        <f t="shared" si="78"/>
        <v>0</v>
      </c>
      <c r="Q1714" s="1">
        <f t="shared" si="79"/>
        <v>0</v>
      </c>
      <c r="R1714" s="1" t="e">
        <f t="shared" si="80"/>
        <v>#DIV/0!</v>
      </c>
    </row>
    <row r="1715" spans="1:18" hidden="1">
      <c r="A1715" s="1">
        <v>9</v>
      </c>
      <c r="B1715" s="1" t="str">
        <f>"موجودي داراييهاي ثابت نزد انبار"</f>
        <v>موجودي داراييهاي ثابت نزد انبار</v>
      </c>
      <c r="C1715" s="1">
        <v>117</v>
      </c>
      <c r="D1715" s="1" t="str">
        <f>"انبار دارايي ثابت اصفهان"</f>
        <v>انبار دارايي ثابت اصفهان</v>
      </c>
      <c r="E1715" s="1" t="str">
        <f>"1301021422"</f>
        <v>1301021422</v>
      </c>
      <c r="F1715" s="1" t="str">
        <f>"کوليس ديجيتال"</f>
        <v>کوليس ديجيتال</v>
      </c>
      <c r="G1715" s="1" t="str">
        <f>"عدد"</f>
        <v>عدد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O1715" s="1">
        <v>97</v>
      </c>
      <c r="P1715" s="1">
        <f t="shared" si="78"/>
        <v>0</v>
      </c>
      <c r="Q1715" s="1">
        <f t="shared" si="79"/>
        <v>0</v>
      </c>
      <c r="R1715" s="1" t="e">
        <f t="shared" si="80"/>
        <v>#DIV/0!</v>
      </c>
    </row>
    <row r="1716" spans="1:18" hidden="1">
      <c r="A1716" s="1">
        <v>9</v>
      </c>
      <c r="B1716" s="1" t="str">
        <f>"موجودي داراييهاي ثابت نزد انبار"</f>
        <v>موجودي داراييهاي ثابت نزد انبار</v>
      </c>
      <c r="C1716" s="1">
        <v>117</v>
      </c>
      <c r="D1716" s="1" t="str">
        <f>"انبار دارايي ثابت اصفهان"</f>
        <v>انبار دارايي ثابت اصفهان</v>
      </c>
      <c r="E1716" s="1" t="str">
        <f>"1301021482"</f>
        <v>1301021482</v>
      </c>
      <c r="F1716" s="1" t="str">
        <f>"صندلي رکابدار (چرخدار)"</f>
        <v>صندلي رکابدار (چرخدار)</v>
      </c>
      <c r="G1716" s="1" t="str">
        <f>"عدد"</f>
        <v>عدد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O1716" s="1">
        <v>97</v>
      </c>
      <c r="P1716" s="1">
        <f t="shared" si="78"/>
        <v>0</v>
      </c>
      <c r="Q1716" s="1">
        <f t="shared" si="79"/>
        <v>0</v>
      </c>
      <c r="R1716" s="1" t="e">
        <f t="shared" si="80"/>
        <v>#DIV/0!</v>
      </c>
    </row>
    <row r="1717" spans="1:18" hidden="1">
      <c r="A1717" s="1">
        <v>9</v>
      </c>
      <c r="B1717" s="1" t="str">
        <f>"موجودي داراييهاي ثابت نزد انبار"</f>
        <v>موجودي داراييهاي ثابت نزد انبار</v>
      </c>
      <c r="C1717" s="1">
        <v>117</v>
      </c>
      <c r="D1717" s="1" t="str">
        <f>"انبار دارايي ثابت اصفهان"</f>
        <v>انبار دارايي ثابت اصفهان</v>
      </c>
      <c r="E1717" s="1" t="str">
        <f>"1301021512"</f>
        <v>1301021512</v>
      </c>
      <c r="F1717" s="1" t="str">
        <f>"مخزن حفاظ دار 1000 ليتري تک لايه"</f>
        <v>مخزن حفاظ دار 1000 ليتري تک لايه</v>
      </c>
      <c r="G1717" s="1" t="str">
        <f>"عدد"</f>
        <v>عدد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O1717" s="1">
        <v>97</v>
      </c>
      <c r="P1717" s="1">
        <f t="shared" si="78"/>
        <v>0</v>
      </c>
      <c r="Q1717" s="1">
        <f t="shared" si="79"/>
        <v>0</v>
      </c>
      <c r="R1717" s="1" t="e">
        <f t="shared" si="80"/>
        <v>#DIV/0!</v>
      </c>
    </row>
    <row r="1718" spans="1:18" hidden="1">
      <c r="A1718" s="1">
        <v>9</v>
      </c>
      <c r="B1718" s="1" t="str">
        <f>"موجودي داراييهاي ثابت نزد انبار"</f>
        <v>موجودي داراييهاي ثابت نزد انبار</v>
      </c>
      <c r="C1718" s="1">
        <v>117</v>
      </c>
      <c r="D1718" s="1" t="str">
        <f>"انبار دارايي ثابت اصفهان"</f>
        <v>انبار دارايي ثابت اصفهان</v>
      </c>
      <c r="E1718" s="1" t="str">
        <f>"1301021522"</f>
        <v>1301021522</v>
      </c>
      <c r="F1718" s="1" t="str">
        <f>"رول گير ورق"</f>
        <v>رول گير ورق</v>
      </c>
      <c r="G1718" s="1" t="str">
        <f>"عدد"</f>
        <v>عدد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O1718" s="1">
        <v>97</v>
      </c>
      <c r="P1718" s="1">
        <f t="shared" si="78"/>
        <v>0</v>
      </c>
      <c r="Q1718" s="1">
        <f t="shared" si="79"/>
        <v>0</v>
      </c>
      <c r="R1718" s="1" t="e">
        <f t="shared" si="80"/>
        <v>#DIV/0!</v>
      </c>
    </row>
    <row r="1719" spans="1:18" hidden="1">
      <c r="A1719" s="1">
        <v>6</v>
      </c>
      <c r="B1719" s="1" t="str">
        <f>"موجودي ملزومات اداري"</f>
        <v>موجودي ملزومات اداري</v>
      </c>
      <c r="C1719" s="1">
        <v>110</v>
      </c>
      <c r="D1719" s="1" t="str">
        <f>"ملزومات اداري اصفهان"</f>
        <v>ملزومات اداري اصفهان</v>
      </c>
      <c r="E1719" s="1" t="str">
        <f>"0000011732"</f>
        <v>0000011732</v>
      </c>
      <c r="F1719" s="1" t="str">
        <f>"كاربن"</f>
        <v>كاربن</v>
      </c>
      <c r="G1719" s="1" t="str">
        <f>"عدد"</f>
        <v>عدد</v>
      </c>
      <c r="H1719" s="1">
        <v>6</v>
      </c>
      <c r="I1719" s="1">
        <v>363673</v>
      </c>
      <c r="J1719" s="1">
        <v>0</v>
      </c>
      <c r="K1719" s="1">
        <v>0</v>
      </c>
      <c r="L1719" s="1">
        <v>6</v>
      </c>
      <c r="M1719" s="1">
        <v>363673</v>
      </c>
      <c r="O1719" s="1">
        <v>97</v>
      </c>
      <c r="P1719" s="1">
        <f t="shared" si="78"/>
        <v>0</v>
      </c>
      <c r="Q1719" s="1">
        <f t="shared" si="79"/>
        <v>0</v>
      </c>
      <c r="R1719" s="1" t="e">
        <f t="shared" si="80"/>
        <v>#DIV/0!</v>
      </c>
    </row>
    <row r="1720" spans="1:18">
      <c r="A1720" s="1">
        <v>6</v>
      </c>
      <c r="B1720" s="1" t="str">
        <f>"موجودي ملزومات اداري"</f>
        <v>موجودي ملزومات اداري</v>
      </c>
      <c r="C1720" s="1">
        <v>110</v>
      </c>
      <c r="D1720" s="1" t="str">
        <f>"ملزومات اداري اصفهان"</f>
        <v>ملزومات اداري اصفهان</v>
      </c>
      <c r="E1720" s="1" t="str">
        <f>"0000011772"</f>
        <v>0000011772</v>
      </c>
      <c r="F1720" s="1" t="str">
        <f>"جوهر استامپ"</f>
        <v>جوهر استامپ</v>
      </c>
      <c r="G1720" s="1" t="str">
        <f>"عدد"</f>
        <v>عدد</v>
      </c>
      <c r="H1720" s="1">
        <v>20</v>
      </c>
      <c r="I1720" s="1">
        <v>822958</v>
      </c>
      <c r="J1720" s="1">
        <v>60</v>
      </c>
      <c r="K1720" s="1">
        <v>2280000</v>
      </c>
      <c r="L1720" s="1">
        <v>59</v>
      </c>
      <c r="M1720" s="1">
        <v>2225247</v>
      </c>
      <c r="O1720" s="1">
        <v>97</v>
      </c>
      <c r="P1720" s="4">
        <f t="shared" si="78"/>
        <v>877711</v>
      </c>
      <c r="Q1720" s="4">
        <f t="shared" si="79"/>
        <v>21</v>
      </c>
      <c r="R1720" s="4">
        <f t="shared" si="80"/>
        <v>41795.761904761908</v>
      </c>
    </row>
    <row r="1721" spans="1:18" hidden="1">
      <c r="A1721" s="1">
        <v>6</v>
      </c>
      <c r="B1721" s="1" t="str">
        <f>"موجودي ملزومات اداري"</f>
        <v>موجودي ملزومات اداري</v>
      </c>
      <c r="C1721" s="1">
        <v>110</v>
      </c>
      <c r="D1721" s="1" t="str">
        <f>"ملزومات اداري اصفهان"</f>
        <v>ملزومات اداري اصفهان</v>
      </c>
      <c r="E1721" s="1" t="str">
        <f>"0000017152"</f>
        <v>0000017152</v>
      </c>
      <c r="F1721" s="1" t="str">
        <f>"دستمال كاغذي 200 برگي"</f>
        <v>دستمال كاغذي 200 برگي</v>
      </c>
      <c r="G1721" s="1" t="str">
        <f>"عدد"</f>
        <v>عدد</v>
      </c>
      <c r="H1721" s="1">
        <v>0</v>
      </c>
      <c r="I1721" s="1">
        <v>0</v>
      </c>
      <c r="J1721" s="1">
        <v>672</v>
      </c>
      <c r="K1721" s="1">
        <v>19460000</v>
      </c>
      <c r="L1721" s="1">
        <v>672</v>
      </c>
      <c r="M1721" s="1">
        <v>19460000</v>
      </c>
      <c r="O1721" s="1">
        <v>97</v>
      </c>
      <c r="P1721" s="1">
        <f t="shared" si="78"/>
        <v>0</v>
      </c>
      <c r="Q1721" s="1">
        <f t="shared" si="79"/>
        <v>0</v>
      </c>
      <c r="R1721" s="1" t="e">
        <f t="shared" si="80"/>
        <v>#DIV/0!</v>
      </c>
    </row>
    <row r="1722" spans="1:18" hidden="1">
      <c r="A1722" s="1">
        <v>6</v>
      </c>
      <c r="B1722" s="1" t="str">
        <f>"موجودي ملزومات اداري"</f>
        <v>موجودي ملزومات اداري</v>
      </c>
      <c r="C1722" s="1">
        <v>110</v>
      </c>
      <c r="D1722" s="1" t="str">
        <f>"ملزومات اداري اصفهان"</f>
        <v>ملزومات اداري اصفهان</v>
      </c>
      <c r="E1722" s="1" t="str">
        <f>"0000017302"</f>
        <v>0000017302</v>
      </c>
      <c r="F1722" s="1" t="str">
        <f>"اسكاج"</f>
        <v>اسكاج</v>
      </c>
      <c r="G1722" s="1" t="str">
        <f>"عدد"</f>
        <v>عدد</v>
      </c>
      <c r="H1722" s="1">
        <v>78</v>
      </c>
      <c r="I1722" s="1">
        <v>775411</v>
      </c>
      <c r="J1722" s="1">
        <v>280</v>
      </c>
      <c r="K1722" s="1">
        <v>4070000</v>
      </c>
      <c r="L1722" s="1">
        <v>358</v>
      </c>
      <c r="M1722" s="1">
        <v>4845411</v>
      </c>
      <c r="O1722" s="1">
        <v>97</v>
      </c>
      <c r="P1722" s="1">
        <f t="shared" si="78"/>
        <v>0</v>
      </c>
      <c r="Q1722" s="1">
        <f t="shared" si="79"/>
        <v>0</v>
      </c>
      <c r="R1722" s="1" t="e">
        <f t="shared" si="80"/>
        <v>#DIV/0!</v>
      </c>
    </row>
    <row r="1723" spans="1:18">
      <c r="A1723" s="1">
        <v>6</v>
      </c>
      <c r="B1723" s="1" t="str">
        <f>"موجودي ملزومات اداري"</f>
        <v>موجودي ملزومات اداري</v>
      </c>
      <c r="C1723" s="1">
        <v>110</v>
      </c>
      <c r="D1723" s="1" t="str">
        <f>"ملزومات اداري اصفهان"</f>
        <v>ملزومات اداري اصفهان</v>
      </c>
      <c r="E1723" s="1" t="str">
        <f>"0000017392"</f>
        <v>0000017392</v>
      </c>
      <c r="F1723" s="1" t="str">
        <f>"حشره كش"</f>
        <v>حشره كش</v>
      </c>
      <c r="G1723" s="1" t="str">
        <f>"عدد"</f>
        <v>عدد</v>
      </c>
      <c r="H1723" s="1">
        <v>44</v>
      </c>
      <c r="I1723" s="1">
        <v>2457510</v>
      </c>
      <c r="J1723" s="1">
        <v>0</v>
      </c>
      <c r="K1723" s="1">
        <v>0</v>
      </c>
      <c r="L1723" s="1">
        <v>42</v>
      </c>
      <c r="M1723" s="1">
        <v>2345805</v>
      </c>
      <c r="O1723" s="1">
        <v>97</v>
      </c>
      <c r="P1723" s="4">
        <f t="shared" si="78"/>
        <v>111705</v>
      </c>
      <c r="Q1723" s="4">
        <f t="shared" si="79"/>
        <v>2</v>
      </c>
      <c r="R1723" s="4">
        <f t="shared" si="80"/>
        <v>55852.5</v>
      </c>
    </row>
    <row r="1724" spans="1:18">
      <c r="A1724" s="1">
        <v>6</v>
      </c>
      <c r="B1724" s="1" t="str">
        <f>"موجودي ملزومات اداري"</f>
        <v>موجودي ملزومات اداري</v>
      </c>
      <c r="C1724" s="1">
        <v>110</v>
      </c>
      <c r="D1724" s="1" t="str">
        <f>"ملزومات اداري اصفهان"</f>
        <v>ملزومات اداري اصفهان</v>
      </c>
      <c r="E1724" s="1" t="str">
        <f>"0000017812"</f>
        <v>0000017812</v>
      </c>
      <c r="F1724" s="1" t="str">
        <f>"باطري قلمي"</f>
        <v>باطري قلمي</v>
      </c>
      <c r="G1724" s="1" t="str">
        <f>"عدد"</f>
        <v>عدد</v>
      </c>
      <c r="H1724" s="1">
        <v>56</v>
      </c>
      <c r="I1724" s="1">
        <v>475771</v>
      </c>
      <c r="J1724" s="1">
        <v>200</v>
      </c>
      <c r="K1724" s="1">
        <v>2000000</v>
      </c>
      <c r="L1724" s="1">
        <v>199</v>
      </c>
      <c r="M1724" s="1">
        <v>1909854</v>
      </c>
      <c r="O1724" s="1">
        <v>97</v>
      </c>
      <c r="P1724" s="4">
        <f t="shared" si="78"/>
        <v>565917</v>
      </c>
      <c r="Q1724" s="4">
        <f t="shared" si="79"/>
        <v>57</v>
      </c>
      <c r="R1724" s="4">
        <f t="shared" si="80"/>
        <v>9928.3684210526317</v>
      </c>
    </row>
    <row r="1725" spans="1:18" hidden="1">
      <c r="A1725" s="1">
        <v>6</v>
      </c>
      <c r="B1725" s="1" t="str">
        <f>"موجودي ملزومات اداري"</f>
        <v>موجودي ملزومات اداري</v>
      </c>
      <c r="C1725" s="1">
        <v>110</v>
      </c>
      <c r="D1725" s="1" t="str">
        <f>"ملزومات اداري اصفهان"</f>
        <v>ملزومات اداري اصفهان</v>
      </c>
      <c r="E1725" s="1" t="str">
        <f>"0000020002"</f>
        <v>0000020002</v>
      </c>
      <c r="F1725" s="1" t="str">
        <f>"دستكش راگ ضد برش"</f>
        <v>دستكش راگ ضد برش</v>
      </c>
      <c r="G1725" s="1" t="str">
        <f>"جفت"</f>
        <v>جفت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O1725" s="1">
        <v>97</v>
      </c>
      <c r="P1725" s="1">
        <f t="shared" si="78"/>
        <v>0</v>
      </c>
      <c r="Q1725" s="1">
        <f t="shared" si="79"/>
        <v>0</v>
      </c>
      <c r="R1725" s="1" t="e">
        <f t="shared" si="80"/>
        <v>#DIV/0!</v>
      </c>
    </row>
    <row r="1726" spans="1:18">
      <c r="A1726" s="1">
        <v>6</v>
      </c>
      <c r="B1726" s="1" t="str">
        <f>"موجودي ملزومات اداري"</f>
        <v>موجودي ملزومات اداري</v>
      </c>
      <c r="C1726" s="1">
        <v>110</v>
      </c>
      <c r="D1726" s="1" t="str">
        <f>"ملزومات اداري اصفهان"</f>
        <v>ملزومات اداري اصفهان</v>
      </c>
      <c r="E1726" s="1" t="str">
        <f>"0000020022"</f>
        <v>0000020022</v>
      </c>
      <c r="F1726" s="1" t="str">
        <f>"دستكش خالدار"</f>
        <v>دستكش خالدار</v>
      </c>
      <c r="G1726" s="1" t="str">
        <f>"جفت"</f>
        <v>جفت</v>
      </c>
      <c r="H1726" s="1">
        <v>132</v>
      </c>
      <c r="I1726" s="1">
        <v>2431477</v>
      </c>
      <c r="J1726" s="1">
        <v>150</v>
      </c>
      <c r="K1726" s="1">
        <v>7275000</v>
      </c>
      <c r="L1726" s="1">
        <v>116</v>
      </c>
      <c r="M1726" s="1">
        <v>3406351</v>
      </c>
      <c r="O1726" s="1">
        <v>97</v>
      </c>
      <c r="P1726" s="4">
        <f t="shared" si="78"/>
        <v>6300126</v>
      </c>
      <c r="Q1726" s="4">
        <f t="shared" si="79"/>
        <v>166</v>
      </c>
      <c r="R1726" s="4">
        <f t="shared" si="80"/>
        <v>37952.566265060239</v>
      </c>
    </row>
    <row r="1727" spans="1:18" hidden="1">
      <c r="A1727" s="1">
        <v>6</v>
      </c>
      <c r="B1727" s="1" t="str">
        <f>"موجودي ملزومات اداري"</f>
        <v>موجودي ملزومات اداري</v>
      </c>
      <c r="C1727" s="1">
        <v>110</v>
      </c>
      <c r="D1727" s="1" t="str">
        <f>"ملزومات اداري اصفهان"</f>
        <v>ملزومات اداري اصفهان</v>
      </c>
      <c r="E1727" s="1" t="str">
        <f>"0000020052"</f>
        <v>0000020052</v>
      </c>
      <c r="F1727" s="1" t="str">
        <f>"پيراهن اداري"</f>
        <v>پيراهن اداري</v>
      </c>
      <c r="G1727" s="1" t="str">
        <f>"دست"</f>
        <v>دست</v>
      </c>
      <c r="H1727" s="1">
        <v>4</v>
      </c>
      <c r="I1727" s="1">
        <v>3285598</v>
      </c>
      <c r="J1727" s="1">
        <v>42</v>
      </c>
      <c r="K1727" s="1">
        <v>35700000</v>
      </c>
      <c r="L1727" s="1">
        <v>46</v>
      </c>
      <c r="M1727" s="1">
        <v>38985598</v>
      </c>
      <c r="O1727" s="1">
        <v>97</v>
      </c>
      <c r="P1727" s="1">
        <f t="shared" si="78"/>
        <v>0</v>
      </c>
      <c r="Q1727" s="1">
        <f t="shared" si="79"/>
        <v>0</v>
      </c>
      <c r="R1727" s="1" t="e">
        <f t="shared" si="80"/>
        <v>#DIV/0!</v>
      </c>
    </row>
    <row r="1728" spans="1:18">
      <c r="A1728" s="1">
        <v>6</v>
      </c>
      <c r="B1728" s="1" t="str">
        <f>"موجودي ملزومات اداري"</f>
        <v>موجودي ملزومات اداري</v>
      </c>
      <c r="C1728" s="1">
        <v>110</v>
      </c>
      <c r="D1728" s="1" t="str">
        <f>"ملزومات اداري اصفهان"</f>
        <v>ملزومات اداري اصفهان</v>
      </c>
      <c r="E1728" s="1" t="str">
        <f>"0000020082"</f>
        <v>0000020082</v>
      </c>
      <c r="F1728" s="1" t="str">
        <f>"كفش ايمني"</f>
        <v>كفش ايمني</v>
      </c>
      <c r="G1728" s="1" t="str">
        <f>"جفت"</f>
        <v>جفت</v>
      </c>
      <c r="H1728" s="1">
        <v>30</v>
      </c>
      <c r="I1728" s="1">
        <v>21683361</v>
      </c>
      <c r="J1728" s="1">
        <v>105</v>
      </c>
      <c r="K1728" s="1">
        <v>85016356</v>
      </c>
      <c r="L1728" s="1">
        <v>120</v>
      </c>
      <c r="M1728" s="1">
        <v>94717938</v>
      </c>
      <c r="O1728" s="1">
        <v>97</v>
      </c>
      <c r="P1728" s="4">
        <f t="shared" si="78"/>
        <v>11981779</v>
      </c>
      <c r="Q1728" s="4">
        <f t="shared" si="79"/>
        <v>15</v>
      </c>
      <c r="R1728" s="4">
        <f t="shared" si="80"/>
        <v>798785.26666666672</v>
      </c>
    </row>
    <row r="1729" spans="1:18">
      <c r="A1729" s="1">
        <v>6</v>
      </c>
      <c r="B1729" s="1" t="str">
        <f>"موجودي ملزومات اداري"</f>
        <v>موجودي ملزومات اداري</v>
      </c>
      <c r="C1729" s="1">
        <v>110</v>
      </c>
      <c r="D1729" s="1" t="str">
        <f>"ملزومات اداري اصفهان"</f>
        <v>ملزومات اداري اصفهان</v>
      </c>
      <c r="E1729" s="1" t="str">
        <f>"0000020092"</f>
        <v>0000020092</v>
      </c>
      <c r="F1729" s="1" t="str">
        <f>"لباس دوتيکه"</f>
        <v>لباس دوتيکه</v>
      </c>
      <c r="G1729" s="1" t="str">
        <f>"عدد"</f>
        <v>عدد</v>
      </c>
      <c r="H1729" s="1">
        <v>20</v>
      </c>
      <c r="I1729" s="1">
        <v>23121213</v>
      </c>
      <c r="J1729" s="1">
        <v>40</v>
      </c>
      <c r="K1729" s="1">
        <v>87531292</v>
      </c>
      <c r="L1729" s="1">
        <v>49</v>
      </c>
      <c r="M1729" s="1">
        <v>89030396</v>
      </c>
      <c r="O1729" s="1">
        <v>97</v>
      </c>
      <c r="P1729" s="4">
        <f t="shared" si="78"/>
        <v>21622109</v>
      </c>
      <c r="Q1729" s="4">
        <f t="shared" si="79"/>
        <v>11</v>
      </c>
      <c r="R1729" s="4">
        <f t="shared" si="80"/>
        <v>1965646.2727272727</v>
      </c>
    </row>
    <row r="1730" spans="1:18">
      <c r="A1730" s="1">
        <v>6</v>
      </c>
      <c r="B1730" s="1" t="str">
        <f>"موجودي ملزومات اداري"</f>
        <v>موجودي ملزومات اداري</v>
      </c>
      <c r="C1730" s="1">
        <v>110</v>
      </c>
      <c r="D1730" s="1" t="str">
        <f>"ملزومات اداري اصفهان"</f>
        <v>ملزومات اداري اصفهان</v>
      </c>
      <c r="E1730" s="1" t="str">
        <f>"0000020104"</f>
        <v>0000020104</v>
      </c>
      <c r="F1730" s="1" t="str">
        <f>"ماسک معمولي"</f>
        <v>ماسک معمولي</v>
      </c>
      <c r="G1730" s="1" t="str">
        <f>"عدد"</f>
        <v>عدد</v>
      </c>
      <c r="H1730" s="1">
        <v>261</v>
      </c>
      <c r="I1730" s="1">
        <v>609000</v>
      </c>
      <c r="J1730" s="1">
        <v>0</v>
      </c>
      <c r="K1730" s="1">
        <v>0</v>
      </c>
      <c r="L1730" s="1">
        <v>0</v>
      </c>
      <c r="M1730" s="1">
        <v>0</v>
      </c>
      <c r="O1730" s="1">
        <v>97</v>
      </c>
      <c r="P1730" s="4">
        <f t="shared" si="78"/>
        <v>609000</v>
      </c>
      <c r="Q1730" s="4">
        <f t="shared" si="79"/>
        <v>261</v>
      </c>
      <c r="R1730" s="4">
        <f t="shared" si="80"/>
        <v>2333.3333333333335</v>
      </c>
    </row>
    <row r="1731" spans="1:18" hidden="1">
      <c r="A1731" s="1">
        <v>6</v>
      </c>
      <c r="B1731" s="1" t="str">
        <f>"موجودي ملزومات اداري"</f>
        <v>موجودي ملزومات اداري</v>
      </c>
      <c r="C1731" s="1">
        <v>110</v>
      </c>
      <c r="D1731" s="1" t="str">
        <f>"ملزومات اداري اصفهان"</f>
        <v>ملزومات اداري اصفهان</v>
      </c>
      <c r="E1731" s="1" t="str">
        <f>"0000020232"</f>
        <v>0000020232</v>
      </c>
      <c r="F1731" s="1" t="str">
        <f>"خاک انداز"</f>
        <v>خاک انداز</v>
      </c>
      <c r="G1731" s="1" t="str">
        <f>"عدد"</f>
        <v>عدد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O1731" s="1">
        <v>97</v>
      </c>
      <c r="P1731" s="1">
        <f t="shared" ref="P1731:P1794" si="81">I1731+K1731-M1731</f>
        <v>0</v>
      </c>
      <c r="Q1731" s="1">
        <f t="shared" ref="Q1731:Q1794" si="82">H1731+J1731-L1731</f>
        <v>0</v>
      </c>
      <c r="R1731" s="1" t="e">
        <f t="shared" ref="R1731:R1794" si="83">P1731/Q1731</f>
        <v>#DIV/0!</v>
      </c>
    </row>
    <row r="1732" spans="1:18" hidden="1">
      <c r="A1732" s="1">
        <v>6</v>
      </c>
      <c r="B1732" s="1" t="str">
        <f>"موجودي ملزومات اداري"</f>
        <v>موجودي ملزومات اداري</v>
      </c>
      <c r="C1732" s="1">
        <v>110</v>
      </c>
      <c r="D1732" s="1" t="str">
        <f>"ملزومات اداري اصفهان"</f>
        <v>ملزومات اداري اصفهان</v>
      </c>
      <c r="E1732" s="1" t="str">
        <f>"0000054592"</f>
        <v>0000054592</v>
      </c>
      <c r="F1732" s="1" t="str">
        <f>"سمباده نرم 25 متري"</f>
        <v>سمباده نرم 25 متري</v>
      </c>
      <c r="G1732" s="1" t="str">
        <f>"رول"</f>
        <v>رول</v>
      </c>
      <c r="H1732" s="1">
        <v>0</v>
      </c>
      <c r="I1732" s="1">
        <v>0</v>
      </c>
      <c r="J1732" s="1">
        <v>1</v>
      </c>
      <c r="K1732" s="1">
        <v>3000000</v>
      </c>
      <c r="L1732" s="1">
        <v>1</v>
      </c>
      <c r="M1732" s="1">
        <v>3000000</v>
      </c>
      <c r="O1732" s="1">
        <v>97</v>
      </c>
      <c r="P1732" s="1">
        <f t="shared" si="81"/>
        <v>0</v>
      </c>
      <c r="Q1732" s="1">
        <f t="shared" si="82"/>
        <v>0</v>
      </c>
      <c r="R1732" s="1" t="e">
        <f t="shared" si="83"/>
        <v>#DIV/0!</v>
      </c>
    </row>
    <row r="1733" spans="1:18" hidden="1">
      <c r="A1733" s="1">
        <v>6</v>
      </c>
      <c r="B1733" s="1" t="str">
        <f>"موجودي ملزومات اداري"</f>
        <v>موجودي ملزومات اداري</v>
      </c>
      <c r="C1733" s="1">
        <v>110</v>
      </c>
      <c r="D1733" s="1" t="str">
        <f>"ملزومات اداري اصفهان"</f>
        <v>ملزومات اداري اصفهان</v>
      </c>
      <c r="E1733" s="1" t="str">
        <f>"1501020092"</f>
        <v>1501020092</v>
      </c>
      <c r="F1733" s="1" t="str">
        <f>"پنبه بهداشتي"</f>
        <v>پنبه بهداشتي</v>
      </c>
      <c r="G1733" s="1" t="str">
        <f>"بسته"</f>
        <v>بسته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O1733" s="1">
        <v>97</v>
      </c>
      <c r="P1733" s="1">
        <f t="shared" si="81"/>
        <v>0</v>
      </c>
      <c r="Q1733" s="1">
        <f t="shared" si="82"/>
        <v>0</v>
      </c>
      <c r="R1733" s="1" t="e">
        <f t="shared" si="83"/>
        <v>#DIV/0!</v>
      </c>
    </row>
    <row r="1734" spans="1:18" hidden="1">
      <c r="A1734" s="1">
        <v>6</v>
      </c>
      <c r="B1734" s="1" t="str">
        <f>"موجودي ملزومات اداري"</f>
        <v>موجودي ملزومات اداري</v>
      </c>
      <c r="C1734" s="1">
        <v>110</v>
      </c>
      <c r="D1734" s="1" t="str">
        <f>"ملزومات اداري اصفهان"</f>
        <v>ملزومات اداري اصفهان</v>
      </c>
      <c r="E1734" s="1" t="str">
        <f>"1501020232"</f>
        <v>1501020232</v>
      </c>
      <c r="F1734" s="1" t="str">
        <f>"دفترچه فنري"</f>
        <v>دفترچه فنري</v>
      </c>
      <c r="G1734" s="1" t="str">
        <f>"جلد"</f>
        <v>جلد</v>
      </c>
      <c r="H1734" s="1">
        <v>0</v>
      </c>
      <c r="I1734" s="1">
        <v>0</v>
      </c>
      <c r="J1734" s="1">
        <v>100</v>
      </c>
      <c r="K1734" s="1">
        <v>5000000</v>
      </c>
      <c r="L1734" s="1">
        <v>100</v>
      </c>
      <c r="M1734" s="1">
        <v>5000000</v>
      </c>
      <c r="O1734" s="1">
        <v>97</v>
      </c>
      <c r="P1734" s="1">
        <f t="shared" si="81"/>
        <v>0</v>
      </c>
      <c r="Q1734" s="1">
        <f t="shared" si="82"/>
        <v>0</v>
      </c>
      <c r="R1734" s="1" t="e">
        <f t="shared" si="83"/>
        <v>#DIV/0!</v>
      </c>
    </row>
    <row r="1735" spans="1:18">
      <c r="A1735" s="1">
        <v>6</v>
      </c>
      <c r="B1735" s="1" t="str">
        <f>"موجودي ملزومات اداري"</f>
        <v>موجودي ملزومات اداري</v>
      </c>
      <c r="C1735" s="1">
        <v>110</v>
      </c>
      <c r="D1735" s="1" t="str">
        <f>"ملزومات اداري اصفهان"</f>
        <v>ملزومات اداري اصفهان</v>
      </c>
      <c r="E1735" s="1" t="str">
        <f>"1501020682"</f>
        <v>1501020682</v>
      </c>
      <c r="F1735" s="1" t="str">
        <f>"دفترچه حمل قيرکش"</f>
        <v>دفترچه حمل قيرکش</v>
      </c>
      <c r="G1735" s="1" t="str">
        <f>"جلد"</f>
        <v>جلد</v>
      </c>
      <c r="H1735" s="1">
        <v>761</v>
      </c>
      <c r="I1735" s="1">
        <v>147634000</v>
      </c>
      <c r="J1735" s="1">
        <v>0</v>
      </c>
      <c r="K1735" s="1">
        <v>0</v>
      </c>
      <c r="L1735" s="1">
        <v>140</v>
      </c>
      <c r="M1735" s="1">
        <v>27160000</v>
      </c>
      <c r="O1735" s="1">
        <v>97</v>
      </c>
      <c r="P1735" s="4">
        <f t="shared" si="81"/>
        <v>120474000</v>
      </c>
      <c r="Q1735" s="4">
        <f t="shared" si="82"/>
        <v>621</v>
      </c>
      <c r="R1735" s="4">
        <f t="shared" si="83"/>
        <v>194000</v>
      </c>
    </row>
    <row r="1736" spans="1:18" hidden="1">
      <c r="A1736" s="1">
        <v>6</v>
      </c>
      <c r="B1736" s="1" t="str">
        <f>"موجودي ملزومات اداري"</f>
        <v>موجودي ملزومات اداري</v>
      </c>
      <c r="C1736" s="1">
        <v>110</v>
      </c>
      <c r="D1736" s="1" t="str">
        <f>"ملزومات اداري اصفهان"</f>
        <v>ملزومات اداري اصفهان</v>
      </c>
      <c r="E1736" s="1" t="str">
        <f>"1501020732"</f>
        <v>1501020732</v>
      </c>
      <c r="F1736" s="1" t="str">
        <f>"قلم رنگ"</f>
        <v>قلم رنگ</v>
      </c>
      <c r="G1736" s="1" t="str">
        <f>"عدد"</f>
        <v>عدد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O1736" s="1">
        <v>97</v>
      </c>
      <c r="P1736" s="1">
        <f t="shared" si="81"/>
        <v>0</v>
      </c>
      <c r="Q1736" s="1">
        <f t="shared" si="82"/>
        <v>0</v>
      </c>
      <c r="R1736" s="1" t="e">
        <f t="shared" si="83"/>
        <v>#DIV/0!</v>
      </c>
    </row>
    <row r="1737" spans="1:18" hidden="1">
      <c r="A1737" s="1">
        <v>6</v>
      </c>
      <c r="B1737" s="1" t="str">
        <f>"موجودي ملزومات اداري"</f>
        <v>موجودي ملزومات اداري</v>
      </c>
      <c r="C1737" s="1">
        <v>110</v>
      </c>
      <c r="D1737" s="1" t="str">
        <f>"ملزومات اداري اصفهان"</f>
        <v>ملزومات اداري اصفهان</v>
      </c>
      <c r="E1737" s="1" t="str">
        <f>"1501020852"</f>
        <v>1501020852</v>
      </c>
      <c r="F1737" s="1" t="str">
        <f>"توري 5*5"</f>
        <v>توري 5*5</v>
      </c>
      <c r="G1737" s="1" t="str">
        <f>"ورق"</f>
        <v>ورق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O1737" s="1">
        <v>97</v>
      </c>
      <c r="P1737" s="1">
        <f t="shared" si="81"/>
        <v>0</v>
      </c>
      <c r="Q1737" s="1">
        <f t="shared" si="82"/>
        <v>0</v>
      </c>
      <c r="R1737" s="1" t="e">
        <f t="shared" si="83"/>
        <v>#DIV/0!</v>
      </c>
    </row>
    <row r="1738" spans="1:18" hidden="1">
      <c r="A1738" s="1">
        <v>6</v>
      </c>
      <c r="B1738" s="1" t="str">
        <f>"موجودي ملزومات اداري"</f>
        <v>موجودي ملزومات اداري</v>
      </c>
      <c r="C1738" s="1">
        <v>110</v>
      </c>
      <c r="D1738" s="1" t="str">
        <f>"ملزومات اداري اصفهان"</f>
        <v>ملزومات اداري اصفهان</v>
      </c>
      <c r="E1738" s="1" t="str">
        <f>"1501020892"</f>
        <v>1501020892</v>
      </c>
      <c r="F1738" s="1" t="str">
        <f>"پوشال کولر"</f>
        <v>پوشال کولر</v>
      </c>
      <c r="G1738" s="1" t="str">
        <f>"بسته"</f>
        <v>بسته</v>
      </c>
      <c r="H1738" s="1">
        <v>0</v>
      </c>
      <c r="I1738" s="1">
        <v>0</v>
      </c>
      <c r="J1738" s="1">
        <v>4</v>
      </c>
      <c r="K1738" s="1">
        <v>520000</v>
      </c>
      <c r="L1738" s="1">
        <v>4</v>
      </c>
      <c r="M1738" s="1">
        <v>520000</v>
      </c>
      <c r="O1738" s="1">
        <v>97</v>
      </c>
      <c r="P1738" s="1">
        <f t="shared" si="81"/>
        <v>0</v>
      </c>
      <c r="Q1738" s="1">
        <f t="shared" si="82"/>
        <v>0</v>
      </c>
      <c r="R1738" s="1" t="e">
        <f t="shared" si="83"/>
        <v>#DIV/0!</v>
      </c>
    </row>
    <row r="1739" spans="1:18" hidden="1">
      <c r="A1739" s="1">
        <v>6</v>
      </c>
      <c r="B1739" s="1" t="str">
        <f>"موجودي ملزومات اداري"</f>
        <v>موجودي ملزومات اداري</v>
      </c>
      <c r="C1739" s="1">
        <v>110</v>
      </c>
      <c r="D1739" s="1" t="str">
        <f>"ملزومات اداري اصفهان"</f>
        <v>ملزومات اداري اصفهان</v>
      </c>
      <c r="E1739" s="1" t="str">
        <f>"1501020962"</f>
        <v>1501020962</v>
      </c>
      <c r="F1739" s="1" t="str">
        <f>"دستکش"</f>
        <v>دستکش</v>
      </c>
      <c r="G1739" s="1" t="str">
        <f>"جفت"</f>
        <v>جفت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O1739" s="1">
        <v>97</v>
      </c>
      <c r="P1739" s="1">
        <f t="shared" si="81"/>
        <v>0</v>
      </c>
      <c r="Q1739" s="1">
        <f t="shared" si="82"/>
        <v>0</v>
      </c>
      <c r="R1739" s="1" t="e">
        <f t="shared" si="83"/>
        <v>#DIV/0!</v>
      </c>
    </row>
    <row r="1740" spans="1:18">
      <c r="A1740" s="1">
        <v>6</v>
      </c>
      <c r="B1740" s="1" t="str">
        <f>"موجودي ملزومات اداري"</f>
        <v>موجودي ملزومات اداري</v>
      </c>
      <c r="C1740" s="1">
        <v>110</v>
      </c>
      <c r="D1740" s="1" t="str">
        <f>"ملزومات اداري اصفهان"</f>
        <v>ملزومات اداري اصفهان</v>
      </c>
      <c r="E1740" s="1" t="str">
        <f>"1501021062"</f>
        <v>1501021062</v>
      </c>
      <c r="F1740" s="1" t="str">
        <f>"بند زير چانه اي"</f>
        <v>بند زير چانه اي</v>
      </c>
      <c r="G1740" s="1" t="str">
        <f>"عدد"</f>
        <v>عدد</v>
      </c>
      <c r="H1740" s="1">
        <v>61</v>
      </c>
      <c r="I1740" s="1">
        <v>1159000</v>
      </c>
      <c r="J1740" s="1">
        <v>98</v>
      </c>
      <c r="K1740" s="1">
        <v>1911000</v>
      </c>
      <c r="L1740" s="1">
        <v>71</v>
      </c>
      <c r="M1740" s="1">
        <v>1369444</v>
      </c>
      <c r="O1740" s="1">
        <v>97</v>
      </c>
      <c r="P1740" s="4">
        <f t="shared" si="81"/>
        <v>1700556</v>
      </c>
      <c r="Q1740" s="4">
        <f t="shared" si="82"/>
        <v>88</v>
      </c>
      <c r="R1740" s="4">
        <f t="shared" si="83"/>
        <v>19324.5</v>
      </c>
    </row>
    <row r="1741" spans="1:18">
      <c r="A1741" s="1">
        <v>6</v>
      </c>
      <c r="B1741" s="1" t="str">
        <f>"موجودي ملزومات اداري"</f>
        <v>موجودي ملزومات اداري</v>
      </c>
      <c r="C1741" s="1">
        <v>110</v>
      </c>
      <c r="D1741" s="1" t="str">
        <f>"ملزومات اداري اصفهان"</f>
        <v>ملزومات اداري اصفهان</v>
      </c>
      <c r="E1741" s="1" t="str">
        <f>"1501021082"</f>
        <v>1501021082</v>
      </c>
      <c r="F1741" s="1" t="str">
        <f>"قفل آويز متوسط"</f>
        <v>قفل آويز متوسط</v>
      </c>
      <c r="G1741" s="1" t="str">
        <f>"عدد"</f>
        <v>عدد</v>
      </c>
      <c r="H1741" s="1">
        <v>15</v>
      </c>
      <c r="I1741" s="1">
        <v>1050000</v>
      </c>
      <c r="J1741" s="1">
        <v>0</v>
      </c>
      <c r="K1741" s="1">
        <v>0</v>
      </c>
      <c r="L1741" s="1">
        <v>9</v>
      </c>
      <c r="M1741" s="1">
        <v>630000</v>
      </c>
      <c r="O1741" s="1">
        <v>97</v>
      </c>
      <c r="P1741" s="4">
        <f t="shared" si="81"/>
        <v>420000</v>
      </c>
      <c r="Q1741" s="4">
        <f t="shared" si="82"/>
        <v>6</v>
      </c>
      <c r="R1741" s="4">
        <f t="shared" si="83"/>
        <v>70000</v>
      </c>
    </row>
    <row r="1742" spans="1:18" hidden="1">
      <c r="A1742" s="1">
        <v>6</v>
      </c>
      <c r="B1742" s="1" t="str">
        <f>"موجودي ملزومات اداري"</f>
        <v>موجودي ملزومات اداري</v>
      </c>
      <c r="C1742" s="1">
        <v>110</v>
      </c>
      <c r="D1742" s="1" t="str">
        <f>"ملزومات اداري اصفهان"</f>
        <v>ملزومات اداري اصفهان</v>
      </c>
      <c r="E1742" s="1" t="str">
        <f>"1501021332"</f>
        <v>1501021332</v>
      </c>
      <c r="F1742" s="1" t="str">
        <f>"پلاستيک زباله 120*90"</f>
        <v>پلاستيک زباله 120*90</v>
      </c>
      <c r="G1742" s="1" t="str">
        <f>"كيلوگرم"</f>
        <v>كيلوگرم</v>
      </c>
      <c r="H1742" s="1">
        <v>0</v>
      </c>
      <c r="I1742" s="1">
        <v>0</v>
      </c>
      <c r="J1742" s="1">
        <v>100</v>
      </c>
      <c r="K1742" s="1">
        <v>4800000</v>
      </c>
      <c r="L1742" s="1">
        <v>100</v>
      </c>
      <c r="M1742" s="1">
        <v>4800000</v>
      </c>
      <c r="O1742" s="1">
        <v>97</v>
      </c>
      <c r="P1742" s="1">
        <f t="shared" si="81"/>
        <v>0</v>
      </c>
      <c r="Q1742" s="1">
        <f t="shared" si="82"/>
        <v>0</v>
      </c>
      <c r="R1742" s="1" t="e">
        <f t="shared" si="83"/>
        <v>#DIV/0!</v>
      </c>
    </row>
    <row r="1743" spans="1:18" hidden="1">
      <c r="A1743" s="1">
        <v>6</v>
      </c>
      <c r="B1743" s="1" t="str">
        <f>"موجودي ملزومات اداري"</f>
        <v>موجودي ملزومات اداري</v>
      </c>
      <c r="C1743" s="1">
        <v>110</v>
      </c>
      <c r="D1743" s="1" t="str">
        <f>"ملزومات اداري اصفهان"</f>
        <v>ملزومات اداري اصفهان</v>
      </c>
      <c r="E1743" s="1" t="str">
        <f>"1502030092"</f>
        <v>1502030092</v>
      </c>
      <c r="F1743" s="1" t="str">
        <f>"پلاستيک عرض 4"</f>
        <v>پلاستيک عرض 4</v>
      </c>
      <c r="G1743" s="1" t="str">
        <f>"كيلوگرم"</f>
        <v>كيلوگرم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O1743" s="1">
        <v>97</v>
      </c>
      <c r="P1743" s="1">
        <f t="shared" si="81"/>
        <v>0</v>
      </c>
      <c r="Q1743" s="1">
        <f t="shared" si="82"/>
        <v>0</v>
      </c>
      <c r="R1743" s="1" t="e">
        <f t="shared" si="83"/>
        <v>#DIV/0!</v>
      </c>
    </row>
    <row r="1744" spans="1:18" hidden="1">
      <c r="A1744" s="1">
        <v>6</v>
      </c>
      <c r="B1744" s="1" t="str">
        <f>"موجودي ملزومات اداري"</f>
        <v>موجودي ملزومات اداري</v>
      </c>
      <c r="C1744" s="1">
        <v>110</v>
      </c>
      <c r="D1744" s="1" t="str">
        <f>"ملزومات اداري اصفهان"</f>
        <v>ملزومات اداري اصفهان</v>
      </c>
      <c r="E1744" s="1" t="str">
        <f>"1502030112"</f>
        <v>1502030112</v>
      </c>
      <c r="F1744" s="1" t="str">
        <f>"belzona 1321"</f>
        <v>belzona 1321</v>
      </c>
      <c r="G1744" s="1" t="str">
        <f>"عدد"</f>
        <v>عدد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O1744" s="1">
        <v>97</v>
      </c>
      <c r="P1744" s="1">
        <f t="shared" si="81"/>
        <v>0</v>
      </c>
      <c r="Q1744" s="1">
        <f t="shared" si="82"/>
        <v>0</v>
      </c>
      <c r="R1744" s="1" t="e">
        <f t="shared" si="83"/>
        <v>#DIV/0!</v>
      </c>
    </row>
    <row r="1745" spans="1:18" hidden="1">
      <c r="A1745" s="1">
        <v>6</v>
      </c>
      <c r="B1745" s="1" t="str">
        <f>"موجودي ملزومات اداري"</f>
        <v>موجودي ملزومات اداري</v>
      </c>
      <c r="C1745" s="1">
        <v>110</v>
      </c>
      <c r="D1745" s="1" t="str">
        <f>"ملزومات اداري اصفهان"</f>
        <v>ملزومات اداري اصفهان</v>
      </c>
      <c r="E1745" s="1" t="str">
        <f>"1502030152"</f>
        <v>1502030152</v>
      </c>
      <c r="F1745" s="1" t="str">
        <f>"آچار لوله گير 14"</f>
        <v>آچار لوله گير 14</v>
      </c>
      <c r="G1745" s="1" t="str">
        <f>"عدد"</f>
        <v>عدد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O1745" s="1">
        <v>97</v>
      </c>
      <c r="P1745" s="1">
        <f t="shared" si="81"/>
        <v>0</v>
      </c>
      <c r="Q1745" s="1">
        <f t="shared" si="82"/>
        <v>0</v>
      </c>
      <c r="R1745" s="1" t="e">
        <f t="shared" si="83"/>
        <v>#DIV/0!</v>
      </c>
    </row>
    <row r="1746" spans="1:18">
      <c r="A1746" s="1">
        <v>6</v>
      </c>
      <c r="B1746" s="1" t="str">
        <f>"موجودي ملزومات اداري"</f>
        <v>موجودي ملزومات اداري</v>
      </c>
      <c r="C1746" s="1">
        <v>110</v>
      </c>
      <c r="D1746" s="1" t="str">
        <f>"ملزومات اداري اصفهان"</f>
        <v>ملزومات اداري اصفهان</v>
      </c>
      <c r="E1746" s="1" t="str">
        <f>"1502030262"</f>
        <v>1502030262</v>
      </c>
      <c r="F1746" s="1" t="str">
        <f>"رنگ روغني"</f>
        <v>رنگ روغني</v>
      </c>
      <c r="G1746" s="1" t="str">
        <f>"كيلوگرم"</f>
        <v>كيلوگرم</v>
      </c>
      <c r="H1746" s="1">
        <v>30</v>
      </c>
      <c r="I1746" s="1">
        <v>2970107</v>
      </c>
      <c r="J1746" s="1">
        <v>43</v>
      </c>
      <c r="K1746" s="1">
        <v>9640031</v>
      </c>
      <c r="L1746" s="1">
        <v>54</v>
      </c>
      <c r="M1746" s="1">
        <v>8822736</v>
      </c>
      <c r="O1746" s="1">
        <v>97</v>
      </c>
      <c r="P1746" s="4">
        <f t="shared" si="81"/>
        <v>3787402</v>
      </c>
      <c r="Q1746" s="4">
        <f t="shared" si="82"/>
        <v>19</v>
      </c>
      <c r="R1746" s="4">
        <f t="shared" si="83"/>
        <v>199336.94736842104</v>
      </c>
    </row>
    <row r="1747" spans="1:18" hidden="1">
      <c r="A1747" s="1">
        <v>6</v>
      </c>
      <c r="B1747" s="1" t="str">
        <f>"موجودي ملزومات اداري"</f>
        <v>موجودي ملزومات اداري</v>
      </c>
      <c r="C1747" s="1">
        <v>110</v>
      </c>
      <c r="D1747" s="1" t="str">
        <f>"ملزومات اداري اصفهان"</f>
        <v>ملزومات اداري اصفهان</v>
      </c>
      <c r="E1747" s="1" t="str">
        <f>"1502030282"</f>
        <v>1502030282</v>
      </c>
      <c r="F1747" s="1" t="str">
        <f>"برچسب مات A4 بسته اي"</f>
        <v>برچسب مات A4 بسته اي</v>
      </c>
      <c r="G1747" s="1" t="str">
        <f>"عدد"</f>
        <v>عدد</v>
      </c>
      <c r="H1747" s="1">
        <v>0</v>
      </c>
      <c r="I1747" s="1">
        <v>0</v>
      </c>
      <c r="J1747" s="1">
        <v>2</v>
      </c>
      <c r="K1747" s="1">
        <v>430000</v>
      </c>
      <c r="L1747" s="1">
        <v>2</v>
      </c>
      <c r="M1747" s="1">
        <v>430000</v>
      </c>
      <c r="O1747" s="1">
        <v>97</v>
      </c>
      <c r="P1747" s="1">
        <f t="shared" si="81"/>
        <v>0</v>
      </c>
      <c r="Q1747" s="1">
        <f t="shared" si="82"/>
        <v>0</v>
      </c>
      <c r="R1747" s="1" t="e">
        <f t="shared" si="83"/>
        <v>#DIV/0!</v>
      </c>
    </row>
    <row r="1748" spans="1:18" hidden="1">
      <c r="A1748" s="1">
        <v>6</v>
      </c>
      <c r="B1748" s="1" t="str">
        <f>"موجودي ملزومات اداري"</f>
        <v>موجودي ملزومات اداري</v>
      </c>
      <c r="C1748" s="1">
        <v>110</v>
      </c>
      <c r="D1748" s="1" t="str">
        <f>"ملزومات اداري اصفهان"</f>
        <v>ملزومات اداري اصفهان</v>
      </c>
      <c r="E1748" s="1" t="str">
        <f>"1502030352"</f>
        <v>1502030352</v>
      </c>
      <c r="F1748" s="1" t="str">
        <f>"شير ظرف شوئي"</f>
        <v>شير ظرف شوئي</v>
      </c>
      <c r="G1748" s="1" t="str">
        <f>"عدد"</f>
        <v>عدد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O1748" s="1">
        <v>97</v>
      </c>
      <c r="P1748" s="1">
        <f t="shared" si="81"/>
        <v>0</v>
      </c>
      <c r="Q1748" s="1">
        <f t="shared" si="82"/>
        <v>0</v>
      </c>
      <c r="R1748" s="1" t="e">
        <f t="shared" si="83"/>
        <v>#DIV/0!</v>
      </c>
    </row>
    <row r="1749" spans="1:18" hidden="1">
      <c r="A1749" s="1">
        <v>6</v>
      </c>
      <c r="B1749" s="1" t="str">
        <f>"موجودي ملزومات اداري"</f>
        <v>موجودي ملزومات اداري</v>
      </c>
      <c r="C1749" s="1">
        <v>110</v>
      </c>
      <c r="D1749" s="1" t="str">
        <f>"ملزومات اداري اصفهان"</f>
        <v>ملزومات اداري اصفهان</v>
      </c>
      <c r="E1749" s="1" t="str">
        <f>"1502030502"</f>
        <v>1502030502</v>
      </c>
      <c r="F1749" s="1" t="str">
        <f>"سيم بگسل"</f>
        <v>سيم بگسل</v>
      </c>
      <c r="G1749" s="1" t="str">
        <f>"متر"</f>
        <v>متر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O1749" s="1">
        <v>97</v>
      </c>
      <c r="P1749" s="1">
        <f t="shared" si="81"/>
        <v>0</v>
      </c>
      <c r="Q1749" s="1">
        <f t="shared" si="82"/>
        <v>0</v>
      </c>
      <c r="R1749" s="1" t="e">
        <f t="shared" si="83"/>
        <v>#DIV/0!</v>
      </c>
    </row>
    <row r="1750" spans="1:18" hidden="1">
      <c r="A1750" s="1">
        <v>6</v>
      </c>
      <c r="B1750" s="1" t="str">
        <f>"موجودي ملزومات اداري"</f>
        <v>موجودي ملزومات اداري</v>
      </c>
      <c r="C1750" s="1">
        <v>110</v>
      </c>
      <c r="D1750" s="1" t="str">
        <f>"ملزومات اداري اصفهان"</f>
        <v>ملزومات اداري اصفهان</v>
      </c>
      <c r="E1750" s="1" t="str">
        <f>"1502030542"</f>
        <v>1502030542</v>
      </c>
      <c r="F1750" s="1" t="str">
        <f>"قطره چشمي"</f>
        <v>قطره چشمي</v>
      </c>
      <c r="G1750" s="1" t="str">
        <f>"عدد"</f>
        <v>عدد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O1750" s="1">
        <v>97</v>
      </c>
      <c r="P1750" s="1">
        <f t="shared" si="81"/>
        <v>0</v>
      </c>
      <c r="Q1750" s="1">
        <f t="shared" si="82"/>
        <v>0</v>
      </c>
      <c r="R1750" s="1" t="e">
        <f t="shared" si="83"/>
        <v>#DIV/0!</v>
      </c>
    </row>
    <row r="1751" spans="1:18" hidden="1">
      <c r="A1751" s="1">
        <v>6</v>
      </c>
      <c r="B1751" s="1" t="str">
        <f>"موجودي ملزومات اداري"</f>
        <v>موجودي ملزومات اداري</v>
      </c>
      <c r="C1751" s="1">
        <v>110</v>
      </c>
      <c r="D1751" s="1" t="str">
        <f>"ملزومات اداري اصفهان"</f>
        <v>ملزومات اداري اصفهان</v>
      </c>
      <c r="E1751" s="1" t="str">
        <f>"1502030582"</f>
        <v>1502030582</v>
      </c>
      <c r="F1751" s="1" t="str">
        <f>"سنگ نمک"</f>
        <v>سنگ نمک</v>
      </c>
      <c r="G1751" s="1" t="str">
        <f>"كيلوگرم"</f>
        <v>كيلوگرم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O1751" s="1">
        <v>97</v>
      </c>
      <c r="P1751" s="1">
        <f t="shared" si="81"/>
        <v>0</v>
      </c>
      <c r="Q1751" s="1">
        <f t="shared" si="82"/>
        <v>0</v>
      </c>
      <c r="R1751" s="1" t="e">
        <f t="shared" si="83"/>
        <v>#DIV/0!</v>
      </c>
    </row>
    <row r="1752" spans="1:18" hidden="1">
      <c r="A1752" s="1">
        <v>6</v>
      </c>
      <c r="B1752" s="1" t="str">
        <f>"موجودي ملزومات اداري"</f>
        <v>موجودي ملزومات اداري</v>
      </c>
      <c r="C1752" s="1">
        <v>110</v>
      </c>
      <c r="D1752" s="1" t="str">
        <f>"ملزومات اداري اصفهان"</f>
        <v>ملزومات اداري اصفهان</v>
      </c>
      <c r="E1752" s="1" t="str">
        <f>"1502030652"</f>
        <v>1502030652</v>
      </c>
      <c r="F1752" s="1" t="str">
        <f>"سوئيچ کنترل اختلاف فشار(اتوماتيک اير)"</f>
        <v>سوئيچ کنترل اختلاف فشار(اتوماتيک اير)</v>
      </c>
      <c r="G1752" s="1" t="str">
        <f>"عدد"</f>
        <v>عدد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O1752" s="1">
        <v>97</v>
      </c>
      <c r="P1752" s="1">
        <f t="shared" si="81"/>
        <v>0</v>
      </c>
      <c r="Q1752" s="1">
        <f t="shared" si="82"/>
        <v>0</v>
      </c>
      <c r="R1752" s="1" t="e">
        <f t="shared" si="83"/>
        <v>#DIV/0!</v>
      </c>
    </row>
    <row r="1753" spans="1:18" hidden="1">
      <c r="A1753" s="1">
        <v>6</v>
      </c>
      <c r="B1753" s="1" t="str">
        <f>"موجودي ملزومات اداري"</f>
        <v>موجودي ملزومات اداري</v>
      </c>
      <c r="C1753" s="1">
        <v>110</v>
      </c>
      <c r="D1753" s="1" t="str">
        <f>"ملزومات اداري اصفهان"</f>
        <v>ملزومات اداري اصفهان</v>
      </c>
      <c r="E1753" s="1" t="str">
        <f>"1502030732"</f>
        <v>1502030732</v>
      </c>
      <c r="F1753" s="1" t="str">
        <f>"لاستيک دوچرخه (سايز 26 )"</f>
        <v>لاستيک دوچرخه (سايز 26 )</v>
      </c>
      <c r="G1753" s="1" t="str">
        <f>"عدد"</f>
        <v>عدد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O1753" s="1">
        <v>97</v>
      </c>
      <c r="P1753" s="1">
        <f t="shared" si="81"/>
        <v>0</v>
      </c>
      <c r="Q1753" s="1">
        <f t="shared" si="82"/>
        <v>0</v>
      </c>
      <c r="R1753" s="1" t="e">
        <f t="shared" si="83"/>
        <v>#DIV/0!</v>
      </c>
    </row>
    <row r="1754" spans="1:18" hidden="1">
      <c r="A1754" s="1">
        <v>6</v>
      </c>
      <c r="B1754" s="1" t="str">
        <f>"موجودي ملزومات اداري"</f>
        <v>موجودي ملزومات اداري</v>
      </c>
      <c r="C1754" s="1">
        <v>110</v>
      </c>
      <c r="D1754" s="1" t="str">
        <f>"ملزومات اداري اصفهان"</f>
        <v>ملزومات اداري اصفهان</v>
      </c>
      <c r="E1754" s="1" t="str">
        <f>"1502030742"</f>
        <v>1502030742</v>
      </c>
      <c r="F1754" s="1" t="str">
        <f>"تيوپ دوچرخه (سايز26 )"</f>
        <v>تيوپ دوچرخه (سايز26 )</v>
      </c>
      <c r="G1754" s="1" t="str">
        <f>"عدد"</f>
        <v>عدد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O1754" s="1">
        <v>97</v>
      </c>
      <c r="P1754" s="1">
        <f t="shared" si="81"/>
        <v>0</v>
      </c>
      <c r="Q1754" s="1">
        <f t="shared" si="82"/>
        <v>0</v>
      </c>
      <c r="R1754" s="1" t="e">
        <f t="shared" si="83"/>
        <v>#DIV/0!</v>
      </c>
    </row>
    <row r="1755" spans="1:18" hidden="1">
      <c r="A1755" s="1">
        <v>6</v>
      </c>
      <c r="B1755" s="1" t="str">
        <f>"موجودي ملزومات اداري"</f>
        <v>موجودي ملزومات اداري</v>
      </c>
      <c r="C1755" s="1">
        <v>110</v>
      </c>
      <c r="D1755" s="1" t="str">
        <f>"ملزومات اداري اصفهان"</f>
        <v>ملزومات اداري اصفهان</v>
      </c>
      <c r="E1755" s="1" t="str">
        <f>"1502030822"</f>
        <v>1502030822</v>
      </c>
      <c r="F1755" s="1" t="str">
        <f>"مخزن آب پلي اتيلن 1500 ليتري"</f>
        <v>مخزن آب پلي اتيلن 1500 ليتري</v>
      </c>
      <c r="G1755" s="1" t="str">
        <f>"عدد"</f>
        <v>عدد</v>
      </c>
      <c r="H1755" s="1">
        <v>0</v>
      </c>
      <c r="I1755" s="1">
        <v>0</v>
      </c>
      <c r="J1755" s="1">
        <v>2</v>
      </c>
      <c r="K1755" s="1">
        <v>19250000</v>
      </c>
      <c r="L1755" s="1">
        <v>2</v>
      </c>
      <c r="M1755" s="1">
        <v>19250000</v>
      </c>
      <c r="O1755" s="1">
        <v>97</v>
      </c>
      <c r="P1755" s="1">
        <f t="shared" si="81"/>
        <v>0</v>
      </c>
      <c r="Q1755" s="1">
        <f t="shared" si="82"/>
        <v>0</v>
      </c>
      <c r="R1755" s="1" t="e">
        <f t="shared" si="83"/>
        <v>#DIV/0!</v>
      </c>
    </row>
    <row r="1756" spans="1:18" hidden="1">
      <c r="A1756" s="1">
        <v>6</v>
      </c>
      <c r="B1756" s="1" t="str">
        <f>"موجودي ملزومات اداري"</f>
        <v>موجودي ملزومات اداري</v>
      </c>
      <c r="C1756" s="1">
        <v>110</v>
      </c>
      <c r="D1756" s="1" t="str">
        <f>"ملزومات اداري اصفهان"</f>
        <v>ملزومات اداري اصفهان</v>
      </c>
      <c r="E1756" s="1" t="str">
        <f>"1502030932"</f>
        <v>1502030932</v>
      </c>
      <c r="F1756" s="1" t="str">
        <f>"روبالشتي و روتختي"</f>
        <v>روبالشتي و روتختي</v>
      </c>
      <c r="G1756" s="1" t="str">
        <f>"عدد"</f>
        <v>عدد</v>
      </c>
      <c r="H1756" s="1">
        <v>0</v>
      </c>
      <c r="I1756" s="1">
        <v>0</v>
      </c>
      <c r="J1756" s="1">
        <v>70</v>
      </c>
      <c r="K1756" s="1">
        <v>35000000</v>
      </c>
      <c r="L1756" s="1">
        <v>70</v>
      </c>
      <c r="M1756" s="1">
        <v>35000000</v>
      </c>
      <c r="O1756" s="1">
        <v>97</v>
      </c>
      <c r="P1756" s="1">
        <f t="shared" si="81"/>
        <v>0</v>
      </c>
      <c r="Q1756" s="1">
        <f t="shared" si="82"/>
        <v>0</v>
      </c>
      <c r="R1756" s="1" t="e">
        <f t="shared" si="83"/>
        <v>#DIV/0!</v>
      </c>
    </row>
    <row r="1757" spans="1:18" hidden="1">
      <c r="A1757" s="1">
        <v>6</v>
      </c>
      <c r="B1757" s="1" t="str">
        <f>"موجودي ملزومات اداري"</f>
        <v>موجودي ملزومات اداري</v>
      </c>
      <c r="C1757" s="1">
        <v>110</v>
      </c>
      <c r="D1757" s="1" t="str">
        <f>"ملزومات اداري اصفهان"</f>
        <v>ملزومات اداري اصفهان</v>
      </c>
      <c r="E1757" s="1" t="str">
        <f>"1502031012"</f>
        <v>1502031012</v>
      </c>
      <c r="F1757" s="1" t="str">
        <f>"شير تخليه کولر"</f>
        <v>شير تخليه کولر</v>
      </c>
      <c r="G1757" s="1" t="str">
        <f>"عدد"</f>
        <v>عدد</v>
      </c>
      <c r="H1757" s="1">
        <v>0</v>
      </c>
      <c r="I1757" s="1">
        <v>0</v>
      </c>
      <c r="J1757" s="1">
        <v>4</v>
      </c>
      <c r="K1757" s="1">
        <v>30000</v>
      </c>
      <c r="L1757" s="1">
        <v>4</v>
      </c>
      <c r="M1757" s="1">
        <v>30000</v>
      </c>
      <c r="O1757" s="1">
        <v>97</v>
      </c>
      <c r="P1757" s="1">
        <f t="shared" si="81"/>
        <v>0</v>
      </c>
      <c r="Q1757" s="1">
        <f t="shared" si="82"/>
        <v>0</v>
      </c>
      <c r="R1757" s="1" t="e">
        <f t="shared" si="83"/>
        <v>#DIV/0!</v>
      </c>
    </row>
    <row r="1758" spans="1:18">
      <c r="A1758" s="1">
        <v>2</v>
      </c>
      <c r="B1758" s="1" t="str">
        <f>"قطعات و لوازم يدكي"</f>
        <v>قطعات و لوازم يدكي</v>
      </c>
      <c r="C1758" s="1">
        <v>120</v>
      </c>
      <c r="D1758" s="1" t="str">
        <f>"انبار قطعات و لوازم يدكي بشکه سازي اصفهان"</f>
        <v>انبار قطعات و لوازم يدكي بشکه سازي اصفهان</v>
      </c>
      <c r="E1758" s="1" t="str">
        <f>"4311700199"</f>
        <v>4311700199</v>
      </c>
      <c r="F1758" s="1" t="str">
        <f>"مهره ماسوره 1 اينچ"</f>
        <v>مهره ماسوره 1 اينچ</v>
      </c>
      <c r="G1758" s="1" t="str">
        <f>"عدد"</f>
        <v>عدد</v>
      </c>
      <c r="H1758" s="1">
        <v>0</v>
      </c>
      <c r="I1758" s="1">
        <v>0</v>
      </c>
      <c r="J1758" s="1">
        <v>14</v>
      </c>
      <c r="K1758" s="1">
        <v>1120000</v>
      </c>
      <c r="L1758" s="1">
        <v>0</v>
      </c>
      <c r="M1758" s="1">
        <v>0</v>
      </c>
      <c r="O1758" s="1">
        <v>97</v>
      </c>
      <c r="P1758" s="4">
        <f t="shared" si="81"/>
        <v>1120000</v>
      </c>
      <c r="Q1758" s="4">
        <f t="shared" si="82"/>
        <v>14</v>
      </c>
      <c r="R1758" s="4">
        <f t="shared" si="83"/>
        <v>80000</v>
      </c>
    </row>
    <row r="1759" spans="1:18">
      <c r="A1759" s="1">
        <v>2</v>
      </c>
      <c r="B1759" s="1" t="str">
        <f>"قطعات و لوازم يدكي"</f>
        <v>قطعات و لوازم يدكي</v>
      </c>
      <c r="C1759" s="1">
        <v>120</v>
      </c>
      <c r="D1759" s="1" t="str">
        <f>"انبار قطعات و لوازم يدكي بشکه سازي اصفهان"</f>
        <v>انبار قطعات و لوازم يدكي بشکه سازي اصفهان</v>
      </c>
      <c r="E1759" s="1" t="str">
        <f>"4311700211"</f>
        <v>4311700211</v>
      </c>
      <c r="F1759" s="1" t="str">
        <f>"سه راهي پنوماتيک 10*10"</f>
        <v>سه راهي پنوماتيک 10*10</v>
      </c>
      <c r="G1759" s="1" t="str">
        <f>"عدد"</f>
        <v>عدد</v>
      </c>
      <c r="H1759" s="1">
        <v>0</v>
      </c>
      <c r="I1759" s="1">
        <v>0</v>
      </c>
      <c r="J1759" s="1">
        <v>3</v>
      </c>
      <c r="K1759" s="1">
        <v>210000</v>
      </c>
      <c r="L1759" s="1">
        <v>1</v>
      </c>
      <c r="M1759" s="1">
        <v>70000</v>
      </c>
      <c r="O1759" s="1">
        <v>97</v>
      </c>
      <c r="P1759" s="4">
        <f t="shared" si="81"/>
        <v>140000</v>
      </c>
      <c r="Q1759" s="4">
        <f t="shared" si="82"/>
        <v>2</v>
      </c>
      <c r="R1759" s="4">
        <f t="shared" si="83"/>
        <v>70000</v>
      </c>
    </row>
    <row r="1760" spans="1:18">
      <c r="A1760" s="1">
        <v>2</v>
      </c>
      <c r="B1760" s="1" t="str">
        <f>"قطعات و لوازم يدكي"</f>
        <v>قطعات و لوازم يدكي</v>
      </c>
      <c r="C1760" s="1">
        <v>120</v>
      </c>
      <c r="D1760" s="1" t="str">
        <f>"انبار قطعات و لوازم يدكي بشکه سازي اصفهان"</f>
        <v>انبار قطعات و لوازم يدكي بشکه سازي اصفهان</v>
      </c>
      <c r="E1760" s="1" t="str">
        <f>"4311700226"</f>
        <v>4311700226</v>
      </c>
      <c r="F1760" s="1" t="str">
        <f>"کاسه نمد 7-30-42"</f>
        <v>کاسه نمد 7-30-42</v>
      </c>
      <c r="G1760" s="1" t="str">
        <f>"عدد"</f>
        <v>عدد</v>
      </c>
      <c r="H1760" s="1">
        <v>0</v>
      </c>
      <c r="I1760" s="1">
        <v>0</v>
      </c>
      <c r="J1760" s="1">
        <v>10</v>
      </c>
      <c r="K1760" s="1">
        <v>500000</v>
      </c>
      <c r="L1760" s="1">
        <v>0</v>
      </c>
      <c r="M1760" s="1">
        <v>0</v>
      </c>
      <c r="O1760" s="1">
        <v>97</v>
      </c>
      <c r="P1760" s="4">
        <f t="shared" si="81"/>
        <v>500000</v>
      </c>
      <c r="Q1760" s="4">
        <f t="shared" si="82"/>
        <v>10</v>
      </c>
      <c r="R1760" s="4">
        <f t="shared" si="83"/>
        <v>50000</v>
      </c>
    </row>
    <row r="1761" spans="1:18">
      <c r="A1761" s="1">
        <v>2</v>
      </c>
      <c r="B1761" s="1" t="str">
        <f>"قطعات و لوازم يدكي"</f>
        <v>قطعات و لوازم يدكي</v>
      </c>
      <c r="C1761" s="1">
        <v>120</v>
      </c>
      <c r="D1761" s="1" t="str">
        <f>"انبار قطعات و لوازم يدكي بشکه سازي اصفهان"</f>
        <v>انبار قطعات و لوازم يدكي بشکه سازي اصفهان</v>
      </c>
      <c r="E1761" s="1" t="str">
        <f>"4311700227"</f>
        <v>4311700227</v>
      </c>
      <c r="F1761" s="1" t="str">
        <f>"کاسه نمد 05-52"</f>
        <v>کاسه نمد 05-52</v>
      </c>
      <c r="G1761" s="1" t="str">
        <f>"عدد"</f>
        <v>عدد</v>
      </c>
      <c r="H1761" s="1">
        <v>0</v>
      </c>
      <c r="I1761" s="1">
        <v>0</v>
      </c>
      <c r="J1761" s="1">
        <v>4</v>
      </c>
      <c r="K1761" s="1">
        <v>180000</v>
      </c>
      <c r="L1761" s="1">
        <v>0</v>
      </c>
      <c r="M1761" s="1">
        <v>0</v>
      </c>
      <c r="O1761" s="1">
        <v>97</v>
      </c>
      <c r="P1761" s="4">
        <f t="shared" si="81"/>
        <v>180000</v>
      </c>
      <c r="Q1761" s="4">
        <f t="shared" si="82"/>
        <v>4</v>
      </c>
      <c r="R1761" s="4">
        <f t="shared" si="83"/>
        <v>45000</v>
      </c>
    </row>
    <row r="1762" spans="1:18">
      <c r="A1762" s="1">
        <v>2</v>
      </c>
      <c r="B1762" s="1" t="str">
        <f>"قطعات و لوازم يدكي"</f>
        <v>قطعات و لوازم يدكي</v>
      </c>
      <c r="C1762" s="1">
        <v>120</v>
      </c>
      <c r="D1762" s="1" t="str">
        <f>"انبار قطعات و لوازم يدكي بشکه سازي اصفهان"</f>
        <v>انبار قطعات و لوازم يدكي بشکه سازي اصفهان</v>
      </c>
      <c r="E1762" s="1" t="str">
        <f>"4311700233"</f>
        <v>4311700233</v>
      </c>
      <c r="F1762" s="1" t="str">
        <f>"مغزي 2*1/2 اينچ"</f>
        <v>مغزي 2*1/2 اينچ</v>
      </c>
      <c r="G1762" s="1" t="str">
        <f>"عدد"</f>
        <v>عدد</v>
      </c>
      <c r="H1762" s="1">
        <v>0</v>
      </c>
      <c r="I1762" s="1">
        <v>0</v>
      </c>
      <c r="J1762" s="1">
        <v>5</v>
      </c>
      <c r="K1762" s="1">
        <v>50000</v>
      </c>
      <c r="L1762" s="1">
        <v>0</v>
      </c>
      <c r="M1762" s="1">
        <v>0</v>
      </c>
      <c r="O1762" s="1">
        <v>97</v>
      </c>
      <c r="P1762" s="4">
        <f t="shared" si="81"/>
        <v>50000</v>
      </c>
      <c r="Q1762" s="4">
        <f t="shared" si="82"/>
        <v>5</v>
      </c>
      <c r="R1762" s="4">
        <f t="shared" si="83"/>
        <v>10000</v>
      </c>
    </row>
    <row r="1763" spans="1:18">
      <c r="A1763" s="1">
        <v>2</v>
      </c>
      <c r="B1763" s="1" t="str">
        <f>"قطعات و لوازم يدكي"</f>
        <v>قطعات و لوازم يدكي</v>
      </c>
      <c r="C1763" s="1">
        <v>120</v>
      </c>
      <c r="D1763" s="1" t="str">
        <f>"انبار قطعات و لوازم يدكي بشکه سازي اصفهان"</f>
        <v>انبار قطعات و لوازم يدكي بشکه سازي اصفهان</v>
      </c>
      <c r="E1763" s="1" t="str">
        <f>"4311700235"</f>
        <v>4311700235</v>
      </c>
      <c r="F1763" s="1" t="str">
        <f>"مغزي 2*1/2 اينچ جوشي"</f>
        <v>مغزي 2*1/2 اينچ جوشي</v>
      </c>
      <c r="G1763" s="1" t="str">
        <f>"عدد"</f>
        <v>عدد</v>
      </c>
      <c r="H1763" s="1">
        <v>0</v>
      </c>
      <c r="I1763" s="1">
        <v>0</v>
      </c>
      <c r="J1763" s="1">
        <v>7</v>
      </c>
      <c r="K1763" s="1">
        <v>700000</v>
      </c>
      <c r="L1763" s="1">
        <v>0</v>
      </c>
      <c r="M1763" s="1">
        <v>0</v>
      </c>
      <c r="O1763" s="1">
        <v>97</v>
      </c>
      <c r="P1763" s="4">
        <f t="shared" si="81"/>
        <v>700000</v>
      </c>
      <c r="Q1763" s="4">
        <f t="shared" si="82"/>
        <v>7</v>
      </c>
      <c r="R1763" s="4">
        <f t="shared" si="83"/>
        <v>100000</v>
      </c>
    </row>
    <row r="1764" spans="1:18">
      <c r="A1764" s="1">
        <v>2</v>
      </c>
      <c r="B1764" s="1" t="str">
        <f>"قطعات و لوازم يدكي"</f>
        <v>قطعات و لوازم يدكي</v>
      </c>
      <c r="C1764" s="1">
        <v>120</v>
      </c>
      <c r="D1764" s="1" t="str">
        <f>"انبار قطعات و لوازم يدكي بشکه سازي اصفهان"</f>
        <v>انبار قطعات و لوازم يدكي بشکه سازي اصفهان</v>
      </c>
      <c r="E1764" s="1" t="str">
        <f>"4311700284"</f>
        <v>4311700284</v>
      </c>
      <c r="F1764" s="1" t="str">
        <f>"گسکت سايز 8"</f>
        <v>گسکت سايز 8</v>
      </c>
      <c r="G1764" s="1" t="str">
        <f>"عدد"</f>
        <v>عدد</v>
      </c>
      <c r="H1764" s="1">
        <v>0</v>
      </c>
      <c r="I1764" s="1">
        <v>0</v>
      </c>
      <c r="J1764" s="1">
        <v>21</v>
      </c>
      <c r="K1764" s="1">
        <v>1092000</v>
      </c>
      <c r="L1764" s="1">
        <v>0</v>
      </c>
      <c r="M1764" s="1">
        <v>0</v>
      </c>
      <c r="O1764" s="1">
        <v>97</v>
      </c>
      <c r="P1764" s="4">
        <f t="shared" si="81"/>
        <v>1092000</v>
      </c>
      <c r="Q1764" s="4">
        <f t="shared" si="82"/>
        <v>21</v>
      </c>
      <c r="R1764" s="4">
        <f t="shared" si="83"/>
        <v>52000</v>
      </c>
    </row>
    <row r="1765" spans="1:18">
      <c r="A1765" s="1">
        <v>2</v>
      </c>
      <c r="B1765" s="1" t="str">
        <f>"قطعات و لوازم يدكي"</f>
        <v>قطعات و لوازم يدكي</v>
      </c>
      <c r="C1765" s="1">
        <v>120</v>
      </c>
      <c r="D1765" s="1" t="str">
        <f>"انبار قطعات و لوازم يدكي بشکه سازي اصفهان"</f>
        <v>انبار قطعات و لوازم يدكي بشکه سازي اصفهان</v>
      </c>
      <c r="E1765" s="1" t="str">
        <f>"4311700285"</f>
        <v>4311700285</v>
      </c>
      <c r="F1765" s="1" t="str">
        <f>"صفحه برش ميني"</f>
        <v>صفحه برش ميني</v>
      </c>
      <c r="G1765" s="1" t="str">
        <f>"عدد"</f>
        <v>عدد</v>
      </c>
      <c r="H1765" s="1">
        <v>0</v>
      </c>
      <c r="I1765" s="1">
        <v>0</v>
      </c>
      <c r="J1765" s="1">
        <v>31</v>
      </c>
      <c r="K1765" s="1">
        <v>54250000</v>
      </c>
      <c r="L1765" s="1">
        <v>28</v>
      </c>
      <c r="M1765" s="1">
        <v>49000000</v>
      </c>
      <c r="O1765" s="1">
        <v>97</v>
      </c>
      <c r="P1765" s="4">
        <f t="shared" si="81"/>
        <v>5250000</v>
      </c>
      <c r="Q1765" s="4">
        <f t="shared" si="82"/>
        <v>3</v>
      </c>
      <c r="R1765" s="4">
        <f t="shared" si="83"/>
        <v>1750000</v>
      </c>
    </row>
    <row r="1766" spans="1:18">
      <c r="A1766" s="1">
        <v>2</v>
      </c>
      <c r="B1766" s="1" t="str">
        <f>"قطعات و لوازم يدكي"</f>
        <v>قطعات و لوازم يدكي</v>
      </c>
      <c r="C1766" s="1">
        <v>120</v>
      </c>
      <c r="D1766" s="1" t="str">
        <f>"انبار قطعات و لوازم يدكي بشکه سازي اصفهان"</f>
        <v>انبار قطعات و لوازم يدكي بشکه سازي اصفهان</v>
      </c>
      <c r="E1766" s="1" t="str">
        <f>"4311700301"</f>
        <v>4311700301</v>
      </c>
      <c r="F1766" s="1" t="str">
        <f>"کليد کولر."</f>
        <v>کليد کولر.</v>
      </c>
      <c r="G1766" s="1" t="str">
        <f>"عدد"</f>
        <v>عدد</v>
      </c>
      <c r="H1766" s="1">
        <v>0</v>
      </c>
      <c r="I1766" s="1">
        <v>0</v>
      </c>
      <c r="J1766" s="1">
        <v>1</v>
      </c>
      <c r="K1766" s="1">
        <v>70000</v>
      </c>
      <c r="L1766" s="1">
        <v>0</v>
      </c>
      <c r="M1766" s="1">
        <v>0</v>
      </c>
      <c r="O1766" s="1">
        <v>97</v>
      </c>
      <c r="P1766" s="4">
        <f t="shared" si="81"/>
        <v>70000</v>
      </c>
      <c r="Q1766" s="4">
        <f t="shared" si="82"/>
        <v>1</v>
      </c>
      <c r="R1766" s="4">
        <f t="shared" si="83"/>
        <v>70000</v>
      </c>
    </row>
    <row r="1767" spans="1:18">
      <c r="A1767" s="1">
        <v>2</v>
      </c>
      <c r="B1767" s="1" t="str">
        <f>"قطعات و لوازم يدكي"</f>
        <v>قطعات و لوازم يدكي</v>
      </c>
      <c r="C1767" s="1">
        <v>120</v>
      </c>
      <c r="D1767" s="1" t="str">
        <f>"انبار قطعات و لوازم يدكي بشکه سازي اصفهان"</f>
        <v>انبار قطعات و لوازم يدكي بشکه سازي اصفهان</v>
      </c>
      <c r="E1767" s="1" t="str">
        <f>"4311700336"</f>
        <v>4311700336</v>
      </c>
      <c r="F1767" s="1" t="str">
        <f>"پين قيچي ورق بر دستي"</f>
        <v>پين قيچي ورق بر دستي</v>
      </c>
      <c r="G1767" s="1" t="str">
        <f>"عدد"</f>
        <v>عدد</v>
      </c>
      <c r="H1767" s="1">
        <v>0</v>
      </c>
      <c r="I1767" s="1">
        <v>0</v>
      </c>
      <c r="J1767" s="1">
        <v>3</v>
      </c>
      <c r="K1767" s="1">
        <v>300000</v>
      </c>
      <c r="L1767" s="1">
        <v>0</v>
      </c>
      <c r="M1767" s="1">
        <v>0</v>
      </c>
      <c r="O1767" s="1">
        <v>97</v>
      </c>
      <c r="P1767" s="4">
        <f t="shared" si="81"/>
        <v>300000</v>
      </c>
      <c r="Q1767" s="4">
        <f t="shared" si="82"/>
        <v>3</v>
      </c>
      <c r="R1767" s="4">
        <f t="shared" si="83"/>
        <v>100000</v>
      </c>
    </row>
    <row r="1768" spans="1:18">
      <c r="A1768" s="1">
        <v>2</v>
      </c>
      <c r="B1768" s="1" t="str">
        <f>"قطعات و لوازم يدكي"</f>
        <v>قطعات و لوازم يدكي</v>
      </c>
      <c r="C1768" s="1">
        <v>120</v>
      </c>
      <c r="D1768" s="1" t="str">
        <f>"انبار قطعات و لوازم يدكي بشکه سازي اصفهان"</f>
        <v>انبار قطعات و لوازم يدكي بشکه سازي اصفهان</v>
      </c>
      <c r="E1768" s="1" t="str">
        <f>"4311700347"</f>
        <v>4311700347</v>
      </c>
      <c r="F1768" s="1" t="str">
        <f>"پيچ آلن 6*8m"</f>
        <v>پيچ آلن 6*8m</v>
      </c>
      <c r="G1768" s="1" t="str">
        <f>"عدد"</f>
        <v>عدد</v>
      </c>
      <c r="H1768" s="1">
        <v>0</v>
      </c>
      <c r="I1768" s="1">
        <v>0</v>
      </c>
      <c r="J1768" s="1">
        <v>11</v>
      </c>
      <c r="K1768" s="1">
        <v>38500</v>
      </c>
      <c r="L1768" s="1">
        <v>0</v>
      </c>
      <c r="M1768" s="1">
        <v>0</v>
      </c>
      <c r="O1768" s="1">
        <v>97</v>
      </c>
      <c r="P1768" s="4">
        <f t="shared" si="81"/>
        <v>38500</v>
      </c>
      <c r="Q1768" s="4">
        <f t="shared" si="82"/>
        <v>11</v>
      </c>
      <c r="R1768" s="4">
        <f t="shared" si="83"/>
        <v>3500</v>
      </c>
    </row>
    <row r="1769" spans="1:18">
      <c r="A1769" s="1">
        <v>2</v>
      </c>
      <c r="B1769" s="1" t="str">
        <f>"قطعات و لوازم يدكي"</f>
        <v>قطعات و لوازم يدكي</v>
      </c>
      <c r="C1769" s="1">
        <v>120</v>
      </c>
      <c r="D1769" s="1" t="str">
        <f>"انبار قطعات و لوازم يدكي بشکه سازي اصفهان"</f>
        <v>انبار قطعات و لوازم يدكي بشکه سازي اصفهان</v>
      </c>
      <c r="E1769" s="1" t="str">
        <f>"4311700348"</f>
        <v>4311700348</v>
      </c>
      <c r="F1769" s="1" t="str">
        <f>"پيچ آلن 9*8m"</f>
        <v>پيچ آلن 9*8m</v>
      </c>
      <c r="G1769" s="1" t="str">
        <f>"عدد"</f>
        <v>عدد</v>
      </c>
      <c r="H1769" s="1">
        <v>0</v>
      </c>
      <c r="I1769" s="1">
        <v>0</v>
      </c>
      <c r="J1769" s="1">
        <v>3</v>
      </c>
      <c r="K1769" s="1">
        <v>7500</v>
      </c>
      <c r="L1769" s="1">
        <v>0</v>
      </c>
      <c r="M1769" s="1">
        <v>0</v>
      </c>
      <c r="O1769" s="1">
        <v>97</v>
      </c>
      <c r="P1769" s="4">
        <f t="shared" si="81"/>
        <v>7500</v>
      </c>
      <c r="Q1769" s="4">
        <f t="shared" si="82"/>
        <v>3</v>
      </c>
      <c r="R1769" s="4">
        <f t="shared" si="83"/>
        <v>2500</v>
      </c>
    </row>
    <row r="1770" spans="1:18">
      <c r="A1770" s="1">
        <v>2</v>
      </c>
      <c r="B1770" s="1" t="str">
        <f>"قطعات و لوازم يدكي"</f>
        <v>قطعات و لوازم يدكي</v>
      </c>
      <c r="C1770" s="1">
        <v>120</v>
      </c>
      <c r="D1770" s="1" t="str">
        <f>"انبار قطعات و لوازم يدكي بشکه سازي اصفهان"</f>
        <v>انبار قطعات و لوازم يدكي بشکه سازي اصفهان</v>
      </c>
      <c r="E1770" s="1" t="str">
        <f>"4311700351"</f>
        <v>4311700351</v>
      </c>
      <c r="F1770" s="1" t="str">
        <f>"اورينگ 2*138"</f>
        <v>اورينگ 2*138</v>
      </c>
      <c r="G1770" s="1" t="str">
        <f>"عدد"</f>
        <v>عدد</v>
      </c>
      <c r="H1770" s="1">
        <v>0</v>
      </c>
      <c r="I1770" s="1">
        <v>0</v>
      </c>
      <c r="J1770" s="1">
        <v>3</v>
      </c>
      <c r="K1770" s="1">
        <v>45000</v>
      </c>
      <c r="L1770" s="1">
        <v>0</v>
      </c>
      <c r="M1770" s="1">
        <v>0</v>
      </c>
      <c r="O1770" s="1">
        <v>97</v>
      </c>
      <c r="P1770" s="4">
        <f t="shared" si="81"/>
        <v>45000</v>
      </c>
      <c r="Q1770" s="4">
        <f t="shared" si="82"/>
        <v>3</v>
      </c>
      <c r="R1770" s="4">
        <f t="shared" si="83"/>
        <v>15000</v>
      </c>
    </row>
    <row r="1771" spans="1:18">
      <c r="A1771" s="1">
        <v>2</v>
      </c>
      <c r="B1771" s="1" t="str">
        <f>"قطعات و لوازم يدكي"</f>
        <v>قطعات و لوازم يدكي</v>
      </c>
      <c r="C1771" s="1">
        <v>120</v>
      </c>
      <c r="D1771" s="1" t="str">
        <f>"انبار قطعات و لوازم يدكي بشکه سازي اصفهان"</f>
        <v>انبار قطعات و لوازم يدكي بشکه سازي اصفهان</v>
      </c>
      <c r="E1771" s="1" t="str">
        <f>"4311700354"</f>
        <v>4311700354</v>
      </c>
      <c r="F1771" s="1" t="str">
        <f>"پيچ آلن 3*12m"</f>
        <v>پيچ آلن 3*12m</v>
      </c>
      <c r="G1771" s="1" t="str">
        <f>"عدد"</f>
        <v>عدد</v>
      </c>
      <c r="H1771" s="1">
        <v>0</v>
      </c>
      <c r="I1771" s="1">
        <v>0</v>
      </c>
      <c r="J1771" s="1">
        <v>12</v>
      </c>
      <c r="K1771" s="1">
        <v>120000</v>
      </c>
      <c r="L1771" s="1">
        <v>0</v>
      </c>
      <c r="M1771" s="1">
        <v>0</v>
      </c>
      <c r="O1771" s="1">
        <v>97</v>
      </c>
      <c r="P1771" s="4">
        <f t="shared" si="81"/>
        <v>120000</v>
      </c>
      <c r="Q1771" s="4">
        <f t="shared" si="82"/>
        <v>12</v>
      </c>
      <c r="R1771" s="4">
        <f t="shared" si="83"/>
        <v>10000</v>
      </c>
    </row>
    <row r="1772" spans="1:18">
      <c r="A1772" s="1">
        <v>2</v>
      </c>
      <c r="B1772" s="1" t="str">
        <f>"قطعات و لوازم يدكي"</f>
        <v>قطعات و لوازم يدكي</v>
      </c>
      <c r="C1772" s="1">
        <v>120</v>
      </c>
      <c r="D1772" s="1" t="str">
        <f>"انبار قطعات و لوازم يدكي بشکه سازي اصفهان"</f>
        <v>انبار قطعات و لوازم يدكي بشکه سازي اصفهان</v>
      </c>
      <c r="E1772" s="1" t="str">
        <f>"4311700356"</f>
        <v>4311700356</v>
      </c>
      <c r="F1772" s="1" t="str">
        <f>"پيچ و مهره 4*14m"</f>
        <v>پيچ و مهره 4*14m</v>
      </c>
      <c r="G1772" s="1" t="str">
        <f>"عدد"</f>
        <v>عدد</v>
      </c>
      <c r="H1772" s="1">
        <v>0</v>
      </c>
      <c r="I1772" s="1">
        <v>0</v>
      </c>
      <c r="J1772" s="1">
        <v>12</v>
      </c>
      <c r="K1772" s="1">
        <v>72000</v>
      </c>
      <c r="L1772" s="1">
        <v>0</v>
      </c>
      <c r="M1772" s="1">
        <v>0</v>
      </c>
      <c r="O1772" s="1">
        <v>97</v>
      </c>
      <c r="P1772" s="4">
        <f t="shared" si="81"/>
        <v>72000</v>
      </c>
      <c r="Q1772" s="4">
        <f t="shared" si="82"/>
        <v>12</v>
      </c>
      <c r="R1772" s="4">
        <f t="shared" si="83"/>
        <v>6000</v>
      </c>
    </row>
    <row r="1773" spans="1:18">
      <c r="A1773" s="1">
        <v>2</v>
      </c>
      <c r="B1773" s="1" t="str">
        <f>"قطعات و لوازم يدكي"</f>
        <v>قطعات و لوازم يدكي</v>
      </c>
      <c r="C1773" s="1">
        <v>120</v>
      </c>
      <c r="D1773" s="1" t="str">
        <f>"انبار قطعات و لوازم يدكي بشکه سازي اصفهان"</f>
        <v>انبار قطعات و لوازم يدكي بشکه سازي اصفهان</v>
      </c>
      <c r="E1773" s="1" t="str">
        <f>"4311700360"</f>
        <v>4311700360</v>
      </c>
      <c r="F1773" s="1" t="str">
        <f>"فيتينگي 10 به 1/8"</f>
        <v>فيتينگي 10 به 1/8</v>
      </c>
      <c r="G1773" s="1" t="str">
        <f>"عدد"</f>
        <v>عدد</v>
      </c>
      <c r="H1773" s="1">
        <v>0</v>
      </c>
      <c r="I1773" s="1">
        <v>0</v>
      </c>
      <c r="J1773" s="1">
        <v>4</v>
      </c>
      <c r="K1773" s="1">
        <v>220000</v>
      </c>
      <c r="L1773" s="1">
        <v>0</v>
      </c>
      <c r="M1773" s="1">
        <v>0</v>
      </c>
      <c r="O1773" s="1">
        <v>97</v>
      </c>
      <c r="P1773" s="4">
        <f t="shared" si="81"/>
        <v>220000</v>
      </c>
      <c r="Q1773" s="4">
        <f t="shared" si="82"/>
        <v>4</v>
      </c>
      <c r="R1773" s="4">
        <f t="shared" si="83"/>
        <v>55000</v>
      </c>
    </row>
    <row r="1774" spans="1:18">
      <c r="A1774" s="1">
        <v>2</v>
      </c>
      <c r="B1774" s="1" t="str">
        <f>"قطعات و لوازم يدكي"</f>
        <v>قطعات و لوازم يدكي</v>
      </c>
      <c r="C1774" s="1">
        <v>120</v>
      </c>
      <c r="D1774" s="1" t="str">
        <f>"انبار قطعات و لوازم يدكي بشکه سازي اصفهان"</f>
        <v>انبار قطعات و لوازم يدكي بشکه سازي اصفهان</v>
      </c>
      <c r="E1774" s="1" t="str">
        <f>"4311700370"</f>
        <v>4311700370</v>
      </c>
      <c r="F1774" s="1" t="str">
        <f>"لنت پرس 40 تن"</f>
        <v>لنت پرس 40 تن</v>
      </c>
      <c r="G1774" s="1" t="str">
        <f>"عدد"</f>
        <v>عدد</v>
      </c>
      <c r="H1774" s="1">
        <v>0</v>
      </c>
      <c r="I1774" s="1">
        <v>0</v>
      </c>
      <c r="J1774" s="1">
        <v>112</v>
      </c>
      <c r="K1774" s="1">
        <v>8064000</v>
      </c>
      <c r="L1774" s="1">
        <v>0</v>
      </c>
      <c r="M1774" s="1">
        <v>0</v>
      </c>
      <c r="O1774" s="1">
        <v>97</v>
      </c>
      <c r="P1774" s="4">
        <f t="shared" si="81"/>
        <v>8064000</v>
      </c>
      <c r="Q1774" s="4">
        <f t="shared" si="82"/>
        <v>112</v>
      </c>
      <c r="R1774" s="4">
        <f t="shared" si="83"/>
        <v>72000</v>
      </c>
    </row>
    <row r="1775" spans="1:18" hidden="1">
      <c r="A1775" s="1">
        <v>2</v>
      </c>
      <c r="B1775" s="1" t="str">
        <f>"قطعات و لوازم يدكي"</f>
        <v>قطعات و لوازم يدكي</v>
      </c>
      <c r="C1775" s="1">
        <v>120</v>
      </c>
      <c r="D1775" s="1" t="str">
        <f>"انبار قطعات و لوازم يدكي بشکه سازي اصفهان"</f>
        <v>انبار قطعات و لوازم يدكي بشکه سازي اصفهان</v>
      </c>
      <c r="E1775" s="1" t="str">
        <f>"5111700002"</f>
        <v>5111700002</v>
      </c>
      <c r="F1775" s="1" t="str">
        <f>"روشنايي سيار 3 متري"</f>
        <v>روشنايي سيار 3 متري</v>
      </c>
      <c r="G1775" s="1" t="str">
        <f>"عدد"</f>
        <v>عدد</v>
      </c>
      <c r="H1775" s="1">
        <v>0</v>
      </c>
      <c r="I1775" s="1">
        <v>0</v>
      </c>
      <c r="J1775" s="1">
        <v>1</v>
      </c>
      <c r="K1775" s="1">
        <v>200000</v>
      </c>
      <c r="L1775" s="1">
        <v>1</v>
      </c>
      <c r="M1775" s="1">
        <v>200000</v>
      </c>
      <c r="O1775" s="1">
        <v>97</v>
      </c>
      <c r="P1775" s="1">
        <f t="shared" si="81"/>
        <v>0</v>
      </c>
      <c r="Q1775" s="1">
        <f t="shared" si="82"/>
        <v>0</v>
      </c>
      <c r="R1775" s="1" t="e">
        <f t="shared" si="83"/>
        <v>#DIV/0!</v>
      </c>
    </row>
    <row r="1776" spans="1:18" hidden="1">
      <c r="A1776" s="1">
        <v>2</v>
      </c>
      <c r="B1776" s="1" t="str">
        <f>"قطعات و لوازم يدكي"</f>
        <v>قطعات و لوازم يدكي</v>
      </c>
      <c r="C1776" s="1">
        <v>120</v>
      </c>
      <c r="D1776" s="1" t="str">
        <f>"انبار قطعات و لوازم يدكي بشکه سازي اصفهان"</f>
        <v>انبار قطعات و لوازم يدكي بشکه سازي اصفهان</v>
      </c>
      <c r="E1776" s="1" t="str">
        <f>"5211700017"</f>
        <v>5211700017</v>
      </c>
      <c r="F1776" s="1" t="str">
        <f>"تيغ کاتر."</f>
        <v>تيغ کاتر.</v>
      </c>
      <c r="G1776" s="1" t="str">
        <f>"عدد"</f>
        <v>عدد</v>
      </c>
      <c r="H1776" s="1">
        <v>0</v>
      </c>
      <c r="I1776" s="1">
        <v>0</v>
      </c>
      <c r="J1776" s="1">
        <v>2</v>
      </c>
      <c r="K1776" s="1">
        <v>140000</v>
      </c>
      <c r="L1776" s="1">
        <v>2</v>
      </c>
      <c r="M1776" s="1">
        <v>140000</v>
      </c>
      <c r="O1776" s="1">
        <v>97</v>
      </c>
      <c r="P1776" s="1">
        <f t="shared" si="81"/>
        <v>0</v>
      </c>
      <c r="Q1776" s="1">
        <f t="shared" si="82"/>
        <v>0</v>
      </c>
      <c r="R1776" s="1" t="e">
        <f t="shared" si="83"/>
        <v>#DIV/0!</v>
      </c>
    </row>
    <row r="1777" spans="1:18">
      <c r="A1777" s="1">
        <v>2</v>
      </c>
      <c r="B1777" s="1" t="str">
        <f>"قطعات و لوازم يدكي"</f>
        <v>قطعات و لوازم يدكي</v>
      </c>
      <c r="C1777" s="1">
        <v>120</v>
      </c>
      <c r="D1777" s="1" t="str">
        <f>"انبار قطعات و لوازم يدكي بشکه سازي اصفهان"</f>
        <v>انبار قطعات و لوازم يدكي بشکه سازي اصفهان</v>
      </c>
      <c r="E1777" s="1" t="str">
        <f>"5311700006"</f>
        <v>5311700006</v>
      </c>
      <c r="F1777" s="1" t="str">
        <f>"شلنگ فنري باد"</f>
        <v>شلنگ فنري باد</v>
      </c>
      <c r="G1777" s="1" t="str">
        <f>"عدد"</f>
        <v>عدد</v>
      </c>
      <c r="H1777" s="1">
        <v>0</v>
      </c>
      <c r="I1777" s="1">
        <v>0</v>
      </c>
      <c r="J1777" s="1">
        <v>1</v>
      </c>
      <c r="K1777" s="1">
        <v>200000</v>
      </c>
      <c r="L1777" s="1">
        <v>0</v>
      </c>
      <c r="M1777" s="1">
        <v>0</v>
      </c>
      <c r="O1777" s="1">
        <v>97</v>
      </c>
      <c r="P1777" s="4">
        <f t="shared" si="81"/>
        <v>200000</v>
      </c>
      <c r="Q1777" s="4">
        <f t="shared" si="82"/>
        <v>1</v>
      </c>
      <c r="R1777" s="4">
        <f t="shared" si="83"/>
        <v>200000</v>
      </c>
    </row>
    <row r="1778" spans="1:18">
      <c r="A1778" s="1">
        <v>2</v>
      </c>
      <c r="B1778" s="1" t="str">
        <f>"قطعات و لوازم يدكي"</f>
        <v>قطعات و لوازم يدكي</v>
      </c>
      <c r="C1778" s="1">
        <v>120</v>
      </c>
      <c r="D1778" s="1" t="str">
        <f>"انبار قطعات و لوازم يدكي بشکه سازي اصفهان"</f>
        <v>انبار قطعات و لوازم يدكي بشکه سازي اصفهان</v>
      </c>
      <c r="E1778" s="1" t="str">
        <f>"5311700011"</f>
        <v>5311700011</v>
      </c>
      <c r="F1778" s="1" t="str">
        <f>"فرچه سيمي بزرگ سنگ بزرگ"</f>
        <v>فرچه سيمي بزرگ سنگ بزرگ</v>
      </c>
      <c r="G1778" s="1" t="str">
        <f>"عدد"</f>
        <v>عدد</v>
      </c>
      <c r="H1778" s="1">
        <v>0</v>
      </c>
      <c r="I1778" s="1">
        <v>0</v>
      </c>
      <c r="J1778" s="1">
        <v>2</v>
      </c>
      <c r="K1778" s="1">
        <v>600000</v>
      </c>
      <c r="L1778" s="1">
        <v>1</v>
      </c>
      <c r="M1778" s="1">
        <v>300000</v>
      </c>
      <c r="O1778" s="1">
        <v>97</v>
      </c>
      <c r="P1778" s="4">
        <f t="shared" si="81"/>
        <v>300000</v>
      </c>
      <c r="Q1778" s="4">
        <f t="shared" si="82"/>
        <v>1</v>
      </c>
      <c r="R1778" s="4">
        <f t="shared" si="83"/>
        <v>300000</v>
      </c>
    </row>
    <row r="1779" spans="1:18" hidden="1">
      <c r="A1779" s="1">
        <v>2</v>
      </c>
      <c r="B1779" s="1" t="str">
        <f>"قطعات و لوازم يدكي"</f>
        <v>قطعات و لوازم يدكي</v>
      </c>
      <c r="C1779" s="1">
        <v>120</v>
      </c>
      <c r="D1779" s="1" t="str">
        <f>"انبار قطعات و لوازم يدكي بشکه سازي اصفهان"</f>
        <v>انبار قطعات و لوازم يدكي بشکه سازي اصفهان</v>
      </c>
      <c r="E1779" s="1" t="str">
        <f>"7111700004"</f>
        <v>7111700004</v>
      </c>
      <c r="F1779" s="1" t="str">
        <f>"کاغذ يادداشت"</f>
        <v>کاغذ يادداشت</v>
      </c>
      <c r="G1779" s="1" t="str">
        <f>"بسته"</f>
        <v>بسته</v>
      </c>
      <c r="H1779" s="1">
        <v>0</v>
      </c>
      <c r="I1779" s="1">
        <v>0</v>
      </c>
      <c r="J1779" s="1">
        <v>4</v>
      </c>
      <c r="K1779" s="1">
        <v>100000</v>
      </c>
      <c r="L1779" s="1">
        <v>4</v>
      </c>
      <c r="M1779" s="1">
        <v>100000</v>
      </c>
      <c r="O1779" s="1">
        <v>97</v>
      </c>
      <c r="P1779" s="1">
        <f t="shared" si="81"/>
        <v>0</v>
      </c>
      <c r="Q1779" s="1">
        <f t="shared" si="82"/>
        <v>0</v>
      </c>
      <c r="R1779" s="1" t="e">
        <f t="shared" si="83"/>
        <v>#DIV/0!</v>
      </c>
    </row>
    <row r="1780" spans="1:18" hidden="1">
      <c r="A1780" s="1">
        <v>2</v>
      </c>
      <c r="B1780" s="1" t="str">
        <f>"قطعات و لوازم يدكي"</f>
        <v>قطعات و لوازم يدكي</v>
      </c>
      <c r="C1780" s="1">
        <v>120</v>
      </c>
      <c r="D1780" s="1" t="str">
        <f>"انبار قطعات و لوازم يدكي بشکه سازي اصفهان"</f>
        <v>انبار قطعات و لوازم يدكي بشکه سازي اصفهان</v>
      </c>
      <c r="E1780" s="1" t="str">
        <f>"7111700005"</f>
        <v>7111700005</v>
      </c>
      <c r="F1780" s="1" t="str">
        <f>"سوزن منگنه"</f>
        <v>سوزن منگنه</v>
      </c>
      <c r="G1780" s="1" t="str">
        <f>"بسته"</f>
        <v>بسته</v>
      </c>
      <c r="H1780" s="1">
        <v>0</v>
      </c>
      <c r="I1780" s="1">
        <v>0</v>
      </c>
      <c r="J1780" s="1">
        <v>4</v>
      </c>
      <c r="K1780" s="1">
        <v>36000</v>
      </c>
      <c r="L1780" s="1">
        <v>4</v>
      </c>
      <c r="M1780" s="1">
        <v>36000</v>
      </c>
      <c r="O1780" s="1">
        <v>97</v>
      </c>
      <c r="P1780" s="1">
        <f t="shared" si="81"/>
        <v>0</v>
      </c>
      <c r="Q1780" s="1">
        <f t="shared" si="82"/>
        <v>0</v>
      </c>
      <c r="R1780" s="1" t="e">
        <f t="shared" si="83"/>
        <v>#DIV/0!</v>
      </c>
    </row>
    <row r="1781" spans="1:18" hidden="1">
      <c r="A1781" s="1">
        <v>2</v>
      </c>
      <c r="B1781" s="1" t="str">
        <f>"قطعات و لوازم يدكي"</f>
        <v>قطعات و لوازم يدكي</v>
      </c>
      <c r="C1781" s="1">
        <v>120</v>
      </c>
      <c r="D1781" s="1" t="str">
        <f>"انبار قطعات و لوازم يدكي بشکه سازي اصفهان"</f>
        <v>انبار قطعات و لوازم يدكي بشکه سازي اصفهان</v>
      </c>
      <c r="E1781" s="1" t="str">
        <f>"7111700006"</f>
        <v>7111700006</v>
      </c>
      <c r="F1781" s="1" t="str">
        <f>"ماژيک وايت برد"</f>
        <v>ماژيک وايت برد</v>
      </c>
      <c r="G1781" s="1" t="str">
        <f>"عدد"</f>
        <v>عدد</v>
      </c>
      <c r="H1781" s="1">
        <v>0</v>
      </c>
      <c r="I1781" s="1">
        <v>0</v>
      </c>
      <c r="J1781" s="1">
        <v>4</v>
      </c>
      <c r="K1781" s="1">
        <v>56000</v>
      </c>
      <c r="L1781" s="1">
        <v>4</v>
      </c>
      <c r="M1781" s="1">
        <v>56000</v>
      </c>
      <c r="O1781" s="1">
        <v>97</v>
      </c>
      <c r="P1781" s="1">
        <f t="shared" si="81"/>
        <v>0</v>
      </c>
      <c r="Q1781" s="1">
        <f t="shared" si="82"/>
        <v>0</v>
      </c>
      <c r="R1781" s="1" t="e">
        <f t="shared" si="83"/>
        <v>#DIV/0!</v>
      </c>
    </row>
    <row r="1782" spans="1:18" hidden="1">
      <c r="A1782" s="1">
        <v>2</v>
      </c>
      <c r="B1782" s="1" t="str">
        <f>"قطعات و لوازم يدكي"</f>
        <v>قطعات و لوازم يدكي</v>
      </c>
      <c r="C1782" s="1">
        <v>120</v>
      </c>
      <c r="D1782" s="1" t="str">
        <f>"انبار قطعات و لوازم يدكي بشکه سازي اصفهان"</f>
        <v>انبار قطعات و لوازم يدكي بشکه سازي اصفهان</v>
      </c>
      <c r="E1782" s="1" t="str">
        <f>"7111700012"</f>
        <v>7111700012</v>
      </c>
      <c r="F1782" s="1" t="str">
        <f>"خودکار آبي"</f>
        <v>خودکار آبي</v>
      </c>
      <c r="G1782" s="1" t="str">
        <f>"عدد"</f>
        <v>عدد</v>
      </c>
      <c r="H1782" s="1">
        <v>0</v>
      </c>
      <c r="I1782" s="1">
        <v>0</v>
      </c>
      <c r="J1782" s="1">
        <v>8</v>
      </c>
      <c r="K1782" s="1">
        <v>49600</v>
      </c>
      <c r="L1782" s="1">
        <v>8</v>
      </c>
      <c r="M1782" s="1">
        <v>49600</v>
      </c>
      <c r="O1782" s="1">
        <v>97</v>
      </c>
      <c r="P1782" s="1">
        <f t="shared" si="81"/>
        <v>0</v>
      </c>
      <c r="Q1782" s="1">
        <f t="shared" si="82"/>
        <v>0</v>
      </c>
      <c r="R1782" s="1" t="e">
        <f t="shared" si="83"/>
        <v>#DIV/0!</v>
      </c>
    </row>
    <row r="1783" spans="1:18" hidden="1">
      <c r="A1783" s="1">
        <v>2</v>
      </c>
      <c r="B1783" s="1" t="str">
        <f>"قطعات و لوازم يدكي"</f>
        <v>قطعات و لوازم يدكي</v>
      </c>
      <c r="C1783" s="1">
        <v>120</v>
      </c>
      <c r="D1783" s="1" t="str">
        <f>"انبار قطعات و لوازم يدكي بشکه سازي اصفهان"</f>
        <v>انبار قطعات و لوازم يدكي بشکه سازي اصفهان</v>
      </c>
      <c r="E1783" s="1" t="str">
        <f>"7111700013"</f>
        <v>7111700013</v>
      </c>
      <c r="F1783" s="1" t="str">
        <f>"خودکار مشکي"</f>
        <v>خودکار مشکي</v>
      </c>
      <c r="G1783" s="1" t="str">
        <f>"عدد"</f>
        <v>عدد</v>
      </c>
      <c r="H1783" s="1">
        <v>0</v>
      </c>
      <c r="I1783" s="1">
        <v>0</v>
      </c>
      <c r="J1783" s="1">
        <v>1</v>
      </c>
      <c r="K1783" s="1">
        <v>6200</v>
      </c>
      <c r="L1783" s="1">
        <v>1</v>
      </c>
      <c r="M1783" s="1">
        <v>6200</v>
      </c>
      <c r="O1783" s="1">
        <v>97</v>
      </c>
      <c r="P1783" s="1">
        <f t="shared" si="81"/>
        <v>0</v>
      </c>
      <c r="Q1783" s="1">
        <f t="shared" si="82"/>
        <v>0</v>
      </c>
      <c r="R1783" s="1" t="e">
        <f t="shared" si="83"/>
        <v>#DIV/0!</v>
      </c>
    </row>
    <row r="1784" spans="1:18" hidden="1">
      <c r="A1784" s="1">
        <v>2</v>
      </c>
      <c r="B1784" s="1" t="str">
        <f>"قطعات و لوازم يدكي"</f>
        <v>قطعات و لوازم يدكي</v>
      </c>
      <c r="C1784" s="1">
        <v>120</v>
      </c>
      <c r="D1784" s="1" t="str">
        <f>"انبار قطعات و لوازم يدكي بشکه سازي اصفهان"</f>
        <v>انبار قطعات و لوازم يدكي بشکه سازي اصفهان</v>
      </c>
      <c r="E1784" s="1" t="str">
        <f>"7111700016"</f>
        <v>7111700016</v>
      </c>
      <c r="F1784" s="1" t="str">
        <f>"زونکن بزرگ"</f>
        <v>زونکن بزرگ</v>
      </c>
      <c r="G1784" s="1" t="str">
        <f>"عدد"</f>
        <v>عدد</v>
      </c>
      <c r="H1784" s="1">
        <v>0</v>
      </c>
      <c r="I1784" s="1">
        <v>0</v>
      </c>
      <c r="J1784" s="1">
        <v>4</v>
      </c>
      <c r="K1784" s="1">
        <v>700000</v>
      </c>
      <c r="L1784" s="1">
        <v>4</v>
      </c>
      <c r="M1784" s="1">
        <v>700000</v>
      </c>
      <c r="O1784" s="1">
        <v>97</v>
      </c>
      <c r="P1784" s="1">
        <f t="shared" si="81"/>
        <v>0</v>
      </c>
      <c r="Q1784" s="1">
        <f t="shared" si="82"/>
        <v>0</v>
      </c>
      <c r="R1784" s="1" t="e">
        <f t="shared" si="83"/>
        <v>#DIV/0!</v>
      </c>
    </row>
    <row r="1785" spans="1:18" hidden="1">
      <c r="A1785" s="1">
        <v>2</v>
      </c>
      <c r="B1785" s="1" t="str">
        <f>"قطعات و لوازم يدكي"</f>
        <v>قطعات و لوازم يدكي</v>
      </c>
      <c r="C1785" s="1">
        <v>120</v>
      </c>
      <c r="D1785" s="1" t="str">
        <f>"انبار قطعات و لوازم يدكي بشکه سازي اصفهان"</f>
        <v>انبار قطعات و لوازم يدكي بشکه سازي اصفهان</v>
      </c>
      <c r="E1785" s="1" t="str">
        <f>"7111700046"</f>
        <v>7111700046</v>
      </c>
      <c r="F1785" s="1" t="str">
        <f>"اسپري حشره کش"</f>
        <v>اسپري حشره کش</v>
      </c>
      <c r="G1785" s="1" t="str">
        <f>"عدد"</f>
        <v>عدد</v>
      </c>
      <c r="H1785" s="1">
        <v>0</v>
      </c>
      <c r="I1785" s="1">
        <v>0</v>
      </c>
      <c r="J1785" s="1">
        <v>67</v>
      </c>
      <c r="K1785" s="1">
        <v>3685000</v>
      </c>
      <c r="L1785" s="1">
        <v>67</v>
      </c>
      <c r="M1785" s="1">
        <v>3685000</v>
      </c>
      <c r="O1785" s="1">
        <v>97</v>
      </c>
      <c r="P1785" s="1">
        <f t="shared" si="81"/>
        <v>0</v>
      </c>
      <c r="Q1785" s="1">
        <f t="shared" si="82"/>
        <v>0</v>
      </c>
      <c r="R1785" s="1" t="e">
        <f t="shared" si="83"/>
        <v>#DIV/0!</v>
      </c>
    </row>
    <row r="1786" spans="1:18" hidden="1">
      <c r="A1786" s="1">
        <v>2</v>
      </c>
      <c r="B1786" s="1" t="str">
        <f>"قطعات و لوازم يدكي"</f>
        <v>قطعات و لوازم يدكي</v>
      </c>
      <c r="C1786" s="1">
        <v>120</v>
      </c>
      <c r="D1786" s="1" t="str">
        <f>"انبار قطعات و لوازم يدكي بشکه سازي اصفهان"</f>
        <v>انبار قطعات و لوازم يدكي بشکه سازي اصفهان</v>
      </c>
      <c r="E1786" s="1" t="str">
        <f>"7111700049"</f>
        <v>7111700049</v>
      </c>
      <c r="F1786" s="1" t="str">
        <f>"تي نخي."</f>
        <v>تي نخي.</v>
      </c>
      <c r="G1786" s="1" t="str">
        <f>"عدد"</f>
        <v>عدد</v>
      </c>
      <c r="H1786" s="1">
        <v>0</v>
      </c>
      <c r="I1786" s="1">
        <v>0</v>
      </c>
      <c r="J1786" s="1">
        <v>41</v>
      </c>
      <c r="K1786" s="1">
        <v>3280000</v>
      </c>
      <c r="L1786" s="1">
        <v>41</v>
      </c>
      <c r="M1786" s="1">
        <v>3280000</v>
      </c>
      <c r="O1786" s="1">
        <v>97</v>
      </c>
      <c r="P1786" s="1">
        <f t="shared" si="81"/>
        <v>0</v>
      </c>
      <c r="Q1786" s="1">
        <f t="shared" si="82"/>
        <v>0</v>
      </c>
      <c r="R1786" s="1" t="e">
        <f t="shared" si="83"/>
        <v>#DIV/0!</v>
      </c>
    </row>
    <row r="1787" spans="1:18" hidden="1">
      <c r="A1787" s="1">
        <v>2</v>
      </c>
      <c r="B1787" s="1" t="str">
        <f>"قطعات و لوازم يدكي"</f>
        <v>قطعات و لوازم يدكي</v>
      </c>
      <c r="C1787" s="1">
        <v>120</v>
      </c>
      <c r="D1787" s="1" t="str">
        <f>"انبار قطعات و لوازم يدكي بشکه سازي اصفهان"</f>
        <v>انبار قطعات و لوازم يدكي بشکه سازي اصفهان</v>
      </c>
      <c r="E1787" s="1" t="str">
        <f>"7111700055"</f>
        <v>7111700055</v>
      </c>
      <c r="F1787" s="1" t="str">
        <f>"کيسه جارو برقي"</f>
        <v>کيسه جارو برقي</v>
      </c>
      <c r="G1787" s="1" t="str">
        <f>"عدد"</f>
        <v>عدد</v>
      </c>
      <c r="H1787" s="1">
        <v>0</v>
      </c>
      <c r="I1787" s="1">
        <v>0</v>
      </c>
      <c r="J1787" s="1">
        <v>4</v>
      </c>
      <c r="K1787" s="1">
        <v>800000</v>
      </c>
      <c r="L1787" s="1">
        <v>4</v>
      </c>
      <c r="M1787" s="1">
        <v>800000</v>
      </c>
      <c r="O1787" s="1">
        <v>97</v>
      </c>
      <c r="P1787" s="1">
        <f t="shared" si="81"/>
        <v>0</v>
      </c>
      <c r="Q1787" s="1">
        <f t="shared" si="82"/>
        <v>0</v>
      </c>
      <c r="R1787" s="1" t="e">
        <f t="shared" si="83"/>
        <v>#DIV/0!</v>
      </c>
    </row>
    <row r="1788" spans="1:18" hidden="1">
      <c r="A1788" s="1">
        <v>2</v>
      </c>
      <c r="B1788" s="1" t="str">
        <f>"قطعات و لوازم يدكي"</f>
        <v>قطعات و لوازم يدكي</v>
      </c>
      <c r="C1788" s="1">
        <v>120</v>
      </c>
      <c r="D1788" s="1" t="str">
        <f>"انبار قطعات و لوازم يدكي بشکه سازي اصفهان"</f>
        <v>انبار قطعات و لوازم يدكي بشکه سازي اصفهان</v>
      </c>
      <c r="E1788" s="1" t="str">
        <f>"7111700070"</f>
        <v>7111700070</v>
      </c>
      <c r="F1788" s="1" t="str">
        <f>"ماژيک لايتر (علامت زن)"</f>
        <v>ماژيک لايتر (علامت زن)</v>
      </c>
      <c r="G1788" s="1" t="str">
        <f>"عدد"</f>
        <v>عدد</v>
      </c>
      <c r="H1788" s="1">
        <v>0</v>
      </c>
      <c r="I1788" s="1">
        <v>0</v>
      </c>
      <c r="J1788" s="1">
        <v>7</v>
      </c>
      <c r="K1788" s="1">
        <v>210000</v>
      </c>
      <c r="L1788" s="1">
        <v>7</v>
      </c>
      <c r="M1788" s="1">
        <v>210000</v>
      </c>
      <c r="O1788" s="1">
        <v>97</v>
      </c>
      <c r="P1788" s="1">
        <f t="shared" si="81"/>
        <v>0</v>
      </c>
      <c r="Q1788" s="1">
        <f t="shared" si="82"/>
        <v>0</v>
      </c>
      <c r="R1788" s="1" t="e">
        <f t="shared" si="83"/>
        <v>#DIV/0!</v>
      </c>
    </row>
    <row r="1789" spans="1:18">
      <c r="A1789" s="1">
        <v>2</v>
      </c>
      <c r="B1789" s="1" t="str">
        <f>"قطعات و لوازم يدكي"</f>
        <v>قطعات و لوازم يدكي</v>
      </c>
      <c r="C1789" s="1">
        <v>205</v>
      </c>
      <c r="D1789" s="1" t="str">
        <f>"انبار قطعات و لوازم يدكي بندرعباس"</f>
        <v>انبار قطعات و لوازم يدكي بندرعباس</v>
      </c>
      <c r="E1789" s="1" t="str">
        <f>"1800000007"</f>
        <v>1800000007</v>
      </c>
      <c r="F1789" s="1" t="str">
        <f>"بلايند فلنج3"</f>
        <v>بلايند فلنج3</v>
      </c>
      <c r="G1789" s="1" t="str">
        <f>"عدد"</f>
        <v>عدد</v>
      </c>
      <c r="H1789" s="1">
        <v>10</v>
      </c>
      <c r="I1789" s="1">
        <v>5280000</v>
      </c>
      <c r="J1789" s="1">
        <v>0</v>
      </c>
      <c r="K1789" s="1">
        <v>0</v>
      </c>
      <c r="L1789" s="1">
        <v>3</v>
      </c>
      <c r="M1789" s="1">
        <v>1584000</v>
      </c>
      <c r="O1789" s="1">
        <v>97</v>
      </c>
      <c r="P1789" s="4">
        <f t="shared" si="81"/>
        <v>3696000</v>
      </c>
      <c r="Q1789" s="4">
        <f t="shared" si="82"/>
        <v>7</v>
      </c>
      <c r="R1789" s="4">
        <f t="shared" si="83"/>
        <v>528000</v>
      </c>
    </row>
    <row r="1790" spans="1:18">
      <c r="A1790" s="1">
        <v>2</v>
      </c>
      <c r="B1790" s="1" t="str">
        <f>"قطعات و لوازم يدكي"</f>
        <v>قطعات و لوازم يدكي</v>
      </c>
      <c r="C1790" s="1">
        <v>205</v>
      </c>
      <c r="D1790" s="1" t="str">
        <f>"انبار قطعات و لوازم يدكي بندرعباس"</f>
        <v>انبار قطعات و لوازم يدكي بندرعباس</v>
      </c>
      <c r="E1790" s="1" t="str">
        <f>"1800000025"</f>
        <v>1800000025</v>
      </c>
      <c r="F1790" s="1" t="str">
        <f>"چک ولو 1 اينچ"</f>
        <v>چک ولو 1 اينچ</v>
      </c>
      <c r="G1790" s="1" t="str">
        <f>"عدد"</f>
        <v>عدد</v>
      </c>
      <c r="H1790" s="1">
        <v>4</v>
      </c>
      <c r="I1790" s="1">
        <v>7160000</v>
      </c>
      <c r="J1790" s="1">
        <v>0</v>
      </c>
      <c r="K1790" s="1">
        <v>0</v>
      </c>
      <c r="L1790" s="1">
        <v>0</v>
      </c>
      <c r="M1790" s="1">
        <v>0</v>
      </c>
      <c r="O1790" s="1">
        <v>97</v>
      </c>
      <c r="P1790" s="4">
        <f t="shared" si="81"/>
        <v>7160000</v>
      </c>
      <c r="Q1790" s="4">
        <f t="shared" si="82"/>
        <v>4</v>
      </c>
      <c r="R1790" s="4">
        <f t="shared" si="83"/>
        <v>1790000</v>
      </c>
    </row>
    <row r="1791" spans="1:18">
      <c r="A1791" s="1">
        <v>2</v>
      </c>
      <c r="B1791" s="1" t="str">
        <f>"قطعات و لوازم يدكي"</f>
        <v>قطعات و لوازم يدكي</v>
      </c>
      <c r="C1791" s="1">
        <v>205</v>
      </c>
      <c r="D1791" s="1" t="str">
        <f>"انبار قطعات و لوازم يدكي بندرعباس"</f>
        <v>انبار قطعات و لوازم يدكي بندرعباس</v>
      </c>
      <c r="E1791" s="1" t="str">
        <f>"1800000026"</f>
        <v>1800000026</v>
      </c>
      <c r="F1791" s="1" t="str">
        <f>"چک ولو3/4"</f>
        <v>چک ولو3/4</v>
      </c>
      <c r="G1791" s="1" t="str">
        <f>"عدد"</f>
        <v>عدد</v>
      </c>
      <c r="H1791" s="1">
        <v>7</v>
      </c>
      <c r="I1791" s="1">
        <v>8260000</v>
      </c>
      <c r="J1791" s="1">
        <v>0</v>
      </c>
      <c r="K1791" s="1">
        <v>0</v>
      </c>
      <c r="L1791" s="1">
        <v>0</v>
      </c>
      <c r="M1791" s="1">
        <v>0</v>
      </c>
      <c r="O1791" s="1">
        <v>97</v>
      </c>
      <c r="P1791" s="4">
        <f t="shared" si="81"/>
        <v>8260000</v>
      </c>
      <c r="Q1791" s="4">
        <f t="shared" si="82"/>
        <v>7</v>
      </c>
      <c r="R1791" s="4">
        <f t="shared" si="83"/>
        <v>1180000</v>
      </c>
    </row>
    <row r="1792" spans="1:18">
      <c r="A1792" s="1">
        <v>2</v>
      </c>
      <c r="B1792" s="1" t="str">
        <f>"قطعات و لوازم يدكي"</f>
        <v>قطعات و لوازم يدكي</v>
      </c>
      <c r="C1792" s="1">
        <v>205</v>
      </c>
      <c r="D1792" s="1" t="str">
        <f>"انبار قطعات و لوازم يدكي بندرعباس"</f>
        <v>انبار قطعات و لوازم يدكي بندرعباس</v>
      </c>
      <c r="E1792" s="1" t="str">
        <f>"1800000032"</f>
        <v>1800000032</v>
      </c>
      <c r="F1792" s="1" t="str">
        <f>"فلنج 1"</f>
        <v>فلنج 1</v>
      </c>
      <c r="G1792" s="1" t="str">
        <f>"عدد"</f>
        <v>عدد</v>
      </c>
      <c r="H1792" s="1">
        <v>2</v>
      </c>
      <c r="I1792" s="1">
        <v>734000</v>
      </c>
      <c r="J1792" s="1">
        <v>0</v>
      </c>
      <c r="K1792" s="1">
        <v>0</v>
      </c>
      <c r="L1792" s="1">
        <v>0</v>
      </c>
      <c r="M1792" s="1">
        <v>0</v>
      </c>
      <c r="O1792" s="1">
        <v>97</v>
      </c>
      <c r="P1792" s="4">
        <f t="shared" si="81"/>
        <v>734000</v>
      </c>
      <c r="Q1792" s="4">
        <f t="shared" si="82"/>
        <v>2</v>
      </c>
      <c r="R1792" s="4">
        <f t="shared" si="83"/>
        <v>367000</v>
      </c>
    </row>
    <row r="1793" spans="1:18">
      <c r="A1793" s="1">
        <v>2</v>
      </c>
      <c r="B1793" s="1" t="str">
        <f>"قطعات و لوازم يدكي"</f>
        <v>قطعات و لوازم يدكي</v>
      </c>
      <c r="C1793" s="1">
        <v>205</v>
      </c>
      <c r="D1793" s="1" t="str">
        <f>"انبار قطعات و لوازم يدكي بندرعباس"</f>
        <v>انبار قطعات و لوازم يدكي بندرعباس</v>
      </c>
      <c r="E1793" s="1" t="str">
        <f>"1800000037"</f>
        <v>1800000037</v>
      </c>
      <c r="F1793" s="1" t="str">
        <f>"فلنج 10"</f>
        <v>فلنج 10</v>
      </c>
      <c r="G1793" s="1" t="str">
        <f>"عدد"</f>
        <v>عدد</v>
      </c>
      <c r="H1793" s="1">
        <v>3</v>
      </c>
      <c r="I1793" s="1">
        <v>11799000</v>
      </c>
      <c r="J1793" s="1">
        <v>0</v>
      </c>
      <c r="K1793" s="1">
        <v>0</v>
      </c>
      <c r="L1793" s="1">
        <v>0</v>
      </c>
      <c r="M1793" s="1">
        <v>0</v>
      </c>
      <c r="O1793" s="1">
        <v>97</v>
      </c>
      <c r="P1793" s="4">
        <f t="shared" si="81"/>
        <v>11799000</v>
      </c>
      <c r="Q1793" s="4">
        <f t="shared" si="82"/>
        <v>3</v>
      </c>
      <c r="R1793" s="4">
        <f t="shared" si="83"/>
        <v>3933000</v>
      </c>
    </row>
    <row r="1794" spans="1:18">
      <c r="A1794" s="1">
        <v>2</v>
      </c>
      <c r="B1794" s="1" t="str">
        <f>"قطعات و لوازم يدكي"</f>
        <v>قطعات و لوازم يدكي</v>
      </c>
      <c r="C1794" s="1">
        <v>101</v>
      </c>
      <c r="D1794" s="1" t="str">
        <f>"انبار قطعات و لوازم يدكي اصفهان"</f>
        <v>انبار قطعات و لوازم يدكي اصفهان</v>
      </c>
      <c r="E1794" s="1" t="str">
        <f>"7092040362"</f>
        <v>7092040362</v>
      </c>
      <c r="F1794" s="1" t="str">
        <f>"دوشاخه  معمولي"</f>
        <v>دوشاخه  معمولي</v>
      </c>
      <c r="G1794" s="1" t="str">
        <f>"عدد"</f>
        <v>عدد</v>
      </c>
      <c r="H1794" s="1">
        <v>30</v>
      </c>
      <c r="I1794" s="1">
        <v>205386</v>
      </c>
      <c r="J1794" s="1">
        <v>0</v>
      </c>
      <c r="K1794" s="1">
        <v>0</v>
      </c>
      <c r="L1794" s="1">
        <v>3</v>
      </c>
      <c r="M1794" s="1">
        <v>20538</v>
      </c>
      <c r="O1794" s="1">
        <v>97</v>
      </c>
      <c r="P1794" s="4">
        <f t="shared" si="81"/>
        <v>184848</v>
      </c>
      <c r="Q1794" s="4">
        <f t="shared" si="82"/>
        <v>27</v>
      </c>
      <c r="R1794" s="4">
        <f t="shared" si="83"/>
        <v>6846.2222222222226</v>
      </c>
    </row>
    <row r="1795" spans="1:18">
      <c r="A1795" s="1">
        <v>2</v>
      </c>
      <c r="B1795" s="1" t="str">
        <f>"قطعات و لوازم يدكي"</f>
        <v>قطعات و لوازم يدكي</v>
      </c>
      <c r="C1795" s="1">
        <v>101</v>
      </c>
      <c r="D1795" s="1" t="str">
        <f>"انبار قطعات و لوازم يدكي اصفهان"</f>
        <v>انبار قطعات و لوازم يدكي اصفهان</v>
      </c>
      <c r="E1795" s="1" t="str">
        <f>"7093040042"</f>
        <v>7093040042</v>
      </c>
      <c r="F1795" s="1" t="str">
        <f>"پريز روكار درپوش دار"</f>
        <v>پريز روكار درپوش دار</v>
      </c>
      <c r="G1795" s="1" t="str">
        <f>"عدد"</f>
        <v>عدد</v>
      </c>
      <c r="H1795" s="1">
        <v>20</v>
      </c>
      <c r="I1795" s="1">
        <v>603678</v>
      </c>
      <c r="J1795" s="1">
        <v>0</v>
      </c>
      <c r="K1795" s="1">
        <v>0</v>
      </c>
      <c r="L1795" s="1">
        <v>1</v>
      </c>
      <c r="M1795" s="1">
        <v>30184</v>
      </c>
      <c r="O1795" s="1">
        <v>97</v>
      </c>
      <c r="P1795" s="4">
        <f t="shared" ref="P1795:P1858" si="84">I1795+K1795-M1795</f>
        <v>573494</v>
      </c>
      <c r="Q1795" s="4">
        <f t="shared" ref="Q1795:Q1858" si="85">H1795+J1795-L1795</f>
        <v>19</v>
      </c>
      <c r="R1795" s="4">
        <f t="shared" ref="R1795:R1858" si="86">P1795/Q1795</f>
        <v>30183.894736842107</v>
      </c>
    </row>
    <row r="1796" spans="1:18" hidden="1">
      <c r="A1796" s="1">
        <v>2</v>
      </c>
      <c r="B1796" s="1" t="str">
        <f>"قطعات و لوازم يدكي"</f>
        <v>قطعات و لوازم يدكي</v>
      </c>
      <c r="C1796" s="1">
        <v>101</v>
      </c>
      <c r="D1796" s="1" t="str">
        <f>"انبار قطعات و لوازم يدكي اصفهان"</f>
        <v>انبار قطعات و لوازم يدكي اصفهان</v>
      </c>
      <c r="E1796" s="1" t="str">
        <f>"7301020052"</f>
        <v>7301020052</v>
      </c>
      <c r="F1796" s="1" t="str">
        <f>"شيلنگ فشار قوي 85 سانت"</f>
        <v>شيلنگ فشار قوي 85 سانت</v>
      </c>
      <c r="G1796" s="1" t="str">
        <f>"عدد"</f>
        <v>عدد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O1796" s="1">
        <v>97</v>
      </c>
      <c r="P1796" s="1">
        <f t="shared" si="84"/>
        <v>0</v>
      </c>
      <c r="Q1796" s="1">
        <f t="shared" si="85"/>
        <v>0</v>
      </c>
      <c r="R1796" s="1" t="e">
        <f t="shared" si="86"/>
        <v>#DIV/0!</v>
      </c>
    </row>
    <row r="1797" spans="1:18" hidden="1">
      <c r="A1797" s="1">
        <v>2</v>
      </c>
      <c r="B1797" s="1" t="str">
        <f>"قطعات و لوازم يدكي"</f>
        <v>قطعات و لوازم يدكي</v>
      </c>
      <c r="C1797" s="1">
        <v>101</v>
      </c>
      <c r="D1797" s="1" t="str">
        <f>"انبار قطعات و لوازم يدكي اصفهان"</f>
        <v>انبار قطعات و لوازم يدكي اصفهان</v>
      </c>
      <c r="E1797" s="1" t="str">
        <f>"7401010032"</f>
        <v>7401010032</v>
      </c>
      <c r="F1797" s="1" t="str">
        <f>"نبشي 4*4 2 متري"</f>
        <v>نبشي 4*4 2 متري</v>
      </c>
      <c r="G1797" s="1" t="str">
        <f>"عدد"</f>
        <v>عدد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O1797" s="1">
        <v>97</v>
      </c>
      <c r="P1797" s="1">
        <f t="shared" si="84"/>
        <v>0</v>
      </c>
      <c r="Q1797" s="1">
        <f t="shared" si="85"/>
        <v>0</v>
      </c>
      <c r="R1797" s="1" t="e">
        <f t="shared" si="86"/>
        <v>#DIV/0!</v>
      </c>
    </row>
    <row r="1798" spans="1:18">
      <c r="A1798" s="1">
        <v>2</v>
      </c>
      <c r="B1798" s="1" t="str">
        <f>"قطعات و لوازم يدكي"</f>
        <v>قطعات و لوازم يدكي</v>
      </c>
      <c r="C1798" s="1">
        <v>101</v>
      </c>
      <c r="D1798" s="1" t="str">
        <f>"انبار قطعات و لوازم يدكي اصفهان"</f>
        <v>انبار قطعات و لوازم يدكي اصفهان</v>
      </c>
      <c r="E1798" s="1" t="str">
        <f>"7413110032"</f>
        <v>7413110032</v>
      </c>
      <c r="F1798" s="1" t="str">
        <f>"لوله گالوانيزه 3/4 اينچ(برقي)"</f>
        <v>لوله گالوانيزه 3/4 اينچ(برقي)</v>
      </c>
      <c r="G1798" s="1" t="str">
        <f>"شاخه"</f>
        <v>شاخه</v>
      </c>
      <c r="H1798" s="1">
        <v>31</v>
      </c>
      <c r="I1798" s="1">
        <v>9455000</v>
      </c>
      <c r="J1798" s="1">
        <v>0</v>
      </c>
      <c r="K1798" s="1">
        <v>0</v>
      </c>
      <c r="L1798" s="1">
        <v>0</v>
      </c>
      <c r="M1798" s="1">
        <v>0</v>
      </c>
      <c r="O1798" s="1">
        <v>97</v>
      </c>
      <c r="P1798" s="4">
        <f t="shared" si="84"/>
        <v>9455000</v>
      </c>
      <c r="Q1798" s="4">
        <f t="shared" si="85"/>
        <v>31</v>
      </c>
      <c r="R1798" s="4">
        <f t="shared" si="86"/>
        <v>305000</v>
      </c>
    </row>
    <row r="1799" spans="1:18">
      <c r="A1799" s="1">
        <v>2</v>
      </c>
      <c r="B1799" s="1" t="str">
        <f>"قطعات و لوازم يدكي"</f>
        <v>قطعات و لوازم يدكي</v>
      </c>
      <c r="C1799" s="1">
        <v>101</v>
      </c>
      <c r="D1799" s="1" t="str">
        <f>"انبار قطعات و لوازم يدكي اصفهان"</f>
        <v>انبار قطعات و لوازم يدكي اصفهان</v>
      </c>
      <c r="E1799" s="1" t="str">
        <f>"7413310342"</f>
        <v>7413310342</v>
      </c>
      <c r="F1799" s="1" t="str">
        <f>"لوله 3/4 اينچ 80  A 106 GRB"</f>
        <v>لوله 3/4 اينچ 80  A 106 GRB</v>
      </c>
      <c r="G1799" s="1" t="str">
        <f>"فوت"</f>
        <v>فوت</v>
      </c>
      <c r="H1799" s="1">
        <v>680</v>
      </c>
      <c r="I1799" s="1">
        <v>19831212</v>
      </c>
      <c r="J1799" s="1">
        <v>460</v>
      </c>
      <c r="K1799" s="1">
        <v>21790623</v>
      </c>
      <c r="L1799" s="1">
        <v>640</v>
      </c>
      <c r="M1799" s="1">
        <v>23366645</v>
      </c>
      <c r="O1799" s="1">
        <v>97</v>
      </c>
      <c r="P1799" s="4">
        <f t="shared" si="84"/>
        <v>18255190</v>
      </c>
      <c r="Q1799" s="4">
        <f t="shared" si="85"/>
        <v>500</v>
      </c>
      <c r="R1799" s="4">
        <f t="shared" si="86"/>
        <v>36510.379999999997</v>
      </c>
    </row>
    <row r="1800" spans="1:18">
      <c r="A1800" s="1">
        <v>2</v>
      </c>
      <c r="B1800" s="1" t="str">
        <f>"قطعات و لوازم يدكي"</f>
        <v>قطعات و لوازم يدكي</v>
      </c>
      <c r="C1800" s="1">
        <v>101</v>
      </c>
      <c r="D1800" s="1" t="str">
        <f>"انبار قطعات و لوازم يدكي اصفهان"</f>
        <v>انبار قطعات و لوازم يدكي اصفهان</v>
      </c>
      <c r="E1800" s="1" t="str">
        <f>"7413310642"</f>
        <v>7413310642</v>
      </c>
      <c r="F1800" s="1" t="str">
        <f>"لوله 1/2-1 اينچ رده 80"</f>
        <v>لوله 1/2-1 اينچ رده 80</v>
      </c>
      <c r="G1800" s="1" t="str">
        <f>"فوت"</f>
        <v>فوت</v>
      </c>
      <c r="H1800" s="1">
        <v>100</v>
      </c>
      <c r="I1800" s="1">
        <v>6877337</v>
      </c>
      <c r="J1800" s="1">
        <v>160</v>
      </c>
      <c r="K1800" s="1">
        <v>16038201</v>
      </c>
      <c r="L1800" s="1">
        <v>180</v>
      </c>
      <c r="M1800" s="1">
        <v>15864603</v>
      </c>
      <c r="O1800" s="1">
        <v>97</v>
      </c>
      <c r="P1800" s="4">
        <f t="shared" si="84"/>
        <v>7050935</v>
      </c>
      <c r="Q1800" s="4">
        <f t="shared" si="85"/>
        <v>80</v>
      </c>
      <c r="R1800" s="4">
        <f t="shared" si="86"/>
        <v>88136.6875</v>
      </c>
    </row>
    <row r="1801" spans="1:18">
      <c r="A1801" s="1">
        <v>2</v>
      </c>
      <c r="B1801" s="1" t="str">
        <f>"قطعات و لوازم يدكي"</f>
        <v>قطعات و لوازم يدكي</v>
      </c>
      <c r="C1801" s="1">
        <v>101</v>
      </c>
      <c r="D1801" s="1" t="str">
        <f>"انبار قطعات و لوازم يدكي اصفهان"</f>
        <v>انبار قطعات و لوازم يدكي اصفهان</v>
      </c>
      <c r="E1801" s="1" t="str">
        <f>"7466221652"</f>
        <v>7466221652</v>
      </c>
      <c r="F1801" s="1" t="str">
        <f>"لوله مسي 3/8 فشار قوي"</f>
        <v>لوله مسي 3/8 فشار قوي</v>
      </c>
      <c r="G1801" s="1" t="str">
        <f>"متر"</f>
        <v>متر</v>
      </c>
      <c r="H1801" s="1">
        <v>75</v>
      </c>
      <c r="I1801" s="1">
        <v>3381617</v>
      </c>
      <c r="J1801" s="1">
        <v>73</v>
      </c>
      <c r="K1801" s="1">
        <v>11778044</v>
      </c>
      <c r="L1801" s="1">
        <v>118</v>
      </c>
      <c r="M1801" s="1">
        <v>12086757</v>
      </c>
      <c r="O1801" s="1">
        <v>97</v>
      </c>
      <c r="P1801" s="4">
        <f t="shared" si="84"/>
        <v>3072904</v>
      </c>
      <c r="Q1801" s="4">
        <f t="shared" si="85"/>
        <v>30</v>
      </c>
      <c r="R1801" s="4">
        <f t="shared" si="86"/>
        <v>102430.13333333333</v>
      </c>
    </row>
    <row r="1802" spans="1:18">
      <c r="A1802" s="1">
        <v>2</v>
      </c>
      <c r="B1802" s="1" t="str">
        <f>"قطعات و لوازم يدكي"</f>
        <v>قطعات و لوازم يدكي</v>
      </c>
      <c r="C1802" s="1">
        <v>101</v>
      </c>
      <c r="D1802" s="1" t="str">
        <f>"انبار قطعات و لوازم يدكي اصفهان"</f>
        <v>انبار قطعات و لوازم يدكي اصفهان</v>
      </c>
      <c r="E1802" s="1" t="str">
        <f>"7521161542"</f>
        <v>7521161542</v>
      </c>
      <c r="F1802" s="1" t="str">
        <f>"شير گازي 1/2"</f>
        <v>شير گازي 1/2</v>
      </c>
      <c r="G1802" s="1" t="str">
        <f>"عدد"</f>
        <v>عدد</v>
      </c>
      <c r="H1802" s="1">
        <v>14</v>
      </c>
      <c r="I1802" s="1">
        <v>1235500</v>
      </c>
      <c r="J1802" s="1">
        <v>10</v>
      </c>
      <c r="K1802" s="1">
        <v>7150000</v>
      </c>
      <c r="L1802" s="1">
        <v>16</v>
      </c>
      <c r="M1802" s="1">
        <v>4893944</v>
      </c>
      <c r="O1802" s="1">
        <v>97</v>
      </c>
      <c r="P1802" s="4">
        <f t="shared" si="84"/>
        <v>3491556</v>
      </c>
      <c r="Q1802" s="4">
        <f t="shared" si="85"/>
        <v>8</v>
      </c>
      <c r="R1802" s="4">
        <f t="shared" si="86"/>
        <v>436444.5</v>
      </c>
    </row>
    <row r="1803" spans="1:18">
      <c r="A1803" s="1">
        <v>2</v>
      </c>
      <c r="B1803" s="1" t="str">
        <f>"قطعات و لوازم يدكي"</f>
        <v>قطعات و لوازم يدكي</v>
      </c>
      <c r="C1803" s="1">
        <v>101</v>
      </c>
      <c r="D1803" s="1" t="str">
        <f>"انبار قطعات و لوازم يدكي اصفهان"</f>
        <v>انبار قطعات و لوازم يدكي اصفهان</v>
      </c>
      <c r="E1803" s="1" t="str">
        <f>"7525123062"</f>
        <v>7525123062</v>
      </c>
      <c r="F1803" s="1" t="s">
        <v>115</v>
      </c>
      <c r="G1803" s="1" t="str">
        <f>"عدد"</f>
        <v>عدد</v>
      </c>
      <c r="H1803" s="1">
        <v>7</v>
      </c>
      <c r="I1803" s="1">
        <v>4460000</v>
      </c>
      <c r="J1803" s="1">
        <v>0</v>
      </c>
      <c r="K1803" s="1">
        <v>0</v>
      </c>
      <c r="L1803" s="1">
        <v>0</v>
      </c>
      <c r="M1803" s="1">
        <v>0</v>
      </c>
      <c r="O1803" s="1">
        <v>97</v>
      </c>
      <c r="P1803" s="4">
        <f t="shared" si="84"/>
        <v>4460000</v>
      </c>
      <c r="Q1803" s="4">
        <f t="shared" si="85"/>
        <v>7</v>
      </c>
      <c r="R1803" s="4">
        <f t="shared" si="86"/>
        <v>637142.85714285716</v>
      </c>
    </row>
    <row r="1804" spans="1:18">
      <c r="A1804" s="1">
        <v>2</v>
      </c>
      <c r="B1804" s="1" t="str">
        <f>"قطعات و لوازم يدكي"</f>
        <v>قطعات و لوازم يدكي</v>
      </c>
      <c r="C1804" s="1">
        <v>101</v>
      </c>
      <c r="D1804" s="1" t="str">
        <f>"انبار قطعات و لوازم يدكي اصفهان"</f>
        <v>انبار قطعات و لوازم يدكي اصفهان</v>
      </c>
      <c r="E1804" s="1" t="str">
        <f>"7537321202"</f>
        <v>7537321202</v>
      </c>
      <c r="F1804" s="1" t="s">
        <v>116</v>
      </c>
      <c r="G1804" s="1" t="str">
        <f>"عدد"</f>
        <v>عدد</v>
      </c>
      <c r="H1804" s="1">
        <v>8</v>
      </c>
      <c r="I1804" s="1">
        <v>30266667</v>
      </c>
      <c r="J1804" s="1">
        <v>0</v>
      </c>
      <c r="K1804" s="1">
        <v>0</v>
      </c>
      <c r="L1804" s="1">
        <v>5</v>
      </c>
      <c r="M1804" s="1">
        <v>18916667</v>
      </c>
      <c r="O1804" s="1">
        <v>97</v>
      </c>
      <c r="P1804" s="4">
        <f t="shared" si="84"/>
        <v>11350000</v>
      </c>
      <c r="Q1804" s="4">
        <f t="shared" si="85"/>
        <v>3</v>
      </c>
      <c r="R1804" s="4">
        <f t="shared" si="86"/>
        <v>3783333.3333333335</v>
      </c>
    </row>
    <row r="1805" spans="1:18">
      <c r="A1805" s="1">
        <v>2</v>
      </c>
      <c r="B1805" s="1" t="str">
        <f>"قطعات و لوازم يدكي"</f>
        <v>قطعات و لوازم يدكي</v>
      </c>
      <c r="C1805" s="1">
        <v>101</v>
      </c>
      <c r="D1805" s="1" t="str">
        <f>"انبار قطعات و لوازم يدكي اصفهان"</f>
        <v>انبار قطعات و لوازم يدكي اصفهان</v>
      </c>
      <c r="E1805" s="1" t="str">
        <f>"7537321302"</f>
        <v>7537321302</v>
      </c>
      <c r="F1805" s="1" t="s">
        <v>117</v>
      </c>
      <c r="G1805" s="1" t="str">
        <f>"عدد"</f>
        <v>عدد</v>
      </c>
      <c r="H1805" s="1">
        <v>1</v>
      </c>
      <c r="I1805" s="1">
        <v>19000000</v>
      </c>
      <c r="J1805" s="1">
        <v>0</v>
      </c>
      <c r="K1805" s="1">
        <v>0</v>
      </c>
      <c r="L1805" s="1">
        <v>0</v>
      </c>
      <c r="M1805" s="1">
        <v>0</v>
      </c>
      <c r="O1805" s="1">
        <v>97</v>
      </c>
      <c r="P1805" s="4">
        <f t="shared" si="84"/>
        <v>19000000</v>
      </c>
      <c r="Q1805" s="4">
        <f t="shared" si="85"/>
        <v>1</v>
      </c>
      <c r="R1805" s="4">
        <f t="shared" si="86"/>
        <v>19000000</v>
      </c>
    </row>
    <row r="1806" spans="1:18">
      <c r="A1806" s="1">
        <v>2</v>
      </c>
      <c r="B1806" s="1" t="str">
        <f>"قطعات و لوازم يدكي"</f>
        <v>قطعات و لوازم يدكي</v>
      </c>
      <c r="C1806" s="1">
        <v>101</v>
      </c>
      <c r="D1806" s="1" t="str">
        <f>"انبار قطعات و لوازم يدكي اصفهان"</f>
        <v>انبار قطعات و لوازم يدكي اصفهان</v>
      </c>
      <c r="E1806" s="1" t="str">
        <f>"7556351042"</f>
        <v>7556351042</v>
      </c>
      <c r="F1806" s="1" t="str">
        <f>"گيت ولو 1/2 جوشي كلاس800"</f>
        <v>گيت ولو 1/2 جوشي كلاس800</v>
      </c>
      <c r="G1806" s="1" t="str">
        <f>"عدد"</f>
        <v>عدد</v>
      </c>
      <c r="H1806" s="1">
        <v>49</v>
      </c>
      <c r="I1806" s="1">
        <v>25195868</v>
      </c>
      <c r="J1806" s="1">
        <v>20</v>
      </c>
      <c r="K1806" s="1">
        <v>29000000</v>
      </c>
      <c r="L1806" s="1">
        <v>12</v>
      </c>
      <c r="M1806" s="1">
        <v>8217474</v>
      </c>
      <c r="O1806" s="1">
        <v>97</v>
      </c>
      <c r="P1806" s="4">
        <f t="shared" si="84"/>
        <v>45978394</v>
      </c>
      <c r="Q1806" s="4">
        <f t="shared" si="85"/>
        <v>57</v>
      </c>
      <c r="R1806" s="4">
        <f t="shared" si="86"/>
        <v>806638.49122807023</v>
      </c>
    </row>
    <row r="1807" spans="1:18">
      <c r="A1807" s="1">
        <v>2</v>
      </c>
      <c r="B1807" s="1" t="str">
        <f>"قطعات و لوازم يدكي"</f>
        <v>قطعات و لوازم يدكي</v>
      </c>
      <c r="C1807" s="1">
        <v>101</v>
      </c>
      <c r="D1807" s="1" t="str">
        <f>"انبار قطعات و لوازم يدكي اصفهان"</f>
        <v>انبار قطعات و لوازم يدكي اصفهان</v>
      </c>
      <c r="E1807" s="1" t="str">
        <f>"7588283212"</f>
        <v>7588283212</v>
      </c>
      <c r="F1807" s="1" t="s">
        <v>118</v>
      </c>
      <c r="G1807" s="1" t="str">
        <f>"عدد"</f>
        <v>عدد</v>
      </c>
      <c r="H1807" s="1">
        <v>4</v>
      </c>
      <c r="I1807" s="1">
        <v>566000000</v>
      </c>
      <c r="J1807" s="1">
        <v>0</v>
      </c>
      <c r="K1807" s="1">
        <v>0</v>
      </c>
      <c r="L1807" s="1">
        <v>0</v>
      </c>
      <c r="M1807" s="1">
        <v>0</v>
      </c>
      <c r="O1807" s="1">
        <v>97</v>
      </c>
      <c r="P1807" s="4">
        <f t="shared" si="84"/>
        <v>566000000</v>
      </c>
      <c r="Q1807" s="4">
        <f t="shared" si="85"/>
        <v>4</v>
      </c>
      <c r="R1807" s="4">
        <f t="shared" si="86"/>
        <v>141500000</v>
      </c>
    </row>
    <row r="1808" spans="1:18">
      <c r="A1808" s="1">
        <v>2</v>
      </c>
      <c r="B1808" s="1" t="str">
        <f>"قطعات و لوازم يدكي"</f>
        <v>قطعات و لوازم يدكي</v>
      </c>
      <c r="C1808" s="1">
        <v>101</v>
      </c>
      <c r="D1808" s="1" t="str">
        <f>"انبار قطعات و لوازم يدكي اصفهان"</f>
        <v>انبار قطعات و لوازم يدكي اصفهان</v>
      </c>
      <c r="E1808" s="1" t="str">
        <f>"7588775002"</f>
        <v>7588775002</v>
      </c>
      <c r="F1808" s="1" t="str">
        <f>"اچار ولو سايز متوسط"</f>
        <v>اچار ولو سايز متوسط</v>
      </c>
      <c r="G1808" s="1" t="str">
        <f>"عدد"</f>
        <v>عدد</v>
      </c>
      <c r="H1808" s="1">
        <v>10</v>
      </c>
      <c r="I1808" s="1">
        <v>1570000</v>
      </c>
      <c r="J1808" s="1">
        <v>0</v>
      </c>
      <c r="K1808" s="1">
        <v>0</v>
      </c>
      <c r="L1808" s="1">
        <v>0</v>
      </c>
      <c r="M1808" s="1">
        <v>0</v>
      </c>
      <c r="O1808" s="1">
        <v>97</v>
      </c>
      <c r="P1808" s="4">
        <f t="shared" si="84"/>
        <v>1570000</v>
      </c>
      <c r="Q1808" s="4">
        <f t="shared" si="85"/>
        <v>10</v>
      </c>
      <c r="R1808" s="4">
        <f t="shared" si="86"/>
        <v>157000</v>
      </c>
    </row>
    <row r="1809" spans="1:18">
      <c r="A1809" s="1">
        <v>2</v>
      </c>
      <c r="B1809" s="1" t="str">
        <f>"قطعات و لوازم يدكي"</f>
        <v>قطعات و لوازم يدكي</v>
      </c>
      <c r="C1809" s="1">
        <v>101</v>
      </c>
      <c r="D1809" s="1" t="str">
        <f>"انبار قطعات و لوازم يدكي اصفهان"</f>
        <v>انبار قطعات و لوازم يدكي اصفهان</v>
      </c>
      <c r="E1809" s="1" t="str">
        <f>"7588776002"</f>
        <v>7588776002</v>
      </c>
      <c r="F1809" s="1" t="str">
        <f>"اچار ولو سايز  بزرگ"</f>
        <v>اچار ولو سايز  بزرگ</v>
      </c>
      <c r="G1809" s="1" t="str">
        <f>"عدد"</f>
        <v>عدد</v>
      </c>
      <c r="H1809" s="1">
        <v>5</v>
      </c>
      <c r="I1809" s="1">
        <v>1075000</v>
      </c>
      <c r="J1809" s="1">
        <v>0</v>
      </c>
      <c r="K1809" s="1">
        <v>0</v>
      </c>
      <c r="L1809" s="1">
        <v>0</v>
      </c>
      <c r="M1809" s="1">
        <v>0</v>
      </c>
      <c r="O1809" s="1">
        <v>97</v>
      </c>
      <c r="P1809" s="4">
        <f t="shared" si="84"/>
        <v>1075000</v>
      </c>
      <c r="Q1809" s="4">
        <f t="shared" si="85"/>
        <v>5</v>
      </c>
      <c r="R1809" s="4">
        <f t="shared" si="86"/>
        <v>215000</v>
      </c>
    </row>
    <row r="1810" spans="1:18">
      <c r="A1810" s="1">
        <v>2</v>
      </c>
      <c r="B1810" s="1" t="str">
        <f>"قطعات و لوازم يدكي"</f>
        <v>قطعات و لوازم يدكي</v>
      </c>
      <c r="C1810" s="1">
        <v>101</v>
      </c>
      <c r="D1810" s="1" t="str">
        <f>"انبار قطعات و لوازم يدكي اصفهان"</f>
        <v>انبار قطعات و لوازم يدكي اصفهان</v>
      </c>
      <c r="E1810" s="1" t="str">
        <f>"7605181162"</f>
        <v>7605181162</v>
      </c>
      <c r="F1810" s="1" t="str">
        <f>"كپ دنده اي 1اينچ 3000"</f>
        <v>كپ دنده اي 1اينچ 3000</v>
      </c>
      <c r="G1810" s="1" t="str">
        <f>"عدد"</f>
        <v>عدد</v>
      </c>
      <c r="H1810" s="1">
        <v>13</v>
      </c>
      <c r="I1810" s="1">
        <v>823875</v>
      </c>
      <c r="J1810" s="1">
        <v>0</v>
      </c>
      <c r="K1810" s="1">
        <v>0</v>
      </c>
      <c r="L1810" s="1">
        <v>2</v>
      </c>
      <c r="M1810" s="1">
        <v>126750</v>
      </c>
      <c r="O1810" s="1">
        <v>97</v>
      </c>
      <c r="P1810" s="4">
        <f t="shared" si="84"/>
        <v>697125</v>
      </c>
      <c r="Q1810" s="4">
        <f t="shared" si="85"/>
        <v>11</v>
      </c>
      <c r="R1810" s="4">
        <f t="shared" si="86"/>
        <v>63375</v>
      </c>
    </row>
    <row r="1811" spans="1:18">
      <c r="A1811" s="1">
        <v>2</v>
      </c>
      <c r="B1811" s="1" t="str">
        <f>"قطعات و لوازم يدكي"</f>
        <v>قطعات و لوازم يدكي</v>
      </c>
      <c r="C1811" s="1">
        <v>101</v>
      </c>
      <c r="D1811" s="1" t="str">
        <f>"انبار قطعات و لوازم يدكي اصفهان"</f>
        <v>انبار قطعات و لوازم يدكي اصفهان</v>
      </c>
      <c r="E1811" s="1" t="str">
        <f>"7605281162"</f>
        <v>7605281162</v>
      </c>
      <c r="F1811" s="1" t="str">
        <f>"فول كوپلينگ دنده اي 1اينچ 3000"</f>
        <v>فول كوپلينگ دنده اي 1اينچ 3000</v>
      </c>
      <c r="G1811" s="1" t="str">
        <f>"عدد"</f>
        <v>عدد</v>
      </c>
      <c r="H1811" s="1">
        <v>17</v>
      </c>
      <c r="I1811" s="1">
        <v>1055892</v>
      </c>
      <c r="J1811" s="1">
        <v>2</v>
      </c>
      <c r="K1811" s="1">
        <v>124222</v>
      </c>
      <c r="L1811" s="1">
        <v>2</v>
      </c>
      <c r="M1811" s="1">
        <v>124222</v>
      </c>
      <c r="O1811" s="1">
        <v>97</v>
      </c>
      <c r="P1811" s="4">
        <f t="shared" si="84"/>
        <v>1055892</v>
      </c>
      <c r="Q1811" s="4">
        <f t="shared" si="85"/>
        <v>17</v>
      </c>
      <c r="R1811" s="4">
        <f t="shared" si="86"/>
        <v>62111.294117647056</v>
      </c>
    </row>
    <row r="1812" spans="1:18">
      <c r="A1812" s="1">
        <v>2</v>
      </c>
      <c r="B1812" s="1" t="str">
        <f>"قطعات و لوازم يدكي"</f>
        <v>قطعات و لوازم يدكي</v>
      </c>
      <c r="C1812" s="1">
        <v>101</v>
      </c>
      <c r="D1812" s="1" t="str">
        <f>"انبار قطعات و لوازم يدكي اصفهان"</f>
        <v>انبار قطعات و لوازم يدكي اصفهان</v>
      </c>
      <c r="E1812" s="1" t="str">
        <f>"7605391182"</f>
        <v>7605391182</v>
      </c>
      <c r="F1812" s="1" t="str">
        <f>"زانو 90 درجه 1/2-1 اينچ 3000"</f>
        <v>زانو 90 درجه 1/2-1 اينچ 3000</v>
      </c>
      <c r="G1812" s="1" t="str">
        <f>"عدد"</f>
        <v>عدد</v>
      </c>
      <c r="H1812" s="1">
        <v>2</v>
      </c>
      <c r="I1812" s="1">
        <v>130392</v>
      </c>
      <c r="J1812" s="1">
        <v>0</v>
      </c>
      <c r="K1812" s="1">
        <v>0</v>
      </c>
      <c r="L1812" s="1">
        <v>1</v>
      </c>
      <c r="M1812" s="1">
        <v>65196</v>
      </c>
      <c r="O1812" s="1">
        <v>97</v>
      </c>
      <c r="P1812" s="4">
        <f t="shared" si="84"/>
        <v>65196</v>
      </c>
      <c r="Q1812" s="4">
        <f t="shared" si="85"/>
        <v>1</v>
      </c>
      <c r="R1812" s="4">
        <f t="shared" si="86"/>
        <v>65196</v>
      </c>
    </row>
    <row r="1813" spans="1:18">
      <c r="A1813" s="1">
        <v>2</v>
      </c>
      <c r="B1813" s="1" t="str">
        <f>"قطعات و لوازم يدكي"</f>
        <v>قطعات و لوازم يدكي</v>
      </c>
      <c r="C1813" s="1">
        <v>101</v>
      </c>
      <c r="D1813" s="1" t="str">
        <f>"انبار قطعات و لوازم يدكي اصفهان"</f>
        <v>انبار قطعات و لوازم يدكي اصفهان</v>
      </c>
      <c r="E1813" s="1" t="str">
        <f>"7605561282"</f>
        <v>7605561282</v>
      </c>
      <c r="F1813" s="1" t="str">
        <f>"نيپل 2 *1 رده 80"</f>
        <v>نيپل 2 *1 رده 80</v>
      </c>
      <c r="G1813" s="1" t="str">
        <f>"عدد"</f>
        <v>عدد</v>
      </c>
      <c r="H1813" s="1">
        <v>14</v>
      </c>
      <c r="I1813" s="1">
        <v>3816690</v>
      </c>
      <c r="J1813" s="1">
        <v>0</v>
      </c>
      <c r="K1813" s="1">
        <v>0</v>
      </c>
      <c r="L1813" s="1">
        <v>0</v>
      </c>
      <c r="M1813" s="1">
        <v>0</v>
      </c>
      <c r="O1813" s="1">
        <v>97</v>
      </c>
      <c r="P1813" s="4">
        <f t="shared" si="84"/>
        <v>3816690</v>
      </c>
      <c r="Q1813" s="4">
        <f t="shared" si="85"/>
        <v>14</v>
      </c>
      <c r="R1813" s="4">
        <f t="shared" si="86"/>
        <v>272620.71428571426</v>
      </c>
    </row>
    <row r="1814" spans="1:18">
      <c r="A1814" s="1">
        <v>2</v>
      </c>
      <c r="B1814" s="1" t="str">
        <f>"قطعات و لوازم يدكي"</f>
        <v>قطعات و لوازم يدكي</v>
      </c>
      <c r="C1814" s="1">
        <v>101</v>
      </c>
      <c r="D1814" s="1" t="str">
        <f>"انبار قطعات و لوازم يدكي اصفهان"</f>
        <v>انبار قطعات و لوازم يدكي اصفهان</v>
      </c>
      <c r="E1814" s="1" t="str">
        <f>"7605563902"</f>
        <v>7605563902</v>
      </c>
      <c r="F1814" s="1" t="str">
        <f>"نيپل بارل دنده اي100* 1/2 رده80"</f>
        <v>نيپل بارل دنده اي100* 1/2 رده80</v>
      </c>
      <c r="G1814" s="1" t="str">
        <f>"عدد"</f>
        <v>عدد</v>
      </c>
      <c r="H1814" s="1">
        <v>183</v>
      </c>
      <c r="I1814" s="1">
        <v>8445937</v>
      </c>
      <c r="J1814" s="1">
        <v>41</v>
      </c>
      <c r="K1814" s="1">
        <v>6065384</v>
      </c>
      <c r="L1814" s="1">
        <v>32</v>
      </c>
      <c r="M1814" s="1">
        <v>1957661</v>
      </c>
      <c r="O1814" s="1">
        <v>97</v>
      </c>
      <c r="P1814" s="4">
        <f t="shared" si="84"/>
        <v>12553660</v>
      </c>
      <c r="Q1814" s="4">
        <f t="shared" si="85"/>
        <v>192</v>
      </c>
      <c r="R1814" s="4">
        <f t="shared" si="86"/>
        <v>65383.645833333336</v>
      </c>
    </row>
    <row r="1815" spans="1:18">
      <c r="A1815" s="1">
        <v>2</v>
      </c>
      <c r="B1815" s="1" t="str">
        <f>"قطعات و لوازم يدكي"</f>
        <v>قطعات و لوازم يدكي</v>
      </c>
      <c r="C1815" s="1">
        <v>101</v>
      </c>
      <c r="D1815" s="1" t="str">
        <f>"انبار قطعات و لوازم يدكي اصفهان"</f>
        <v>انبار قطعات و لوازم يدكي اصفهان</v>
      </c>
      <c r="E1815" s="1" t="str">
        <f>"7605585842"</f>
        <v>7605585842</v>
      </c>
      <c r="F1815" s="1" t="str">
        <f>"سو ئيچ نيپل 1/4-1*3/4"</f>
        <v>سو ئيچ نيپل 1/4-1*3/4</v>
      </c>
      <c r="G1815" s="1" t="str">
        <f>"عدد"</f>
        <v>عدد</v>
      </c>
      <c r="H1815" s="1">
        <v>2</v>
      </c>
      <c r="I1815" s="1">
        <v>96000</v>
      </c>
      <c r="J1815" s="1">
        <v>0</v>
      </c>
      <c r="K1815" s="1">
        <v>0</v>
      </c>
      <c r="L1815" s="1">
        <v>0</v>
      </c>
      <c r="M1815" s="1">
        <v>0</v>
      </c>
      <c r="O1815" s="1">
        <v>97</v>
      </c>
      <c r="P1815" s="4">
        <f t="shared" si="84"/>
        <v>96000</v>
      </c>
      <c r="Q1815" s="4">
        <f t="shared" si="85"/>
        <v>2</v>
      </c>
      <c r="R1815" s="4">
        <f t="shared" si="86"/>
        <v>48000</v>
      </c>
    </row>
    <row r="1816" spans="1:18">
      <c r="A1816" s="1">
        <v>2</v>
      </c>
      <c r="B1816" s="1" t="str">
        <f>"قطعات و لوازم يدكي"</f>
        <v>قطعات و لوازم يدكي</v>
      </c>
      <c r="C1816" s="1">
        <v>101</v>
      </c>
      <c r="D1816" s="1" t="str">
        <f>"انبار قطعات و لوازم يدكي اصفهان"</f>
        <v>انبار قطعات و لوازم يدكي اصفهان</v>
      </c>
      <c r="E1816" s="1" t="str">
        <f>"7605705362"</f>
        <v>7605705362</v>
      </c>
      <c r="F1816" s="1" t="str">
        <f>"رديو سل كوپلينگ دنده اي 1*1/2 3000"</f>
        <v>رديو سل كوپلينگ دنده اي 1*1/2 3000</v>
      </c>
      <c r="G1816" s="1" t="str">
        <f>"عدد"</f>
        <v>عدد</v>
      </c>
      <c r="H1816" s="1">
        <v>35</v>
      </c>
      <c r="I1816" s="1">
        <v>2317760</v>
      </c>
      <c r="J1816" s="1">
        <v>0</v>
      </c>
      <c r="K1816" s="1">
        <v>0</v>
      </c>
      <c r="L1816" s="1">
        <v>0</v>
      </c>
      <c r="M1816" s="1">
        <v>0</v>
      </c>
      <c r="O1816" s="1">
        <v>97</v>
      </c>
      <c r="P1816" s="4">
        <f t="shared" si="84"/>
        <v>2317760</v>
      </c>
      <c r="Q1816" s="4">
        <f t="shared" si="85"/>
        <v>35</v>
      </c>
      <c r="R1816" s="4">
        <f t="shared" si="86"/>
        <v>66221.71428571429</v>
      </c>
    </row>
    <row r="1817" spans="1:18">
      <c r="A1817" s="1">
        <v>2</v>
      </c>
      <c r="B1817" s="1" t="str">
        <f>"قطعات و لوازم يدكي"</f>
        <v>قطعات و لوازم يدكي</v>
      </c>
      <c r="C1817" s="1">
        <v>101</v>
      </c>
      <c r="D1817" s="1" t="str">
        <f>"انبار قطعات و لوازم يدكي اصفهان"</f>
        <v>انبار قطعات و لوازم يدكي اصفهان</v>
      </c>
      <c r="E1817" s="1" t="str">
        <f>"7605841182"</f>
        <v>7605841182</v>
      </c>
      <c r="F1817" s="1" t="str">
        <f>"سه راهي دنده اي 1/2-1 اينچ 3000"</f>
        <v>سه راهي دنده اي 1/2-1 اينچ 3000</v>
      </c>
      <c r="G1817" s="1" t="str">
        <f>"عدد"</f>
        <v>عدد</v>
      </c>
      <c r="H1817" s="1">
        <v>10</v>
      </c>
      <c r="I1817" s="1">
        <v>5350000</v>
      </c>
      <c r="J1817" s="1">
        <v>0</v>
      </c>
      <c r="K1817" s="1">
        <v>0</v>
      </c>
      <c r="L1817" s="1">
        <v>0</v>
      </c>
      <c r="M1817" s="1">
        <v>0</v>
      </c>
      <c r="O1817" s="1">
        <v>97</v>
      </c>
      <c r="P1817" s="4">
        <f t="shared" si="84"/>
        <v>5350000</v>
      </c>
      <c r="Q1817" s="4">
        <f t="shared" si="85"/>
        <v>10</v>
      </c>
      <c r="R1817" s="4">
        <f t="shared" si="86"/>
        <v>535000</v>
      </c>
    </row>
    <row r="1818" spans="1:18">
      <c r="A1818" s="1">
        <v>2</v>
      </c>
      <c r="B1818" s="1" t="str">
        <f>"قطعات و لوازم يدكي"</f>
        <v>قطعات و لوازم يدكي</v>
      </c>
      <c r="C1818" s="1">
        <v>101</v>
      </c>
      <c r="D1818" s="1" t="str">
        <f>"انبار قطعات و لوازم يدكي اصفهان"</f>
        <v>انبار قطعات و لوازم يدكي اصفهان</v>
      </c>
      <c r="E1818" s="1" t="str">
        <f>"7605901182"</f>
        <v>7605901182</v>
      </c>
      <c r="F1818" s="1" t="str">
        <f>"يونيون دنده اي1/2-1اينچ 3000"</f>
        <v>يونيون دنده اي1/2-1اينچ 3000</v>
      </c>
      <c r="G1818" s="1" t="str">
        <f>"عدد"</f>
        <v>عدد</v>
      </c>
      <c r="H1818" s="1">
        <v>6</v>
      </c>
      <c r="I1818" s="1">
        <v>1878000</v>
      </c>
      <c r="J1818" s="1">
        <v>0</v>
      </c>
      <c r="K1818" s="1">
        <v>0</v>
      </c>
      <c r="L1818" s="1">
        <v>0</v>
      </c>
      <c r="M1818" s="1">
        <v>0</v>
      </c>
      <c r="O1818" s="1">
        <v>97</v>
      </c>
      <c r="P1818" s="4">
        <f t="shared" si="84"/>
        <v>1878000</v>
      </c>
      <c r="Q1818" s="4">
        <f t="shared" si="85"/>
        <v>6</v>
      </c>
      <c r="R1818" s="4">
        <f t="shared" si="86"/>
        <v>313000</v>
      </c>
    </row>
    <row r="1819" spans="1:18">
      <c r="A1819" s="1">
        <v>2</v>
      </c>
      <c r="B1819" s="1" t="str">
        <f>"قطعات و لوازم يدكي"</f>
        <v>قطعات و لوازم يدكي</v>
      </c>
      <c r="C1819" s="1">
        <v>101</v>
      </c>
      <c r="D1819" s="1" t="str">
        <f>"انبار قطعات و لوازم يدكي اصفهان"</f>
        <v>انبار قطعات و لوازم يدكي اصفهان</v>
      </c>
      <c r="E1819" s="1" t="str">
        <f>"7606130082"</f>
        <v>7606130082</v>
      </c>
      <c r="F1819" s="1" t="str">
        <f>"چاپوقي  1/2 گالوانيزه"</f>
        <v>چاپوقي  1/2 گالوانيزه</v>
      </c>
      <c r="G1819" s="1" t="str">
        <f>"عدد"</f>
        <v>عدد</v>
      </c>
      <c r="H1819" s="1">
        <v>16</v>
      </c>
      <c r="I1819" s="1">
        <v>128000</v>
      </c>
      <c r="J1819" s="1">
        <v>0</v>
      </c>
      <c r="K1819" s="1">
        <v>0</v>
      </c>
      <c r="L1819" s="1">
        <v>4</v>
      </c>
      <c r="M1819" s="1">
        <v>32000</v>
      </c>
      <c r="O1819" s="1">
        <v>97</v>
      </c>
      <c r="P1819" s="4">
        <f t="shared" si="84"/>
        <v>96000</v>
      </c>
      <c r="Q1819" s="4">
        <f t="shared" si="85"/>
        <v>12</v>
      </c>
      <c r="R1819" s="4">
        <f t="shared" si="86"/>
        <v>8000</v>
      </c>
    </row>
    <row r="1820" spans="1:18">
      <c r="A1820" s="1">
        <v>2</v>
      </c>
      <c r="B1820" s="1" t="str">
        <f>"قطعات و لوازم يدكي"</f>
        <v>قطعات و لوازم يدكي</v>
      </c>
      <c r="C1820" s="1">
        <v>101</v>
      </c>
      <c r="D1820" s="1" t="str">
        <f>"انبار قطعات و لوازم يدكي اصفهان"</f>
        <v>انبار قطعات و لوازم يدكي اصفهان</v>
      </c>
      <c r="E1820" s="1" t="str">
        <f>"7606661082"</f>
        <v>7606661082</v>
      </c>
      <c r="F1820" s="1" t="str">
        <f>"پلاک گالوانيزه 1/2"</f>
        <v>پلاک گالوانيزه 1/2</v>
      </c>
      <c r="G1820" s="1" t="str">
        <f>"عدد"</f>
        <v>عدد</v>
      </c>
      <c r="H1820" s="1">
        <v>12</v>
      </c>
      <c r="I1820" s="1">
        <v>197143</v>
      </c>
      <c r="J1820" s="1">
        <v>15</v>
      </c>
      <c r="K1820" s="1">
        <v>150000</v>
      </c>
      <c r="L1820" s="1">
        <v>5</v>
      </c>
      <c r="M1820" s="1">
        <v>67308</v>
      </c>
      <c r="O1820" s="1">
        <v>97</v>
      </c>
      <c r="P1820" s="4">
        <f t="shared" si="84"/>
        <v>279835</v>
      </c>
      <c r="Q1820" s="4">
        <f t="shared" si="85"/>
        <v>22</v>
      </c>
      <c r="R1820" s="4">
        <f t="shared" si="86"/>
        <v>12719.772727272728</v>
      </c>
    </row>
    <row r="1821" spans="1:18">
      <c r="A1821" s="1">
        <v>2</v>
      </c>
      <c r="B1821" s="1" t="str">
        <f>"قطعات و لوازم يدكي"</f>
        <v>قطعات و لوازم يدكي</v>
      </c>
      <c r="C1821" s="1">
        <v>101</v>
      </c>
      <c r="D1821" s="1" t="str">
        <f>"انبار قطعات و لوازم يدكي اصفهان"</f>
        <v>انبار قطعات و لوازم يدكي اصفهان</v>
      </c>
      <c r="E1821" s="1" t="str">
        <f>"7606701222"</f>
        <v>7606701222</v>
      </c>
      <c r="F1821" s="1" t="str">
        <f>"COUPLING 3/4*1/2 SCR GALV"</f>
        <v>COUPLING 3/4*1/2 SCR GALV</v>
      </c>
      <c r="G1821" s="1" t="str">
        <f>"عدد"</f>
        <v>عدد</v>
      </c>
      <c r="H1821" s="1">
        <v>3</v>
      </c>
      <c r="I1821" s="1">
        <v>132000</v>
      </c>
      <c r="J1821" s="1">
        <v>0</v>
      </c>
      <c r="K1821" s="1">
        <v>0</v>
      </c>
      <c r="L1821" s="1">
        <v>0</v>
      </c>
      <c r="M1821" s="1">
        <v>0</v>
      </c>
      <c r="O1821" s="1">
        <v>97</v>
      </c>
      <c r="P1821" s="4">
        <f t="shared" si="84"/>
        <v>132000</v>
      </c>
      <c r="Q1821" s="4">
        <f t="shared" si="85"/>
        <v>3</v>
      </c>
      <c r="R1821" s="4">
        <f t="shared" si="86"/>
        <v>44000</v>
      </c>
    </row>
    <row r="1822" spans="1:18">
      <c r="A1822" s="1">
        <v>2</v>
      </c>
      <c r="B1822" s="1" t="str">
        <f>"قطعات و لوازم يدكي"</f>
        <v>قطعات و لوازم يدكي</v>
      </c>
      <c r="C1822" s="1">
        <v>101</v>
      </c>
      <c r="D1822" s="1" t="str">
        <f>"انبار قطعات و لوازم يدكي اصفهان"</f>
        <v>انبار قطعات و لوازم يدكي اصفهان</v>
      </c>
      <c r="E1822" s="1" t="str">
        <f>"7606841122"</f>
        <v>7606841122</v>
      </c>
      <c r="F1822" s="1" t="str">
        <f>"TEE 3/4 SCR GALV"</f>
        <v>TEE 3/4 SCR GALV</v>
      </c>
      <c r="G1822" s="1" t="str">
        <f>"عدد"</f>
        <v>عدد</v>
      </c>
      <c r="H1822" s="1">
        <v>2</v>
      </c>
      <c r="I1822" s="1">
        <v>304000</v>
      </c>
      <c r="J1822" s="1">
        <v>0</v>
      </c>
      <c r="K1822" s="1">
        <v>0</v>
      </c>
      <c r="L1822" s="1">
        <v>0</v>
      </c>
      <c r="M1822" s="1">
        <v>0</v>
      </c>
      <c r="O1822" s="1">
        <v>97</v>
      </c>
      <c r="P1822" s="4">
        <f t="shared" si="84"/>
        <v>304000</v>
      </c>
      <c r="Q1822" s="4">
        <f t="shared" si="85"/>
        <v>2</v>
      </c>
      <c r="R1822" s="4">
        <f t="shared" si="86"/>
        <v>152000</v>
      </c>
    </row>
    <row r="1823" spans="1:18">
      <c r="A1823" s="1">
        <v>2</v>
      </c>
      <c r="B1823" s="1" t="str">
        <f>"قطعات و لوازم يدكي"</f>
        <v>قطعات و لوازم يدكي</v>
      </c>
      <c r="C1823" s="1">
        <v>101</v>
      </c>
      <c r="D1823" s="1" t="str">
        <f>"انبار قطعات و لوازم يدكي اصفهان"</f>
        <v>انبار قطعات و لوازم يدكي اصفهان</v>
      </c>
      <c r="E1823" s="1" t="str">
        <f>"7630182252"</f>
        <v>7630182252</v>
      </c>
      <c r="F1823" s="1" t="str">
        <f>"كپ جوشي 2 اينچ اس 40"</f>
        <v>كپ جوشي 2 اينچ اس 40</v>
      </c>
      <c r="G1823" s="1" t="str">
        <f>"عدد"</f>
        <v>عدد</v>
      </c>
      <c r="H1823" s="1">
        <v>7</v>
      </c>
      <c r="I1823" s="1">
        <v>772522</v>
      </c>
      <c r="J1823" s="1">
        <v>0</v>
      </c>
      <c r="K1823" s="1">
        <v>0</v>
      </c>
      <c r="L1823" s="1">
        <v>1</v>
      </c>
      <c r="M1823" s="1">
        <v>110360</v>
      </c>
      <c r="O1823" s="1">
        <v>97</v>
      </c>
      <c r="P1823" s="4">
        <f t="shared" si="84"/>
        <v>662162</v>
      </c>
      <c r="Q1823" s="4">
        <f t="shared" si="85"/>
        <v>6</v>
      </c>
      <c r="R1823" s="4">
        <f t="shared" si="86"/>
        <v>110360.33333333333</v>
      </c>
    </row>
    <row r="1824" spans="1:18">
      <c r="A1824" s="1">
        <v>2</v>
      </c>
      <c r="B1824" s="1" t="str">
        <f>"قطعات و لوازم يدكي"</f>
        <v>قطعات و لوازم يدكي</v>
      </c>
      <c r="C1824" s="1">
        <v>101</v>
      </c>
      <c r="D1824" s="1" t="str">
        <f>"انبار قطعات و لوازم يدكي اصفهان"</f>
        <v>انبار قطعات و لوازم يدكي اصفهان</v>
      </c>
      <c r="E1824" s="1" t="str">
        <f>"7630182352"</f>
        <v>7630182352</v>
      </c>
      <c r="F1824" s="1" t="str">
        <f>"كپ جوشي 3 اينچ اس 40"</f>
        <v>كپ جوشي 3 اينچ اس 40</v>
      </c>
      <c r="G1824" s="1" t="str">
        <f>"عدد"</f>
        <v>عدد</v>
      </c>
      <c r="H1824" s="1">
        <v>6</v>
      </c>
      <c r="I1824" s="1">
        <v>420000</v>
      </c>
      <c r="J1824" s="1">
        <v>0</v>
      </c>
      <c r="K1824" s="1">
        <v>0</v>
      </c>
      <c r="L1824" s="1">
        <v>0</v>
      </c>
      <c r="M1824" s="1">
        <v>0</v>
      </c>
      <c r="O1824" s="1">
        <v>97</v>
      </c>
      <c r="P1824" s="4">
        <f t="shared" si="84"/>
        <v>420000</v>
      </c>
      <c r="Q1824" s="4">
        <f t="shared" si="85"/>
        <v>6</v>
      </c>
      <c r="R1824" s="4">
        <f t="shared" si="86"/>
        <v>70000</v>
      </c>
    </row>
    <row r="1825" spans="1:18">
      <c r="A1825" s="1">
        <v>2</v>
      </c>
      <c r="B1825" s="1" t="str">
        <f>"قطعات و لوازم يدكي"</f>
        <v>قطعات و لوازم يدكي</v>
      </c>
      <c r="C1825" s="1">
        <v>101</v>
      </c>
      <c r="D1825" s="1" t="str">
        <f>"انبار قطعات و لوازم يدكي اصفهان"</f>
        <v>انبار قطعات و لوازم يدكي اصفهان</v>
      </c>
      <c r="E1825" s="1" t="str">
        <f>"7630182652"</f>
        <v>7630182652</v>
      </c>
      <c r="F1825" s="1" t="str">
        <f>"كپ جوشي 6 اينچ اس 40"</f>
        <v>كپ جوشي 6 اينچ اس 40</v>
      </c>
      <c r="G1825" s="1" t="str">
        <f>"عدد"</f>
        <v>عدد</v>
      </c>
      <c r="H1825" s="1">
        <v>4</v>
      </c>
      <c r="I1825" s="1">
        <v>470000</v>
      </c>
      <c r="J1825" s="1">
        <v>0</v>
      </c>
      <c r="K1825" s="1">
        <v>0</v>
      </c>
      <c r="L1825" s="1">
        <v>1</v>
      </c>
      <c r="M1825" s="1">
        <v>117500</v>
      </c>
      <c r="O1825" s="1">
        <v>97</v>
      </c>
      <c r="P1825" s="4">
        <f t="shared" si="84"/>
        <v>352500</v>
      </c>
      <c r="Q1825" s="4">
        <f t="shared" si="85"/>
        <v>3</v>
      </c>
      <c r="R1825" s="4">
        <f t="shared" si="86"/>
        <v>117500</v>
      </c>
    </row>
    <row r="1826" spans="1:18">
      <c r="A1826" s="1">
        <v>2</v>
      </c>
      <c r="B1826" s="1" t="str">
        <f>"قطعات و لوازم يدكي"</f>
        <v>قطعات و لوازم يدكي</v>
      </c>
      <c r="C1826" s="1">
        <v>101</v>
      </c>
      <c r="D1826" s="1" t="str">
        <f>"انبار قطعات و لوازم يدكي اصفهان"</f>
        <v>انبار قطعات و لوازم يدكي اصفهان</v>
      </c>
      <c r="E1826" s="1" t="str">
        <f>"7630722752"</f>
        <v>7630722752</v>
      </c>
      <c r="F1826" s="1" t="str">
        <f>"تبديل هم محور جوشي 3*4 اينچ اس 40"</f>
        <v>تبديل هم محور جوشي 3*4 اينچ اس 40</v>
      </c>
      <c r="G1826" s="1" t="str">
        <f>"عدد"</f>
        <v>عدد</v>
      </c>
      <c r="H1826" s="1">
        <v>3</v>
      </c>
      <c r="I1826" s="1">
        <v>375000</v>
      </c>
      <c r="J1826" s="1">
        <v>0</v>
      </c>
      <c r="K1826" s="1">
        <v>0</v>
      </c>
      <c r="L1826" s="1">
        <v>0</v>
      </c>
      <c r="M1826" s="1">
        <v>0</v>
      </c>
      <c r="O1826" s="1">
        <v>97</v>
      </c>
      <c r="P1826" s="4">
        <f t="shared" si="84"/>
        <v>375000</v>
      </c>
      <c r="Q1826" s="4">
        <f t="shared" si="85"/>
        <v>3</v>
      </c>
      <c r="R1826" s="4">
        <f t="shared" si="86"/>
        <v>125000</v>
      </c>
    </row>
    <row r="1827" spans="1:18">
      <c r="A1827" s="1">
        <v>2</v>
      </c>
      <c r="B1827" s="1" t="str">
        <f>"قطعات و لوازم يدكي"</f>
        <v>قطعات و لوازم يدكي</v>
      </c>
      <c r="C1827" s="1">
        <v>101</v>
      </c>
      <c r="D1827" s="1" t="str">
        <f>"انبار قطعات و لوازم يدكي اصفهان"</f>
        <v>انبار قطعات و لوازم يدكي اصفهان</v>
      </c>
      <c r="E1827" s="1" t="str">
        <f>"7630724032"</f>
        <v>7630724032</v>
      </c>
      <c r="F1827" s="1" t="str">
        <f>"تبديل 10*12"</f>
        <v>تبديل 10*12</v>
      </c>
      <c r="G1827" s="1" t="str">
        <f>"عدد"</f>
        <v>عدد</v>
      </c>
      <c r="H1827" s="1">
        <v>2</v>
      </c>
      <c r="I1827" s="1">
        <v>1640000</v>
      </c>
      <c r="J1827" s="1">
        <v>0</v>
      </c>
      <c r="K1827" s="1">
        <v>0</v>
      </c>
      <c r="L1827" s="1">
        <v>0</v>
      </c>
      <c r="M1827" s="1">
        <v>0</v>
      </c>
      <c r="O1827" s="1">
        <v>97</v>
      </c>
      <c r="P1827" s="4">
        <f t="shared" si="84"/>
        <v>1640000</v>
      </c>
      <c r="Q1827" s="4">
        <f t="shared" si="85"/>
        <v>2</v>
      </c>
      <c r="R1827" s="4">
        <f t="shared" si="86"/>
        <v>820000</v>
      </c>
    </row>
    <row r="1828" spans="1:18">
      <c r="A1828" s="1">
        <v>2</v>
      </c>
      <c r="B1828" s="1" t="str">
        <f>"قطعات و لوازم يدكي"</f>
        <v>قطعات و لوازم يدكي</v>
      </c>
      <c r="C1828" s="1">
        <v>101</v>
      </c>
      <c r="D1828" s="1" t="str">
        <f>"انبار قطعات و لوازم يدكي اصفهان"</f>
        <v>انبار قطعات و لوازم يدكي اصفهان</v>
      </c>
      <c r="E1828" s="1" t="str">
        <f>"7630841352"</f>
        <v>7630841352</v>
      </c>
      <c r="F1828" s="1" t="s">
        <v>119</v>
      </c>
      <c r="G1828" s="1" t="str">
        <f>"عدد"</f>
        <v>عدد</v>
      </c>
      <c r="H1828" s="1">
        <v>9</v>
      </c>
      <c r="I1828" s="1">
        <v>961000</v>
      </c>
      <c r="J1828" s="1">
        <v>3</v>
      </c>
      <c r="K1828" s="1">
        <v>1200000</v>
      </c>
      <c r="L1828" s="1">
        <v>1</v>
      </c>
      <c r="M1828" s="1">
        <v>180083</v>
      </c>
      <c r="O1828" s="1">
        <v>97</v>
      </c>
      <c r="P1828" s="4">
        <f t="shared" si="84"/>
        <v>1980917</v>
      </c>
      <c r="Q1828" s="4">
        <f t="shared" si="85"/>
        <v>11</v>
      </c>
      <c r="R1828" s="4">
        <f t="shared" si="86"/>
        <v>180083.36363636365</v>
      </c>
    </row>
    <row r="1829" spans="1:18">
      <c r="A1829" s="1">
        <v>2</v>
      </c>
      <c r="B1829" s="1" t="str">
        <f>"قطعات و لوازم يدكي"</f>
        <v>قطعات و لوازم يدكي</v>
      </c>
      <c r="C1829" s="1">
        <v>101</v>
      </c>
      <c r="D1829" s="1" t="str">
        <f>"انبار قطعات و لوازم يدكي اصفهان"</f>
        <v>انبار قطعات و لوازم يدكي اصفهان</v>
      </c>
      <c r="E1829" s="1" t="str">
        <f>"7630852352"</f>
        <v>7630852352</v>
      </c>
      <c r="F1829" s="1" t="str">
        <f>"سه راهي تبديل 2*3 جوشي رده 40"</f>
        <v>سه راهي تبديل 2*3 جوشي رده 40</v>
      </c>
      <c r="G1829" s="1" t="str">
        <f>"عدد"</f>
        <v>عدد</v>
      </c>
      <c r="H1829" s="1">
        <v>5</v>
      </c>
      <c r="I1829" s="1">
        <v>600000</v>
      </c>
      <c r="J1829" s="1">
        <v>0</v>
      </c>
      <c r="K1829" s="1">
        <v>0</v>
      </c>
      <c r="L1829" s="1">
        <v>0</v>
      </c>
      <c r="M1829" s="1">
        <v>0</v>
      </c>
      <c r="O1829" s="1">
        <v>97</v>
      </c>
      <c r="P1829" s="4">
        <f t="shared" si="84"/>
        <v>600000</v>
      </c>
      <c r="Q1829" s="4">
        <f t="shared" si="85"/>
        <v>5</v>
      </c>
      <c r="R1829" s="4">
        <f t="shared" si="86"/>
        <v>120000</v>
      </c>
    </row>
    <row r="1830" spans="1:18" hidden="1">
      <c r="A1830" s="1">
        <v>6</v>
      </c>
      <c r="B1830" s="1" t="str">
        <f>"موجودي ملزومات اداري"</f>
        <v>موجودي ملزومات اداري</v>
      </c>
      <c r="C1830" s="1">
        <v>110</v>
      </c>
      <c r="D1830" s="1" t="str">
        <f>"ملزومات اداري اصفهان"</f>
        <v>ملزومات اداري اصفهان</v>
      </c>
      <c r="E1830" s="1" t="str">
        <f>"1502031202"</f>
        <v>1502031202</v>
      </c>
      <c r="F1830" s="1" t="str">
        <f>"کلمن"</f>
        <v>کلمن</v>
      </c>
      <c r="G1830" s="1" t="str">
        <f>"عدد"</f>
        <v>عدد</v>
      </c>
      <c r="H1830" s="1">
        <v>0</v>
      </c>
      <c r="I1830" s="1">
        <v>0</v>
      </c>
      <c r="J1830" s="1">
        <v>1</v>
      </c>
      <c r="K1830" s="1">
        <v>200000</v>
      </c>
      <c r="L1830" s="1">
        <v>1</v>
      </c>
      <c r="M1830" s="1">
        <v>200000</v>
      </c>
      <c r="O1830" s="1">
        <v>97</v>
      </c>
      <c r="P1830" s="1">
        <f t="shared" si="84"/>
        <v>0</v>
      </c>
      <c r="Q1830" s="1">
        <f t="shared" si="85"/>
        <v>0</v>
      </c>
      <c r="R1830" s="1" t="e">
        <f t="shared" si="86"/>
        <v>#DIV/0!</v>
      </c>
    </row>
    <row r="1831" spans="1:18" hidden="1">
      <c r="A1831" s="1">
        <v>6</v>
      </c>
      <c r="B1831" s="1" t="str">
        <f>"موجودي ملزومات اداري"</f>
        <v>موجودي ملزومات اداري</v>
      </c>
      <c r="C1831" s="1">
        <v>110</v>
      </c>
      <c r="D1831" s="1" t="str">
        <f>"ملزومات اداري اصفهان"</f>
        <v>ملزومات اداري اصفهان</v>
      </c>
      <c r="E1831" s="1" t="str">
        <f>"1502031232"</f>
        <v>1502031232</v>
      </c>
      <c r="F1831" s="1" t="str">
        <f>"مته  چهار شيار"</f>
        <v>مته  چهار شيار</v>
      </c>
      <c r="G1831" s="1" t="str">
        <f>"عدد"</f>
        <v>عدد</v>
      </c>
      <c r="H1831" s="1">
        <v>0</v>
      </c>
      <c r="I1831" s="1">
        <v>0</v>
      </c>
      <c r="J1831" s="1">
        <v>1</v>
      </c>
      <c r="K1831" s="1">
        <v>450000</v>
      </c>
      <c r="L1831" s="1">
        <v>1</v>
      </c>
      <c r="M1831" s="1">
        <v>450000</v>
      </c>
      <c r="O1831" s="1">
        <v>97</v>
      </c>
      <c r="P1831" s="1">
        <f t="shared" si="84"/>
        <v>0</v>
      </c>
      <c r="Q1831" s="1">
        <f t="shared" si="85"/>
        <v>0</v>
      </c>
      <c r="R1831" s="1" t="e">
        <f t="shared" si="86"/>
        <v>#DIV/0!</v>
      </c>
    </row>
    <row r="1832" spans="1:18" hidden="1">
      <c r="A1832" s="1">
        <v>6</v>
      </c>
      <c r="B1832" s="1" t="str">
        <f>"موجودي ملزومات اداري"</f>
        <v>موجودي ملزومات اداري</v>
      </c>
      <c r="C1832" s="1">
        <v>110</v>
      </c>
      <c r="D1832" s="1" t="str">
        <f>"ملزومات اداري اصفهان"</f>
        <v>ملزومات اداري اصفهان</v>
      </c>
      <c r="E1832" s="1" t="str">
        <f>"1502031272"</f>
        <v>1502031272</v>
      </c>
      <c r="F1832" s="1" t="str">
        <f>"دفتر A4 گالينگور(دفتر رزرو رانندگان حمل قير)"</f>
        <v>دفتر A4 گالينگور(دفتر رزرو رانندگان حمل قير)</v>
      </c>
      <c r="G1832" s="1" t="str">
        <f>"جلد"</f>
        <v>جلد</v>
      </c>
      <c r="H1832" s="1">
        <v>0</v>
      </c>
      <c r="I1832" s="1">
        <v>0</v>
      </c>
      <c r="J1832" s="1">
        <v>20</v>
      </c>
      <c r="K1832" s="1">
        <v>9000000</v>
      </c>
      <c r="L1832" s="1">
        <v>20</v>
      </c>
      <c r="M1832" s="1">
        <v>9000000</v>
      </c>
      <c r="O1832" s="1">
        <v>97</v>
      </c>
      <c r="P1832" s="1">
        <f t="shared" si="84"/>
        <v>0</v>
      </c>
      <c r="Q1832" s="1">
        <f t="shared" si="85"/>
        <v>0</v>
      </c>
      <c r="R1832" s="1" t="e">
        <f t="shared" si="86"/>
        <v>#DIV/0!</v>
      </c>
    </row>
    <row r="1833" spans="1:18" hidden="1">
      <c r="A1833" s="1">
        <v>6</v>
      </c>
      <c r="B1833" s="1" t="str">
        <f>"موجودي ملزومات اداري"</f>
        <v>موجودي ملزومات اداري</v>
      </c>
      <c r="C1833" s="1">
        <v>110</v>
      </c>
      <c r="D1833" s="1" t="str">
        <f>"ملزومات اداري اصفهان"</f>
        <v>ملزومات اداري اصفهان</v>
      </c>
      <c r="E1833" s="1" t="str">
        <f>"1502031452"</f>
        <v>1502031452</v>
      </c>
      <c r="F1833" s="1" t="str">
        <f>"طي نخي"</f>
        <v>طي نخي</v>
      </c>
      <c r="G1833" s="1" t="str">
        <f>"عدد"</f>
        <v>عدد</v>
      </c>
      <c r="H1833" s="1">
        <v>0</v>
      </c>
      <c r="I1833" s="1">
        <v>0</v>
      </c>
      <c r="J1833" s="1">
        <v>80</v>
      </c>
      <c r="K1833" s="1">
        <v>14800000</v>
      </c>
      <c r="L1833" s="1">
        <v>80</v>
      </c>
      <c r="M1833" s="1">
        <v>14800000</v>
      </c>
      <c r="O1833" s="1">
        <v>97</v>
      </c>
      <c r="P1833" s="1">
        <f t="shared" si="84"/>
        <v>0</v>
      </c>
      <c r="Q1833" s="1">
        <f t="shared" si="85"/>
        <v>0</v>
      </c>
      <c r="R1833" s="1" t="e">
        <f t="shared" si="86"/>
        <v>#DIV/0!</v>
      </c>
    </row>
    <row r="1834" spans="1:18" hidden="1">
      <c r="A1834" s="1">
        <v>6</v>
      </c>
      <c r="B1834" s="1" t="str">
        <f>"موجودي ملزومات اداري"</f>
        <v>موجودي ملزومات اداري</v>
      </c>
      <c r="C1834" s="1">
        <v>110</v>
      </c>
      <c r="D1834" s="1" t="str">
        <f>"ملزومات اداري اصفهان"</f>
        <v>ملزومات اداري اصفهان</v>
      </c>
      <c r="E1834" s="1" t="str">
        <f>"1502031522"</f>
        <v>1502031522</v>
      </c>
      <c r="F1834" s="1" t="str">
        <f>"شيلنگ توالت"</f>
        <v>شيلنگ توالت</v>
      </c>
      <c r="G1834" s="1" t="str">
        <f>"عدد"</f>
        <v>عدد</v>
      </c>
      <c r="H1834" s="1">
        <v>0</v>
      </c>
      <c r="I1834" s="1">
        <v>0</v>
      </c>
      <c r="J1834" s="1">
        <v>20</v>
      </c>
      <c r="K1834" s="1">
        <v>6000000</v>
      </c>
      <c r="L1834" s="1">
        <v>20</v>
      </c>
      <c r="M1834" s="1">
        <v>6000000</v>
      </c>
      <c r="O1834" s="1">
        <v>97</v>
      </c>
      <c r="P1834" s="1">
        <f t="shared" si="84"/>
        <v>0</v>
      </c>
      <c r="Q1834" s="1">
        <f t="shared" si="85"/>
        <v>0</v>
      </c>
      <c r="R1834" s="1" t="e">
        <f t="shared" si="86"/>
        <v>#DIV/0!</v>
      </c>
    </row>
    <row r="1835" spans="1:18" hidden="1">
      <c r="A1835" s="1">
        <v>6</v>
      </c>
      <c r="B1835" s="1" t="str">
        <f>"موجودي ملزومات اداري"</f>
        <v>موجودي ملزومات اداري</v>
      </c>
      <c r="C1835" s="1">
        <v>110</v>
      </c>
      <c r="D1835" s="1" t="str">
        <f>"ملزومات اداري اصفهان"</f>
        <v>ملزومات اداري اصفهان</v>
      </c>
      <c r="E1835" s="1" t="str">
        <f>"1502031552"</f>
        <v>1502031552</v>
      </c>
      <c r="F1835" s="1" t="str">
        <f>"کاتر A4"</f>
        <v>کاتر A4</v>
      </c>
      <c r="G1835" s="1" t="str">
        <f>"عدد"</f>
        <v>عدد</v>
      </c>
      <c r="H1835" s="1">
        <v>0</v>
      </c>
      <c r="I1835" s="1">
        <v>0</v>
      </c>
      <c r="J1835" s="1">
        <v>1</v>
      </c>
      <c r="K1835" s="1">
        <v>1350000</v>
      </c>
      <c r="L1835" s="1">
        <v>1</v>
      </c>
      <c r="M1835" s="1">
        <v>1350000</v>
      </c>
      <c r="O1835" s="1">
        <v>97</v>
      </c>
      <c r="P1835" s="1">
        <f t="shared" si="84"/>
        <v>0</v>
      </c>
      <c r="Q1835" s="1">
        <f t="shared" si="85"/>
        <v>0</v>
      </c>
      <c r="R1835" s="1" t="e">
        <f t="shared" si="86"/>
        <v>#DIV/0!</v>
      </c>
    </row>
    <row r="1836" spans="1:18">
      <c r="A1836" s="1">
        <v>6</v>
      </c>
      <c r="B1836" s="1" t="str">
        <f>"موجودي ملزومات اداري"</f>
        <v>موجودي ملزومات اداري</v>
      </c>
      <c r="C1836" s="1">
        <v>205</v>
      </c>
      <c r="D1836" s="1" t="str">
        <f>"انبار قطعات و لوازم يدكي بندرعباس"</f>
        <v>انبار قطعات و لوازم يدكي بندرعباس</v>
      </c>
      <c r="E1836" s="1" t="str">
        <f>"0000052372"</f>
        <v>0000052372</v>
      </c>
      <c r="F1836" s="1" t="str">
        <f>"اره چوب بري"</f>
        <v>اره چوب بري</v>
      </c>
      <c r="G1836" s="1" t="str">
        <f>"عدد"</f>
        <v>عدد</v>
      </c>
      <c r="H1836" s="1">
        <v>0</v>
      </c>
      <c r="I1836" s="1">
        <v>0</v>
      </c>
      <c r="J1836" s="1">
        <v>1</v>
      </c>
      <c r="K1836" s="1">
        <v>650000</v>
      </c>
      <c r="L1836" s="1">
        <v>0</v>
      </c>
      <c r="M1836" s="1">
        <v>0</v>
      </c>
      <c r="O1836" s="1">
        <v>97</v>
      </c>
      <c r="P1836" s="4">
        <f t="shared" si="84"/>
        <v>650000</v>
      </c>
      <c r="Q1836" s="4">
        <f t="shared" si="85"/>
        <v>1</v>
      </c>
      <c r="R1836" s="4">
        <f t="shared" si="86"/>
        <v>650000</v>
      </c>
    </row>
    <row r="1837" spans="1:18">
      <c r="A1837" s="1">
        <v>6</v>
      </c>
      <c r="B1837" s="1" t="str">
        <f>"موجودي ملزومات اداري"</f>
        <v>موجودي ملزومات اداري</v>
      </c>
      <c r="C1837" s="1">
        <v>205</v>
      </c>
      <c r="D1837" s="1" t="str">
        <f>"انبار قطعات و لوازم يدكي بندرعباس"</f>
        <v>انبار قطعات و لوازم يدكي بندرعباس</v>
      </c>
      <c r="E1837" s="1" t="str">
        <f>"0000059212"</f>
        <v>0000059212</v>
      </c>
      <c r="F1837" s="1" t="str">
        <f>"مغزي 1/2"</f>
        <v>مغزي 1/2</v>
      </c>
      <c r="G1837" s="1" t="str">
        <f>"عدد"</f>
        <v>عدد</v>
      </c>
      <c r="H1837" s="1">
        <v>0</v>
      </c>
      <c r="I1837" s="1">
        <v>0</v>
      </c>
      <c r="J1837" s="1">
        <v>6</v>
      </c>
      <c r="K1837" s="1">
        <v>170000</v>
      </c>
      <c r="L1837" s="1">
        <v>2</v>
      </c>
      <c r="M1837" s="1">
        <v>56667</v>
      </c>
      <c r="O1837" s="1">
        <v>97</v>
      </c>
      <c r="P1837" s="4">
        <f t="shared" si="84"/>
        <v>113333</v>
      </c>
      <c r="Q1837" s="4">
        <f t="shared" si="85"/>
        <v>4</v>
      </c>
      <c r="R1837" s="4">
        <f t="shared" si="86"/>
        <v>28333.25</v>
      </c>
    </row>
    <row r="1838" spans="1:18" hidden="1">
      <c r="A1838" s="1">
        <v>6</v>
      </c>
      <c r="B1838" s="1" t="str">
        <f>"موجودي ملزومات اداري"</f>
        <v>موجودي ملزومات اداري</v>
      </c>
      <c r="C1838" s="1">
        <v>205</v>
      </c>
      <c r="D1838" s="1" t="str">
        <f>"انبار قطعات و لوازم يدكي بندرعباس"</f>
        <v>انبار قطعات و لوازم يدكي بندرعباس</v>
      </c>
      <c r="E1838" s="1" t="str">
        <f>"1502030332"</f>
        <v>1502030332</v>
      </c>
      <c r="F1838" s="1" t="str">
        <f>"چسب آکواريوم.(سيليکون)"</f>
        <v>چسب آکواريوم.(سيليکون)</v>
      </c>
      <c r="G1838" s="1" t="str">
        <f>"عدد"</f>
        <v>عدد</v>
      </c>
      <c r="H1838" s="1">
        <v>0</v>
      </c>
      <c r="I1838" s="1">
        <v>0</v>
      </c>
      <c r="J1838" s="1">
        <v>6</v>
      </c>
      <c r="K1838" s="1">
        <v>1080000</v>
      </c>
      <c r="L1838" s="1">
        <v>6</v>
      </c>
      <c r="M1838" s="1">
        <v>1080000</v>
      </c>
      <c r="O1838" s="1">
        <v>97</v>
      </c>
      <c r="P1838" s="1">
        <f t="shared" si="84"/>
        <v>0</v>
      </c>
      <c r="Q1838" s="1">
        <f t="shared" si="85"/>
        <v>0</v>
      </c>
      <c r="R1838" s="1" t="e">
        <f t="shared" si="86"/>
        <v>#DIV/0!</v>
      </c>
    </row>
    <row r="1839" spans="1:18" hidden="1">
      <c r="A1839" s="1">
        <v>9</v>
      </c>
      <c r="B1839" s="1" t="str">
        <f>"موجودي داراييهاي ثابت نزد انبار"</f>
        <v>موجودي داراييهاي ثابت نزد انبار</v>
      </c>
      <c r="C1839" s="1">
        <v>117</v>
      </c>
      <c r="D1839" s="1" t="str">
        <f>"انبار دارايي ثابت اصفهان"</f>
        <v>انبار دارايي ثابت اصفهان</v>
      </c>
      <c r="E1839" s="1" t="str">
        <f>"1301021232"</f>
        <v>1301021232</v>
      </c>
      <c r="F1839" s="1" t="str">
        <f>"کانتينر 12 متري"</f>
        <v>کانتينر 12 متري</v>
      </c>
      <c r="G1839" s="1" t="str">
        <f>"دستگاه"</f>
        <v>دستگاه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O1839" s="1">
        <v>97</v>
      </c>
      <c r="P1839" s="1">
        <f t="shared" si="84"/>
        <v>0</v>
      </c>
      <c r="Q1839" s="1">
        <f t="shared" si="85"/>
        <v>0</v>
      </c>
      <c r="R1839" s="1" t="e">
        <f t="shared" si="86"/>
        <v>#DIV/0!</v>
      </c>
    </row>
    <row r="1840" spans="1:18" hidden="1">
      <c r="A1840" s="1">
        <v>9</v>
      </c>
      <c r="B1840" s="1" t="str">
        <f>"موجودي داراييهاي ثابت نزد انبار"</f>
        <v>موجودي داراييهاي ثابت نزد انبار</v>
      </c>
      <c r="C1840" s="1">
        <v>117</v>
      </c>
      <c r="D1840" s="1" t="str">
        <f>"انبار دارايي ثابت اصفهان"</f>
        <v>انبار دارايي ثابت اصفهان</v>
      </c>
      <c r="E1840" s="1" t="str">
        <f>"1301021452"</f>
        <v>1301021452</v>
      </c>
      <c r="F1840" s="1" t="str">
        <f>"کمد کتابخانه MDF"</f>
        <v>کمد کتابخانه MDF</v>
      </c>
      <c r="G1840" s="1" t="str">
        <f>"عدد"</f>
        <v>عدد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O1840" s="1">
        <v>97</v>
      </c>
      <c r="P1840" s="1">
        <f t="shared" si="84"/>
        <v>0</v>
      </c>
      <c r="Q1840" s="1">
        <f t="shared" si="85"/>
        <v>0</v>
      </c>
      <c r="R1840" s="1" t="e">
        <f t="shared" si="86"/>
        <v>#DIV/0!</v>
      </c>
    </row>
    <row r="1841" spans="1:18">
      <c r="A1841" s="1">
        <v>9</v>
      </c>
      <c r="B1841" s="1" t="str">
        <f>"موجودي داراييهاي ثابت نزد انبار"</f>
        <v>موجودي داراييهاي ثابت نزد انبار</v>
      </c>
      <c r="C1841" s="1">
        <v>119</v>
      </c>
      <c r="D1841" s="1" t="str">
        <f>"انبار دارايي ثابت تهران"</f>
        <v>انبار دارايي ثابت تهران</v>
      </c>
      <c r="E1841" s="1" t="str">
        <f>"0000008905"</f>
        <v>0000008905</v>
      </c>
      <c r="F1841" s="1" t="str">
        <f>"کامپيوتر pentium G3220 Haswell 3.0GHz"</f>
        <v>کامپيوتر pentium G3220 Haswell 3.0GHz</v>
      </c>
      <c r="G1841" s="1" t="str">
        <f>"دستگاه"</f>
        <v>دستگاه</v>
      </c>
      <c r="H1841" s="1">
        <v>0</v>
      </c>
      <c r="I1841" s="1">
        <v>0</v>
      </c>
      <c r="J1841" s="1">
        <v>11</v>
      </c>
      <c r="K1841" s="1">
        <v>260070000</v>
      </c>
      <c r="L1841" s="1">
        <v>9</v>
      </c>
      <c r="M1841" s="1">
        <v>221950000</v>
      </c>
      <c r="O1841" s="1">
        <v>97</v>
      </c>
      <c r="P1841" s="4">
        <f t="shared" si="84"/>
        <v>38120000</v>
      </c>
      <c r="Q1841" s="4">
        <f t="shared" si="85"/>
        <v>2</v>
      </c>
      <c r="R1841" s="4">
        <f t="shared" si="86"/>
        <v>19060000</v>
      </c>
    </row>
    <row r="1842" spans="1:18">
      <c r="A1842" s="1">
        <v>9</v>
      </c>
      <c r="B1842" s="1" t="str">
        <f>"موجودي داراييهاي ثابت نزد انبار"</f>
        <v>موجودي داراييهاي ثابت نزد انبار</v>
      </c>
      <c r="C1842" s="1">
        <v>119</v>
      </c>
      <c r="D1842" s="1" t="str">
        <f>"انبار دارايي ثابت تهران"</f>
        <v>انبار دارايي ثابت تهران</v>
      </c>
      <c r="E1842" s="1" t="str">
        <f>"0000009042"</f>
        <v>0000009042</v>
      </c>
      <c r="F1842" s="1" t="str">
        <f>"گوشي تلفن پاناسونيك KX-T7665"</f>
        <v>گوشي تلفن پاناسونيك KX-T7665</v>
      </c>
      <c r="G1842" s="1" t="str">
        <f>"دستگاه"</f>
        <v>دستگاه</v>
      </c>
      <c r="H1842" s="1">
        <v>0</v>
      </c>
      <c r="I1842" s="1">
        <v>0</v>
      </c>
      <c r="J1842" s="1">
        <v>6</v>
      </c>
      <c r="K1842" s="1">
        <v>32340000</v>
      </c>
      <c r="L1842" s="1">
        <v>1</v>
      </c>
      <c r="M1842" s="1">
        <v>5390000</v>
      </c>
      <c r="O1842" s="1">
        <v>97</v>
      </c>
      <c r="P1842" s="4">
        <f t="shared" si="84"/>
        <v>26950000</v>
      </c>
      <c r="Q1842" s="4">
        <f t="shared" si="85"/>
        <v>5</v>
      </c>
      <c r="R1842" s="4">
        <f t="shared" si="86"/>
        <v>5390000</v>
      </c>
    </row>
    <row r="1843" spans="1:18" hidden="1">
      <c r="A1843" s="1">
        <v>9</v>
      </c>
      <c r="B1843" s="1" t="str">
        <f>"موجودي داراييهاي ثابت نزد انبار"</f>
        <v>موجودي داراييهاي ثابت نزد انبار</v>
      </c>
      <c r="C1843" s="1">
        <v>119</v>
      </c>
      <c r="D1843" s="1" t="str">
        <f>"انبار دارايي ثابت تهران"</f>
        <v>انبار دارايي ثابت تهران</v>
      </c>
      <c r="E1843" s="1" t="str">
        <f>"0000009217"</f>
        <v>0000009217</v>
      </c>
      <c r="F1843" s="1" t="str">
        <f>"دوربين مدار بسته تحت شبکه A-MTK Am-2730D"</f>
        <v>دوربين مدار بسته تحت شبکه A-MTK Am-2730D</v>
      </c>
      <c r="G1843" s="1" t="str">
        <f>"دستگاه"</f>
        <v>دستگاه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O1843" s="1">
        <v>97</v>
      </c>
      <c r="P1843" s="1">
        <f t="shared" si="84"/>
        <v>0</v>
      </c>
      <c r="Q1843" s="1">
        <f t="shared" si="85"/>
        <v>0</v>
      </c>
      <c r="R1843" s="1" t="e">
        <f t="shared" si="86"/>
        <v>#DIV/0!</v>
      </c>
    </row>
    <row r="1844" spans="1:18">
      <c r="A1844" s="1">
        <v>2</v>
      </c>
      <c r="B1844" s="1" t="str">
        <f>"قطعات و لوازم يدكي"</f>
        <v>قطعات و لوازم يدكي</v>
      </c>
      <c r="C1844" s="1">
        <v>205</v>
      </c>
      <c r="D1844" s="1" t="str">
        <f>"انبار قطعات و لوازم يدكي بندرعباس"</f>
        <v>انبار قطعات و لوازم يدكي بندرعباس</v>
      </c>
      <c r="E1844" s="1" t="str">
        <f>"1800000040"</f>
        <v>1800000040</v>
      </c>
      <c r="F1844" s="1" t="str">
        <f>"فلنج 2"</f>
        <v>فلنج 2</v>
      </c>
      <c r="G1844" s="1" t="str">
        <f>"عدد"</f>
        <v>عدد</v>
      </c>
      <c r="H1844" s="1">
        <v>1</v>
      </c>
      <c r="I1844" s="1">
        <v>422000</v>
      </c>
      <c r="J1844" s="1">
        <v>0</v>
      </c>
      <c r="K1844" s="1">
        <v>0</v>
      </c>
      <c r="L1844" s="1">
        <v>0</v>
      </c>
      <c r="M1844" s="1">
        <v>0</v>
      </c>
      <c r="O1844" s="1">
        <v>97</v>
      </c>
      <c r="P1844" s="4">
        <f t="shared" si="84"/>
        <v>422000</v>
      </c>
      <c r="Q1844" s="4">
        <f t="shared" si="85"/>
        <v>1</v>
      </c>
      <c r="R1844" s="4">
        <f t="shared" si="86"/>
        <v>422000</v>
      </c>
    </row>
    <row r="1845" spans="1:18" hidden="1">
      <c r="A1845" s="1">
        <v>2</v>
      </c>
      <c r="B1845" s="1" t="str">
        <f>"قطعات و لوازم يدكي"</f>
        <v>قطعات و لوازم يدكي</v>
      </c>
      <c r="C1845" s="1">
        <v>205</v>
      </c>
      <c r="D1845" s="1" t="str">
        <f>"انبار قطعات و لوازم يدكي بندرعباس"</f>
        <v>انبار قطعات و لوازم يدكي بندرعباس</v>
      </c>
      <c r="E1845" s="1" t="str">
        <f>"1800000042"</f>
        <v>1800000042</v>
      </c>
      <c r="F1845" s="1" t="str">
        <f>"فلنج 6"</f>
        <v>فلنج 6</v>
      </c>
      <c r="G1845" s="1" t="str">
        <f>"عدد"</f>
        <v>عدد</v>
      </c>
      <c r="H1845" s="1">
        <v>4</v>
      </c>
      <c r="I1845" s="1">
        <v>6720000</v>
      </c>
      <c r="J1845" s="1">
        <v>0</v>
      </c>
      <c r="K1845" s="1">
        <v>0</v>
      </c>
      <c r="L1845" s="1">
        <v>4</v>
      </c>
      <c r="M1845" s="1">
        <v>6720000</v>
      </c>
      <c r="O1845" s="1">
        <v>97</v>
      </c>
      <c r="P1845" s="1">
        <f t="shared" si="84"/>
        <v>0</v>
      </c>
      <c r="Q1845" s="1">
        <f t="shared" si="85"/>
        <v>0</v>
      </c>
      <c r="R1845" s="1" t="e">
        <f t="shared" si="86"/>
        <v>#DIV/0!</v>
      </c>
    </row>
    <row r="1846" spans="1:18">
      <c r="A1846" s="1">
        <v>2</v>
      </c>
      <c r="B1846" s="1" t="str">
        <f>"قطعات و لوازم يدكي"</f>
        <v>قطعات و لوازم يدكي</v>
      </c>
      <c r="C1846" s="1">
        <v>205</v>
      </c>
      <c r="D1846" s="1" t="str">
        <f>"انبار قطعات و لوازم يدكي بندرعباس"</f>
        <v>انبار قطعات و لوازم يدكي بندرعباس</v>
      </c>
      <c r="E1846" s="1" t="str">
        <f>"1800000086"</f>
        <v>1800000086</v>
      </c>
      <c r="F1846" s="1" t="str">
        <f>"زانو 1/2*2"</f>
        <v>زانو 1/2*2</v>
      </c>
      <c r="G1846" s="1" t="str">
        <f>"عدد"</f>
        <v>عدد</v>
      </c>
      <c r="H1846" s="1">
        <v>8</v>
      </c>
      <c r="I1846" s="1">
        <v>2592000</v>
      </c>
      <c r="J1846" s="1">
        <v>0</v>
      </c>
      <c r="K1846" s="1">
        <v>0</v>
      </c>
      <c r="L1846" s="1">
        <v>0</v>
      </c>
      <c r="M1846" s="1">
        <v>0</v>
      </c>
      <c r="O1846" s="1">
        <v>97</v>
      </c>
      <c r="P1846" s="4">
        <f t="shared" si="84"/>
        <v>2592000</v>
      </c>
      <c r="Q1846" s="4">
        <f t="shared" si="85"/>
        <v>8</v>
      </c>
      <c r="R1846" s="4">
        <f t="shared" si="86"/>
        <v>324000</v>
      </c>
    </row>
    <row r="1847" spans="1:18">
      <c r="A1847" s="1">
        <v>2</v>
      </c>
      <c r="B1847" s="1" t="str">
        <f>"قطعات و لوازم يدكي"</f>
        <v>قطعات و لوازم يدكي</v>
      </c>
      <c r="C1847" s="1">
        <v>205</v>
      </c>
      <c r="D1847" s="1" t="str">
        <f>"انبار قطعات و لوازم يدكي بندرعباس"</f>
        <v>انبار قطعات و لوازم يدكي بندرعباس</v>
      </c>
      <c r="E1847" s="1" t="str">
        <f>"1800000099"</f>
        <v>1800000099</v>
      </c>
      <c r="F1847" s="1" t="str">
        <f>"strainer2"</f>
        <v>strainer2</v>
      </c>
      <c r="G1847" s="1" t="str">
        <f>"عدد"</f>
        <v>عدد</v>
      </c>
      <c r="H1847" s="1">
        <v>2</v>
      </c>
      <c r="I1847" s="1">
        <v>8000000</v>
      </c>
      <c r="J1847" s="1">
        <v>0</v>
      </c>
      <c r="K1847" s="1">
        <v>0</v>
      </c>
      <c r="L1847" s="1">
        <v>0</v>
      </c>
      <c r="M1847" s="1">
        <v>0</v>
      </c>
      <c r="O1847" s="1">
        <v>97</v>
      </c>
      <c r="P1847" s="4">
        <f t="shared" si="84"/>
        <v>8000000</v>
      </c>
      <c r="Q1847" s="4">
        <f t="shared" si="85"/>
        <v>2</v>
      </c>
      <c r="R1847" s="4">
        <f t="shared" si="86"/>
        <v>4000000</v>
      </c>
    </row>
    <row r="1848" spans="1:18">
      <c r="A1848" s="1">
        <v>2</v>
      </c>
      <c r="B1848" s="1" t="str">
        <f>"قطعات و لوازم يدكي"</f>
        <v>قطعات و لوازم يدكي</v>
      </c>
      <c r="C1848" s="1">
        <v>205</v>
      </c>
      <c r="D1848" s="1" t="str">
        <f>"انبار قطعات و لوازم يدكي بندرعباس"</f>
        <v>انبار قطعات و لوازم يدكي بندرعباس</v>
      </c>
      <c r="E1848" s="1" t="str">
        <f>"1800000124"</f>
        <v>1800000124</v>
      </c>
      <c r="F1848" s="1" t="str">
        <f>"تي ولد 4"</f>
        <v>تي ولد 4</v>
      </c>
      <c r="G1848" s="1" t="str">
        <f>"عدد"</f>
        <v>عدد</v>
      </c>
      <c r="H1848" s="1">
        <v>9</v>
      </c>
      <c r="I1848" s="1">
        <v>2331000</v>
      </c>
      <c r="J1848" s="1">
        <v>0</v>
      </c>
      <c r="K1848" s="1">
        <v>0</v>
      </c>
      <c r="L1848" s="1">
        <v>1</v>
      </c>
      <c r="M1848" s="1">
        <v>259000</v>
      </c>
      <c r="O1848" s="1">
        <v>97</v>
      </c>
      <c r="P1848" s="4">
        <f t="shared" si="84"/>
        <v>2072000</v>
      </c>
      <c r="Q1848" s="4">
        <f t="shared" si="85"/>
        <v>8</v>
      </c>
      <c r="R1848" s="4">
        <f t="shared" si="86"/>
        <v>259000</v>
      </c>
    </row>
    <row r="1849" spans="1:18">
      <c r="A1849" s="1">
        <v>2</v>
      </c>
      <c r="B1849" s="1" t="str">
        <f>"قطعات و لوازم يدكي"</f>
        <v>قطعات و لوازم يدكي</v>
      </c>
      <c r="C1849" s="1">
        <v>205</v>
      </c>
      <c r="D1849" s="1" t="str">
        <f>"انبار قطعات و لوازم يدكي بندرعباس"</f>
        <v>انبار قطعات و لوازم يدكي بندرعباس</v>
      </c>
      <c r="E1849" s="1" t="str">
        <f>"1800000127"</f>
        <v>1800000127</v>
      </c>
      <c r="F1849" s="1" t="str">
        <f>"تي ولد تبديل 1-3/4"</f>
        <v>تي ولد تبديل 1-3/4</v>
      </c>
      <c r="G1849" s="1" t="str">
        <f>"عدد"</f>
        <v>عدد</v>
      </c>
      <c r="H1849" s="1">
        <v>148</v>
      </c>
      <c r="I1849" s="1">
        <v>33448000</v>
      </c>
      <c r="J1849" s="1">
        <v>0</v>
      </c>
      <c r="K1849" s="1">
        <v>0</v>
      </c>
      <c r="L1849" s="1">
        <v>0</v>
      </c>
      <c r="M1849" s="1">
        <v>0</v>
      </c>
      <c r="O1849" s="1">
        <v>97</v>
      </c>
      <c r="P1849" s="4">
        <f t="shared" si="84"/>
        <v>33448000</v>
      </c>
      <c r="Q1849" s="4">
        <f t="shared" si="85"/>
        <v>148</v>
      </c>
      <c r="R1849" s="4">
        <f t="shared" si="86"/>
        <v>226000</v>
      </c>
    </row>
    <row r="1850" spans="1:18">
      <c r="A1850" s="1">
        <v>2</v>
      </c>
      <c r="B1850" s="1" t="str">
        <f>"قطعات و لوازم يدكي"</f>
        <v>قطعات و لوازم يدكي</v>
      </c>
      <c r="C1850" s="1">
        <v>205</v>
      </c>
      <c r="D1850" s="1" t="str">
        <f>"انبار قطعات و لوازم يدكي بندرعباس"</f>
        <v>انبار قطعات و لوازم يدكي بندرعباس</v>
      </c>
      <c r="E1850" s="1" t="str">
        <f>"1800000128"</f>
        <v>1800000128</v>
      </c>
      <c r="F1850" s="1" t="str">
        <f>"تي ولد تبديل 1/2*2-3"</f>
        <v>تي ولد تبديل 1/2*2-3</v>
      </c>
      <c r="G1850" s="1" t="str">
        <f>"عدد"</f>
        <v>عدد</v>
      </c>
      <c r="H1850" s="1">
        <v>1</v>
      </c>
      <c r="I1850" s="1">
        <v>226000</v>
      </c>
      <c r="J1850" s="1">
        <v>0</v>
      </c>
      <c r="K1850" s="1">
        <v>0</v>
      </c>
      <c r="L1850" s="1">
        <v>0</v>
      </c>
      <c r="M1850" s="1">
        <v>0</v>
      </c>
      <c r="O1850" s="1">
        <v>97</v>
      </c>
      <c r="P1850" s="4">
        <f t="shared" si="84"/>
        <v>226000</v>
      </c>
      <c r="Q1850" s="4">
        <f t="shared" si="85"/>
        <v>1</v>
      </c>
      <c r="R1850" s="4">
        <f t="shared" si="86"/>
        <v>226000</v>
      </c>
    </row>
    <row r="1851" spans="1:18">
      <c r="A1851" s="1">
        <v>2</v>
      </c>
      <c r="B1851" s="1" t="str">
        <f>"قطعات و لوازم يدكي"</f>
        <v>قطعات و لوازم يدكي</v>
      </c>
      <c r="C1851" s="1">
        <v>205</v>
      </c>
      <c r="D1851" s="1" t="str">
        <f>"انبار قطعات و لوازم يدكي بندرعباس"</f>
        <v>انبار قطعات و لوازم يدكي بندرعباس</v>
      </c>
      <c r="E1851" s="1" t="str">
        <f>"1800000136"</f>
        <v>1800000136</v>
      </c>
      <c r="F1851" s="1" t="str">
        <f>"ارت راد مسي 16*3"</f>
        <v>ارت راد مسي 16*3</v>
      </c>
      <c r="G1851" s="1" t="str">
        <f>"عدد"</f>
        <v>عدد</v>
      </c>
      <c r="H1851" s="1">
        <v>3</v>
      </c>
      <c r="I1851" s="1">
        <v>900000</v>
      </c>
      <c r="J1851" s="1">
        <v>0</v>
      </c>
      <c r="K1851" s="1">
        <v>0</v>
      </c>
      <c r="L1851" s="1">
        <v>0</v>
      </c>
      <c r="M1851" s="1">
        <v>0</v>
      </c>
      <c r="O1851" s="1">
        <v>97</v>
      </c>
      <c r="P1851" s="4">
        <f t="shared" si="84"/>
        <v>900000</v>
      </c>
      <c r="Q1851" s="4">
        <f t="shared" si="85"/>
        <v>3</v>
      </c>
      <c r="R1851" s="4">
        <f t="shared" si="86"/>
        <v>300000</v>
      </c>
    </row>
    <row r="1852" spans="1:18" hidden="1">
      <c r="A1852" s="1">
        <v>2</v>
      </c>
      <c r="B1852" s="1" t="str">
        <f>"قطعات و لوازم يدكي"</f>
        <v>قطعات و لوازم يدكي</v>
      </c>
      <c r="C1852" s="1">
        <v>205</v>
      </c>
      <c r="D1852" s="1" t="str">
        <f>"انبار قطعات و لوازم يدكي بندرعباس"</f>
        <v>انبار قطعات و لوازم يدكي بندرعباس</v>
      </c>
      <c r="E1852" s="1" t="str">
        <f>"1800000137"</f>
        <v>1800000137</v>
      </c>
      <c r="F1852" s="1" t="str">
        <f>"اسپري تميز کننده"</f>
        <v>اسپري تميز کننده</v>
      </c>
      <c r="G1852" s="1" t="str">
        <f>"عدد"</f>
        <v>عدد</v>
      </c>
      <c r="H1852" s="1">
        <v>2</v>
      </c>
      <c r="I1852" s="1">
        <v>300000</v>
      </c>
      <c r="J1852" s="1">
        <v>0</v>
      </c>
      <c r="K1852" s="1">
        <v>0</v>
      </c>
      <c r="L1852" s="1">
        <v>2</v>
      </c>
      <c r="M1852" s="1">
        <v>300000</v>
      </c>
      <c r="O1852" s="1">
        <v>97</v>
      </c>
      <c r="P1852" s="1">
        <f t="shared" si="84"/>
        <v>0</v>
      </c>
      <c r="Q1852" s="1">
        <f t="shared" si="85"/>
        <v>0</v>
      </c>
      <c r="R1852" s="1" t="e">
        <f t="shared" si="86"/>
        <v>#DIV/0!</v>
      </c>
    </row>
    <row r="1853" spans="1:18" hidden="1">
      <c r="A1853" s="1">
        <v>2</v>
      </c>
      <c r="B1853" s="1" t="str">
        <f>"قطعات و لوازم يدكي"</f>
        <v>قطعات و لوازم يدكي</v>
      </c>
      <c r="C1853" s="1">
        <v>205</v>
      </c>
      <c r="D1853" s="1" t="str">
        <f>"انبار قطعات و لوازم يدكي بندرعباس"</f>
        <v>انبار قطعات و لوازم يدكي بندرعباس</v>
      </c>
      <c r="E1853" s="1" t="str">
        <f>"1800000140"</f>
        <v>1800000140</v>
      </c>
      <c r="F1853" s="1" t="str">
        <f>"اسپرينکر آتشنشاني افشان"</f>
        <v>اسپرينکر آتشنشاني افشان</v>
      </c>
      <c r="G1853" s="1" t="str">
        <f>"عدد"</f>
        <v>عدد</v>
      </c>
      <c r="H1853" s="1">
        <v>20</v>
      </c>
      <c r="I1853" s="1">
        <v>4400000</v>
      </c>
      <c r="J1853" s="1">
        <v>0</v>
      </c>
      <c r="K1853" s="1">
        <v>0</v>
      </c>
      <c r="L1853" s="1">
        <v>20</v>
      </c>
      <c r="M1853" s="1">
        <v>4400000</v>
      </c>
      <c r="O1853" s="1">
        <v>97</v>
      </c>
      <c r="P1853" s="1">
        <f t="shared" si="84"/>
        <v>0</v>
      </c>
      <c r="Q1853" s="1">
        <f t="shared" si="85"/>
        <v>0</v>
      </c>
      <c r="R1853" s="1" t="e">
        <f t="shared" si="86"/>
        <v>#DIV/0!</v>
      </c>
    </row>
    <row r="1854" spans="1:18" hidden="1">
      <c r="A1854" s="1">
        <v>2</v>
      </c>
      <c r="B1854" s="1" t="str">
        <f>"قطعات و لوازم يدكي"</f>
        <v>قطعات و لوازم يدكي</v>
      </c>
      <c r="C1854" s="1">
        <v>205</v>
      </c>
      <c r="D1854" s="1" t="str">
        <f>"انبار قطعات و لوازم يدكي بندرعباس"</f>
        <v>انبار قطعات و لوازم يدكي بندرعباس</v>
      </c>
      <c r="E1854" s="1" t="str">
        <f>"1800000151"</f>
        <v>1800000151</v>
      </c>
      <c r="F1854" s="1" t="str">
        <f>"انديکاتور فشارسنج 0-10"</f>
        <v>انديکاتور فشارسنج 0-10</v>
      </c>
      <c r="G1854" s="1" t="str">
        <f>"عدد"</f>
        <v>عدد</v>
      </c>
      <c r="H1854" s="1">
        <v>1</v>
      </c>
      <c r="I1854" s="1">
        <v>8250000</v>
      </c>
      <c r="J1854" s="1">
        <v>0</v>
      </c>
      <c r="K1854" s="1">
        <v>0</v>
      </c>
      <c r="L1854" s="1">
        <v>1</v>
      </c>
      <c r="M1854" s="1">
        <v>8250000</v>
      </c>
      <c r="O1854" s="1">
        <v>97</v>
      </c>
      <c r="P1854" s="1">
        <f t="shared" si="84"/>
        <v>0</v>
      </c>
      <c r="Q1854" s="1">
        <f t="shared" si="85"/>
        <v>0</v>
      </c>
      <c r="R1854" s="1" t="e">
        <f t="shared" si="86"/>
        <v>#DIV/0!</v>
      </c>
    </row>
    <row r="1855" spans="1:18">
      <c r="A1855" s="1">
        <v>2</v>
      </c>
      <c r="B1855" s="1" t="str">
        <f>"قطعات و لوازم يدكي"</f>
        <v>قطعات و لوازم يدكي</v>
      </c>
      <c r="C1855" s="1">
        <v>205</v>
      </c>
      <c r="D1855" s="1" t="str">
        <f>"انبار قطعات و لوازم يدكي بندرعباس"</f>
        <v>انبار قطعات و لوازم يدكي بندرعباس</v>
      </c>
      <c r="E1855" s="1" t="str">
        <f>"1800000155"</f>
        <v>1800000155</v>
      </c>
      <c r="F1855" s="1" t="str">
        <f>"اورينگ اسليو"</f>
        <v>اورينگ اسليو</v>
      </c>
      <c r="G1855" s="1" t="str">
        <f>"عدد"</f>
        <v>عدد</v>
      </c>
      <c r="H1855" s="1">
        <v>40</v>
      </c>
      <c r="I1855" s="1">
        <v>11000000</v>
      </c>
      <c r="J1855" s="1">
        <v>0</v>
      </c>
      <c r="K1855" s="1">
        <v>0</v>
      </c>
      <c r="L1855" s="1">
        <v>22</v>
      </c>
      <c r="M1855" s="1">
        <v>6050000</v>
      </c>
      <c r="O1855" s="1">
        <v>97</v>
      </c>
      <c r="P1855" s="4">
        <f t="shared" si="84"/>
        <v>4950000</v>
      </c>
      <c r="Q1855" s="4">
        <f t="shared" si="85"/>
        <v>18</v>
      </c>
      <c r="R1855" s="4">
        <f t="shared" si="86"/>
        <v>275000</v>
      </c>
    </row>
    <row r="1856" spans="1:18">
      <c r="A1856" s="1">
        <v>2</v>
      </c>
      <c r="B1856" s="1" t="str">
        <f>"قطعات و لوازم يدكي"</f>
        <v>قطعات و لوازم يدكي</v>
      </c>
      <c r="C1856" s="1">
        <v>205</v>
      </c>
      <c r="D1856" s="1" t="str">
        <f>"انبار قطعات و لوازم يدكي بندرعباس"</f>
        <v>انبار قطعات و لوازم يدكي بندرعباس</v>
      </c>
      <c r="E1856" s="1" t="str">
        <f>"1800000156"</f>
        <v>1800000156</v>
      </c>
      <c r="F1856" s="1" t="str">
        <f>"وي رينگ برنجي 150-500"</f>
        <v>وي رينگ برنجي 150-500</v>
      </c>
      <c r="G1856" s="1" t="str">
        <f>"عدد"</f>
        <v>عدد</v>
      </c>
      <c r="H1856" s="1">
        <v>1</v>
      </c>
      <c r="I1856" s="1">
        <v>50000</v>
      </c>
      <c r="J1856" s="1">
        <v>0</v>
      </c>
      <c r="K1856" s="1">
        <v>0</v>
      </c>
      <c r="L1856" s="1">
        <v>0</v>
      </c>
      <c r="M1856" s="1">
        <v>0</v>
      </c>
      <c r="O1856" s="1">
        <v>97</v>
      </c>
      <c r="P1856" s="4">
        <f t="shared" si="84"/>
        <v>50000</v>
      </c>
      <c r="Q1856" s="4">
        <f t="shared" si="85"/>
        <v>1</v>
      </c>
      <c r="R1856" s="4">
        <f t="shared" si="86"/>
        <v>50000</v>
      </c>
    </row>
    <row r="1857" spans="1:18" hidden="1">
      <c r="A1857" s="1">
        <v>2</v>
      </c>
      <c r="B1857" s="1" t="str">
        <f>"قطعات و لوازم يدكي"</f>
        <v>قطعات و لوازم يدكي</v>
      </c>
      <c r="C1857" s="1">
        <v>205</v>
      </c>
      <c r="D1857" s="1" t="str">
        <f>"انبار قطعات و لوازم يدكي بندرعباس"</f>
        <v>انبار قطعات و لوازم يدكي بندرعباس</v>
      </c>
      <c r="E1857" s="1" t="str">
        <f>"1800000164"</f>
        <v>1800000164</v>
      </c>
      <c r="F1857" s="1" t="str">
        <f>"آژير فلاشر اعلام حريق"</f>
        <v>آژير فلاشر اعلام حريق</v>
      </c>
      <c r="G1857" s="1" t="str">
        <f>"عدد"</f>
        <v>عدد</v>
      </c>
      <c r="H1857" s="1">
        <v>2</v>
      </c>
      <c r="I1857" s="1">
        <v>3000000</v>
      </c>
      <c r="J1857" s="1">
        <v>0</v>
      </c>
      <c r="K1857" s="1">
        <v>0</v>
      </c>
      <c r="L1857" s="1">
        <v>2</v>
      </c>
      <c r="M1857" s="1">
        <v>3000000</v>
      </c>
      <c r="O1857" s="1">
        <v>97</v>
      </c>
      <c r="P1857" s="1">
        <f t="shared" si="84"/>
        <v>0</v>
      </c>
      <c r="Q1857" s="1">
        <f t="shared" si="85"/>
        <v>0</v>
      </c>
      <c r="R1857" s="1" t="e">
        <f t="shared" si="86"/>
        <v>#DIV/0!</v>
      </c>
    </row>
    <row r="1858" spans="1:18">
      <c r="A1858" s="1">
        <v>2</v>
      </c>
      <c r="B1858" s="1" t="str">
        <f>"قطعات و لوازم يدكي"</f>
        <v>قطعات و لوازم يدكي</v>
      </c>
      <c r="C1858" s="1">
        <v>205</v>
      </c>
      <c r="D1858" s="1" t="str">
        <f>"انبار قطعات و لوازم يدكي بندرعباس"</f>
        <v>انبار قطعات و لوازم يدكي بندرعباس</v>
      </c>
      <c r="E1858" s="1" t="str">
        <f>"1800000173"</f>
        <v>1800000173</v>
      </c>
      <c r="F1858" s="1" t="str">
        <f>"بريکر اشنايدر 80"</f>
        <v>بريکر اشنايدر 80</v>
      </c>
      <c r="G1858" s="1" t="str">
        <f>"عدد"</f>
        <v>عدد</v>
      </c>
      <c r="H1858" s="1">
        <v>1</v>
      </c>
      <c r="I1858" s="1">
        <v>1200000</v>
      </c>
      <c r="J1858" s="1">
        <v>0</v>
      </c>
      <c r="K1858" s="1">
        <v>0</v>
      </c>
      <c r="L1858" s="1">
        <v>0</v>
      </c>
      <c r="M1858" s="1">
        <v>0</v>
      </c>
      <c r="O1858" s="1">
        <v>97</v>
      </c>
      <c r="P1858" s="4">
        <f t="shared" si="84"/>
        <v>1200000</v>
      </c>
      <c r="Q1858" s="4">
        <f t="shared" si="85"/>
        <v>1</v>
      </c>
      <c r="R1858" s="4">
        <f t="shared" si="86"/>
        <v>1200000</v>
      </c>
    </row>
    <row r="1859" spans="1:18" hidden="1">
      <c r="A1859" s="1">
        <v>2</v>
      </c>
      <c r="B1859" s="1" t="str">
        <f>"قطعات و لوازم يدكي"</f>
        <v>قطعات و لوازم يدكي</v>
      </c>
      <c r="C1859" s="1">
        <v>205</v>
      </c>
      <c r="D1859" s="1" t="str">
        <f>"انبار قطعات و لوازم يدكي بندرعباس"</f>
        <v>انبار قطعات و لوازم يدكي بندرعباس</v>
      </c>
      <c r="E1859" s="1" t="str">
        <f>"1800000177"</f>
        <v>1800000177</v>
      </c>
      <c r="F1859" s="1" t="str">
        <f>"بست باطري"</f>
        <v>بست باطري</v>
      </c>
      <c r="G1859" s="1" t="str">
        <f>"عدد"</f>
        <v>عدد</v>
      </c>
      <c r="H1859" s="1">
        <v>1</v>
      </c>
      <c r="I1859" s="1">
        <v>50000</v>
      </c>
      <c r="J1859" s="1">
        <v>0</v>
      </c>
      <c r="K1859" s="1">
        <v>0</v>
      </c>
      <c r="L1859" s="1">
        <v>1</v>
      </c>
      <c r="M1859" s="1">
        <v>50000</v>
      </c>
      <c r="O1859" s="1">
        <v>97</v>
      </c>
      <c r="P1859" s="1">
        <f t="shared" ref="P1859:P1922" si="87">I1859+K1859-M1859</f>
        <v>0</v>
      </c>
      <c r="Q1859" s="1">
        <f t="shared" ref="Q1859:Q1922" si="88">H1859+J1859-L1859</f>
        <v>0</v>
      </c>
      <c r="R1859" s="1" t="e">
        <f t="shared" ref="R1859:R1922" si="89">P1859/Q1859</f>
        <v>#DIV/0!</v>
      </c>
    </row>
    <row r="1860" spans="1:18">
      <c r="A1860" s="1">
        <v>2</v>
      </c>
      <c r="B1860" s="1" t="str">
        <f>"قطعات و لوازم يدكي"</f>
        <v>قطعات و لوازم يدكي</v>
      </c>
      <c r="C1860" s="1">
        <v>205</v>
      </c>
      <c r="D1860" s="1" t="str">
        <f>"انبار قطعات و لوازم يدكي بندرعباس"</f>
        <v>انبار قطعات و لوازم يدكي بندرعباس</v>
      </c>
      <c r="E1860" s="1" t="str">
        <f>"1800000178"</f>
        <v>1800000178</v>
      </c>
      <c r="F1860" s="1" t="str">
        <f>"بست پلاستيکي لوله سفيد 32"</f>
        <v>بست پلاستيکي لوله سفيد 32</v>
      </c>
      <c r="G1860" s="1" t="str">
        <f>"عدد"</f>
        <v>عدد</v>
      </c>
      <c r="H1860" s="1">
        <v>30</v>
      </c>
      <c r="I1860" s="1">
        <v>15000</v>
      </c>
      <c r="J1860" s="1">
        <v>0</v>
      </c>
      <c r="K1860" s="1">
        <v>0</v>
      </c>
      <c r="L1860" s="1">
        <v>0</v>
      </c>
      <c r="M1860" s="1">
        <v>0</v>
      </c>
      <c r="O1860" s="1">
        <v>97</v>
      </c>
      <c r="P1860" s="4">
        <f t="shared" si="87"/>
        <v>15000</v>
      </c>
      <c r="Q1860" s="4">
        <f t="shared" si="88"/>
        <v>30</v>
      </c>
      <c r="R1860" s="4">
        <f t="shared" si="89"/>
        <v>500</v>
      </c>
    </row>
    <row r="1861" spans="1:18">
      <c r="A1861" s="1">
        <v>2</v>
      </c>
      <c r="B1861" s="1" t="str">
        <f>"قطعات و لوازم يدكي"</f>
        <v>قطعات و لوازم يدكي</v>
      </c>
      <c r="C1861" s="1">
        <v>205</v>
      </c>
      <c r="D1861" s="1" t="str">
        <f>"انبار قطعات و لوازم يدكي بندرعباس"</f>
        <v>انبار قطعات و لوازم يدكي بندرعباس</v>
      </c>
      <c r="E1861" s="1" t="str">
        <f>"1800000187"</f>
        <v>1800000187</v>
      </c>
      <c r="F1861" s="1" t="str">
        <f>"بست کمربندي پلاستيکي 30"</f>
        <v>بست کمربندي پلاستيکي 30</v>
      </c>
      <c r="G1861" s="1" t="str">
        <f>"عدد"</f>
        <v>عدد</v>
      </c>
      <c r="H1861" s="1">
        <v>30</v>
      </c>
      <c r="I1861" s="1">
        <v>9000</v>
      </c>
      <c r="J1861" s="1">
        <v>0</v>
      </c>
      <c r="K1861" s="1">
        <v>0</v>
      </c>
      <c r="L1861" s="1">
        <v>29</v>
      </c>
      <c r="M1861" s="1">
        <v>8700</v>
      </c>
      <c r="O1861" s="1">
        <v>97</v>
      </c>
      <c r="P1861" s="4">
        <f t="shared" si="87"/>
        <v>300</v>
      </c>
      <c r="Q1861" s="4">
        <f t="shared" si="88"/>
        <v>1</v>
      </c>
      <c r="R1861" s="4">
        <f t="shared" si="89"/>
        <v>300</v>
      </c>
    </row>
    <row r="1862" spans="1:18">
      <c r="A1862" s="1">
        <v>2</v>
      </c>
      <c r="B1862" s="1" t="str">
        <f>"قطعات و لوازم يدكي"</f>
        <v>قطعات و لوازم يدكي</v>
      </c>
      <c r="C1862" s="1">
        <v>205</v>
      </c>
      <c r="D1862" s="1" t="str">
        <f>"انبار قطعات و لوازم يدكي بندرعباس"</f>
        <v>انبار قطعات و لوازم يدكي بندرعباس</v>
      </c>
      <c r="E1862" s="1" t="str">
        <f>"1800000188"</f>
        <v>1800000188</v>
      </c>
      <c r="F1862" s="1" t="str">
        <f>"بست لوله گازي 3/4"</f>
        <v>بست لوله گازي 3/4</v>
      </c>
      <c r="G1862" s="1" t="str">
        <f>"عدد"</f>
        <v>عدد</v>
      </c>
      <c r="H1862" s="1">
        <v>200</v>
      </c>
      <c r="I1862" s="1">
        <v>2000000</v>
      </c>
      <c r="J1862" s="1">
        <v>0</v>
      </c>
      <c r="K1862" s="1">
        <v>0</v>
      </c>
      <c r="L1862" s="1">
        <v>5</v>
      </c>
      <c r="M1862" s="1">
        <v>50000</v>
      </c>
      <c r="O1862" s="1">
        <v>97</v>
      </c>
      <c r="P1862" s="4">
        <f t="shared" si="87"/>
        <v>1950000</v>
      </c>
      <c r="Q1862" s="4">
        <f t="shared" si="88"/>
        <v>195</v>
      </c>
      <c r="R1862" s="4">
        <f t="shared" si="89"/>
        <v>10000</v>
      </c>
    </row>
    <row r="1863" spans="1:18">
      <c r="A1863" s="1">
        <v>2</v>
      </c>
      <c r="B1863" s="1" t="str">
        <f>"قطعات و لوازم يدكي"</f>
        <v>قطعات و لوازم يدكي</v>
      </c>
      <c r="C1863" s="1">
        <v>205</v>
      </c>
      <c r="D1863" s="1" t="str">
        <f>"انبار قطعات و لوازم يدكي بندرعباس"</f>
        <v>انبار قطعات و لوازم يدكي بندرعباس</v>
      </c>
      <c r="E1863" s="1" t="str">
        <f>"1800000205"</f>
        <v>1800000205</v>
      </c>
      <c r="F1863" s="1" t="str">
        <f>"بوشن گالوانيزه 3/4"</f>
        <v>بوشن گالوانيزه 3/4</v>
      </c>
      <c r="G1863" s="1" t="str">
        <f>"عدد"</f>
        <v>عدد</v>
      </c>
      <c r="H1863" s="1">
        <v>76</v>
      </c>
      <c r="I1863" s="1">
        <v>3040000</v>
      </c>
      <c r="J1863" s="1">
        <v>0</v>
      </c>
      <c r="K1863" s="1">
        <v>0</v>
      </c>
      <c r="L1863" s="1">
        <v>7</v>
      </c>
      <c r="M1863" s="1">
        <v>280000</v>
      </c>
      <c r="O1863" s="1">
        <v>97</v>
      </c>
      <c r="P1863" s="4">
        <f t="shared" si="87"/>
        <v>2760000</v>
      </c>
      <c r="Q1863" s="4">
        <f t="shared" si="88"/>
        <v>69</v>
      </c>
      <c r="R1863" s="4">
        <f t="shared" si="89"/>
        <v>40000</v>
      </c>
    </row>
    <row r="1864" spans="1:18">
      <c r="A1864" s="1">
        <v>2</v>
      </c>
      <c r="B1864" s="1" t="str">
        <f>"قطعات و لوازم يدكي"</f>
        <v>قطعات و لوازم يدكي</v>
      </c>
      <c r="C1864" s="1">
        <v>205</v>
      </c>
      <c r="D1864" s="1" t="str">
        <f>"انبار قطعات و لوازم يدكي بندرعباس"</f>
        <v>انبار قطعات و لوازم يدكي بندرعباس</v>
      </c>
      <c r="E1864" s="1" t="str">
        <f>"1800000214"</f>
        <v>1800000214</v>
      </c>
      <c r="F1864" s="1" t="str">
        <f>"ولو تکضرب پلاستيکي 32"</f>
        <v>ولو تکضرب پلاستيکي 32</v>
      </c>
      <c r="G1864" s="1" t="str">
        <f>"عدد"</f>
        <v>عدد</v>
      </c>
      <c r="H1864" s="1">
        <v>1</v>
      </c>
      <c r="I1864" s="1">
        <v>50000</v>
      </c>
      <c r="J1864" s="1">
        <v>0</v>
      </c>
      <c r="K1864" s="1">
        <v>0</v>
      </c>
      <c r="L1864" s="1">
        <v>0</v>
      </c>
      <c r="M1864" s="1">
        <v>0</v>
      </c>
      <c r="O1864" s="1">
        <v>97</v>
      </c>
      <c r="P1864" s="4">
        <f t="shared" si="87"/>
        <v>50000</v>
      </c>
      <c r="Q1864" s="4">
        <f t="shared" si="88"/>
        <v>1</v>
      </c>
      <c r="R1864" s="4">
        <f t="shared" si="89"/>
        <v>50000</v>
      </c>
    </row>
    <row r="1865" spans="1:18">
      <c r="A1865" s="1">
        <v>2</v>
      </c>
      <c r="B1865" s="1" t="str">
        <f>"قطعات و لوازم يدكي"</f>
        <v>قطعات و لوازم يدكي</v>
      </c>
      <c r="C1865" s="1">
        <v>205</v>
      </c>
      <c r="D1865" s="1" t="str">
        <f>"انبار قطعات و لوازم يدكي بندرعباس"</f>
        <v>انبار قطعات و لوازم يدكي بندرعباس</v>
      </c>
      <c r="E1865" s="1" t="str">
        <f>"1800000219"</f>
        <v>1800000219</v>
      </c>
      <c r="F1865" s="1" t="str">
        <f>"پايه رله 11 تايي فايندر"</f>
        <v>پايه رله 11 تايي فايندر</v>
      </c>
      <c r="G1865" s="1" t="str">
        <f>"عدد"</f>
        <v>عدد</v>
      </c>
      <c r="H1865" s="1">
        <v>9</v>
      </c>
      <c r="I1865" s="1">
        <v>1800000</v>
      </c>
      <c r="J1865" s="1">
        <v>10</v>
      </c>
      <c r="K1865" s="1">
        <v>5725000</v>
      </c>
      <c r="L1865" s="1">
        <v>10</v>
      </c>
      <c r="M1865" s="1">
        <v>3960526</v>
      </c>
      <c r="O1865" s="1">
        <v>97</v>
      </c>
      <c r="P1865" s="4">
        <f t="shared" si="87"/>
        <v>3564474</v>
      </c>
      <c r="Q1865" s="4">
        <f t="shared" si="88"/>
        <v>9</v>
      </c>
      <c r="R1865" s="4">
        <f t="shared" si="89"/>
        <v>396052.66666666669</v>
      </c>
    </row>
    <row r="1866" spans="1:18" hidden="1">
      <c r="A1866" s="1">
        <v>2</v>
      </c>
      <c r="B1866" s="1" t="str">
        <f>"قطعات و لوازم يدكي"</f>
        <v>قطعات و لوازم يدكي</v>
      </c>
      <c r="C1866" s="1">
        <v>205</v>
      </c>
      <c r="D1866" s="1" t="str">
        <f>"انبار قطعات و لوازم يدكي بندرعباس"</f>
        <v>انبار قطعات و لوازم يدكي بندرعباس</v>
      </c>
      <c r="E1866" s="1" t="str">
        <f>"1800000225"</f>
        <v>1800000225</v>
      </c>
      <c r="F1866" s="1" t="str">
        <f>"پرشر گيج بويلر 0-60"</f>
        <v>پرشر گيج بويلر 0-60</v>
      </c>
      <c r="G1866" s="1" t="str">
        <f>"عدد"</f>
        <v>عدد</v>
      </c>
      <c r="H1866" s="1">
        <v>5</v>
      </c>
      <c r="I1866" s="1">
        <v>10000000</v>
      </c>
      <c r="J1866" s="1">
        <v>0</v>
      </c>
      <c r="K1866" s="1">
        <v>0</v>
      </c>
      <c r="L1866" s="1">
        <v>5</v>
      </c>
      <c r="M1866" s="1">
        <v>10000000</v>
      </c>
      <c r="O1866" s="1">
        <v>97</v>
      </c>
      <c r="P1866" s="1">
        <f t="shared" si="87"/>
        <v>0</v>
      </c>
      <c r="Q1866" s="1">
        <f t="shared" si="88"/>
        <v>0</v>
      </c>
      <c r="R1866" s="1" t="e">
        <f t="shared" si="89"/>
        <v>#DIV/0!</v>
      </c>
    </row>
    <row r="1867" spans="1:18">
      <c r="A1867" s="1">
        <v>2</v>
      </c>
      <c r="B1867" s="1" t="str">
        <f>"قطعات و لوازم يدكي"</f>
        <v>قطعات و لوازم يدكي</v>
      </c>
      <c r="C1867" s="1">
        <v>205</v>
      </c>
      <c r="D1867" s="1" t="str">
        <f>"انبار قطعات و لوازم يدكي بندرعباس"</f>
        <v>انبار قطعات و لوازم يدكي بندرعباس</v>
      </c>
      <c r="E1867" s="1" t="str">
        <f>"1800000226"</f>
        <v>1800000226</v>
      </c>
      <c r="F1867" s="1" t="str">
        <f>"پرشر گيج مازوت 0-16"</f>
        <v>پرشر گيج مازوت 0-16</v>
      </c>
      <c r="G1867" s="1" t="str">
        <f>"عدد"</f>
        <v>عدد</v>
      </c>
      <c r="H1867" s="1">
        <v>3</v>
      </c>
      <c r="I1867" s="1">
        <v>9000000</v>
      </c>
      <c r="J1867" s="1">
        <v>0</v>
      </c>
      <c r="K1867" s="1">
        <v>0</v>
      </c>
      <c r="L1867" s="1">
        <v>2</v>
      </c>
      <c r="M1867" s="1">
        <v>6000000</v>
      </c>
      <c r="O1867" s="1">
        <v>97</v>
      </c>
      <c r="P1867" s="4">
        <f t="shared" si="87"/>
        <v>3000000</v>
      </c>
      <c r="Q1867" s="4">
        <f t="shared" si="88"/>
        <v>1</v>
      </c>
      <c r="R1867" s="4">
        <f t="shared" si="89"/>
        <v>3000000</v>
      </c>
    </row>
    <row r="1868" spans="1:18">
      <c r="A1868" s="1">
        <v>2</v>
      </c>
      <c r="B1868" s="1" t="str">
        <f>"قطعات و لوازم يدكي"</f>
        <v>قطعات و لوازم يدكي</v>
      </c>
      <c r="C1868" s="1">
        <v>205</v>
      </c>
      <c r="D1868" s="1" t="str">
        <f>"انبار قطعات و لوازم يدكي بندرعباس"</f>
        <v>انبار قطعات و لوازم يدكي بندرعباس</v>
      </c>
      <c r="E1868" s="1" t="str">
        <f>"1800000238"</f>
        <v>1800000238</v>
      </c>
      <c r="F1868" s="1" t="str">
        <f>"پودر نشادر"</f>
        <v>پودر نشادر</v>
      </c>
      <c r="G1868" s="1" t="str">
        <f>"عدد"</f>
        <v>عدد</v>
      </c>
      <c r="H1868" s="1">
        <v>1</v>
      </c>
      <c r="I1868" s="1">
        <v>100000</v>
      </c>
      <c r="J1868" s="1">
        <v>0</v>
      </c>
      <c r="K1868" s="1">
        <v>0</v>
      </c>
      <c r="L1868" s="1">
        <v>0</v>
      </c>
      <c r="M1868" s="1">
        <v>0</v>
      </c>
      <c r="O1868" s="1">
        <v>97</v>
      </c>
      <c r="P1868" s="4">
        <f t="shared" si="87"/>
        <v>100000</v>
      </c>
      <c r="Q1868" s="4">
        <f t="shared" si="88"/>
        <v>1</v>
      </c>
      <c r="R1868" s="4">
        <f t="shared" si="89"/>
        <v>100000</v>
      </c>
    </row>
    <row r="1869" spans="1:18">
      <c r="A1869" s="1">
        <v>2</v>
      </c>
      <c r="B1869" s="1" t="str">
        <f>"قطعات و لوازم يدكي"</f>
        <v>قطعات و لوازم يدكي</v>
      </c>
      <c r="C1869" s="1">
        <v>205</v>
      </c>
      <c r="D1869" s="1" t="str">
        <f>"انبار قطعات و لوازم يدكي بندرعباس"</f>
        <v>انبار قطعات و لوازم يدكي بندرعباس</v>
      </c>
      <c r="E1869" s="1" t="str">
        <f>"1800000241"</f>
        <v>1800000241</v>
      </c>
      <c r="F1869" s="1" t="str">
        <f>"پوشرنگ نارنجي"</f>
        <v>پوشرنگ نارنجي</v>
      </c>
      <c r="G1869" s="1" t="str">
        <f>"عدد"</f>
        <v>عدد</v>
      </c>
      <c r="H1869" s="1">
        <v>2</v>
      </c>
      <c r="I1869" s="1">
        <v>200000</v>
      </c>
      <c r="J1869" s="1">
        <v>0</v>
      </c>
      <c r="K1869" s="1">
        <v>0</v>
      </c>
      <c r="L1869" s="1">
        <v>0</v>
      </c>
      <c r="M1869" s="1">
        <v>0</v>
      </c>
      <c r="O1869" s="1">
        <v>97</v>
      </c>
      <c r="P1869" s="4">
        <f t="shared" si="87"/>
        <v>200000</v>
      </c>
      <c r="Q1869" s="4">
        <f t="shared" si="88"/>
        <v>2</v>
      </c>
      <c r="R1869" s="4">
        <f t="shared" si="89"/>
        <v>100000</v>
      </c>
    </row>
    <row r="1870" spans="1:18">
      <c r="A1870" s="1">
        <v>2</v>
      </c>
      <c r="B1870" s="1" t="str">
        <f>"قطعات و لوازم يدكي"</f>
        <v>قطعات و لوازم يدكي</v>
      </c>
      <c r="C1870" s="1">
        <v>205</v>
      </c>
      <c r="D1870" s="1" t="str">
        <f>"انبار قطعات و لوازم يدكي بندرعباس"</f>
        <v>انبار قطعات و لوازم يدكي بندرعباس</v>
      </c>
      <c r="E1870" s="1" t="str">
        <f>"1800000254"</f>
        <v>1800000254</v>
      </c>
      <c r="F1870" s="1" t="str">
        <f>"پيچ رول پلاک 14*4"</f>
        <v>پيچ رول پلاک 14*4</v>
      </c>
      <c r="G1870" s="1" t="str">
        <f>"عدد"</f>
        <v>عدد</v>
      </c>
      <c r="H1870" s="1">
        <v>50</v>
      </c>
      <c r="I1870" s="1">
        <v>10000</v>
      </c>
      <c r="J1870" s="1">
        <v>0</v>
      </c>
      <c r="K1870" s="1">
        <v>0</v>
      </c>
      <c r="L1870" s="1">
        <v>4</v>
      </c>
      <c r="M1870" s="1">
        <v>800</v>
      </c>
      <c r="O1870" s="1">
        <v>97</v>
      </c>
      <c r="P1870" s="4">
        <f t="shared" si="87"/>
        <v>9200</v>
      </c>
      <c r="Q1870" s="4">
        <f t="shared" si="88"/>
        <v>46</v>
      </c>
      <c r="R1870" s="4">
        <f t="shared" si="89"/>
        <v>200</v>
      </c>
    </row>
    <row r="1871" spans="1:18">
      <c r="A1871" s="1">
        <v>2</v>
      </c>
      <c r="B1871" s="1" t="str">
        <f>"قطعات و لوازم يدكي"</f>
        <v>قطعات و لوازم يدكي</v>
      </c>
      <c r="C1871" s="1">
        <v>205</v>
      </c>
      <c r="D1871" s="1" t="str">
        <f>"انبار قطعات و لوازم يدكي بندرعباس"</f>
        <v>انبار قطعات و لوازم يدكي بندرعباس</v>
      </c>
      <c r="E1871" s="1" t="str">
        <f>"1800000261"</f>
        <v>1800000261</v>
      </c>
      <c r="F1871" s="1" t="str">
        <f>"پيچ متري فولادي 8"</f>
        <v>پيچ متري فولادي 8</v>
      </c>
      <c r="G1871" s="1" t="str">
        <f>"شاخه"</f>
        <v>شاخه</v>
      </c>
      <c r="H1871" s="1">
        <v>3</v>
      </c>
      <c r="I1871" s="1">
        <v>300000</v>
      </c>
      <c r="J1871" s="1">
        <v>0</v>
      </c>
      <c r="K1871" s="1">
        <v>0</v>
      </c>
      <c r="L1871" s="1">
        <v>0</v>
      </c>
      <c r="M1871" s="1">
        <v>0</v>
      </c>
      <c r="O1871" s="1">
        <v>97</v>
      </c>
      <c r="P1871" s="4">
        <f t="shared" si="87"/>
        <v>300000</v>
      </c>
      <c r="Q1871" s="4">
        <f t="shared" si="88"/>
        <v>3</v>
      </c>
      <c r="R1871" s="4">
        <f t="shared" si="89"/>
        <v>100000</v>
      </c>
    </row>
    <row r="1872" spans="1:18" hidden="1">
      <c r="A1872" s="1">
        <v>2</v>
      </c>
      <c r="B1872" s="1" t="str">
        <f>"قطعات و لوازم يدكي"</f>
        <v>قطعات و لوازم يدكي</v>
      </c>
      <c r="C1872" s="1">
        <v>205</v>
      </c>
      <c r="D1872" s="1" t="str">
        <f>"انبار قطعات و لوازم يدكي بندرعباس"</f>
        <v>انبار قطعات و لوازم يدكي بندرعباس</v>
      </c>
      <c r="E1872" s="1" t="str">
        <f>"1800000265"</f>
        <v>1800000265</v>
      </c>
      <c r="F1872" s="1" t="str">
        <f>"پيچ و مهره 100*20"</f>
        <v>پيچ و مهره 100*20</v>
      </c>
      <c r="G1872" s="1" t="str">
        <f>"عدد"</f>
        <v>عدد</v>
      </c>
      <c r="H1872" s="1">
        <v>24</v>
      </c>
      <c r="I1872" s="1">
        <v>960000</v>
      </c>
      <c r="J1872" s="1">
        <v>0</v>
      </c>
      <c r="K1872" s="1">
        <v>0</v>
      </c>
      <c r="L1872" s="1">
        <v>24</v>
      </c>
      <c r="M1872" s="1">
        <v>960000</v>
      </c>
      <c r="O1872" s="1">
        <v>97</v>
      </c>
      <c r="P1872" s="1">
        <f t="shared" si="87"/>
        <v>0</v>
      </c>
      <c r="Q1872" s="1">
        <f t="shared" si="88"/>
        <v>0</v>
      </c>
      <c r="R1872" s="1" t="e">
        <f t="shared" si="89"/>
        <v>#DIV/0!</v>
      </c>
    </row>
    <row r="1873" spans="1:18">
      <c r="A1873" s="1">
        <v>2</v>
      </c>
      <c r="B1873" s="1" t="str">
        <f>"قطعات و لوازم يدكي"</f>
        <v>قطعات و لوازم يدكي</v>
      </c>
      <c r="C1873" s="1">
        <v>205</v>
      </c>
      <c r="D1873" s="1" t="str">
        <f>"انبار قطعات و لوازم يدكي بندرعباس"</f>
        <v>انبار قطعات و لوازم يدكي بندرعباس</v>
      </c>
      <c r="E1873" s="1" t="str">
        <f>"1800000273"</f>
        <v>1800000273</v>
      </c>
      <c r="F1873" s="1" t="str">
        <f>"تابلو برق توکار 50*50"</f>
        <v>تابلو برق توکار 50*50</v>
      </c>
      <c r="G1873" s="1" t="str">
        <f>"عدد"</f>
        <v>عدد</v>
      </c>
      <c r="H1873" s="1">
        <v>3</v>
      </c>
      <c r="I1873" s="1">
        <v>1500000</v>
      </c>
      <c r="J1873" s="1">
        <v>0</v>
      </c>
      <c r="K1873" s="1">
        <v>0</v>
      </c>
      <c r="L1873" s="1">
        <v>1</v>
      </c>
      <c r="M1873" s="1">
        <v>500000</v>
      </c>
      <c r="O1873" s="1">
        <v>97</v>
      </c>
      <c r="P1873" s="4">
        <f t="shared" si="87"/>
        <v>1000000</v>
      </c>
      <c r="Q1873" s="4">
        <f t="shared" si="88"/>
        <v>2</v>
      </c>
      <c r="R1873" s="4">
        <f t="shared" si="89"/>
        <v>500000</v>
      </c>
    </row>
    <row r="1874" spans="1:18">
      <c r="A1874" s="1">
        <v>2</v>
      </c>
      <c r="B1874" s="1" t="str">
        <f>"قطعات و لوازم يدكي"</f>
        <v>قطعات و لوازم يدكي</v>
      </c>
      <c r="C1874" s="1">
        <v>205</v>
      </c>
      <c r="D1874" s="1" t="str">
        <f>"انبار قطعات و لوازم يدكي بندرعباس"</f>
        <v>انبار قطعات و لوازم يدكي بندرعباس</v>
      </c>
      <c r="E1874" s="1" t="str">
        <f>"1800000282"</f>
        <v>1800000282</v>
      </c>
      <c r="F1874" s="1" t="str">
        <f>"ترانس جرقه"</f>
        <v>ترانس جرقه</v>
      </c>
      <c r="G1874" s="1" t="str">
        <f>"عدد"</f>
        <v>عدد</v>
      </c>
      <c r="H1874" s="1">
        <v>2</v>
      </c>
      <c r="I1874" s="1">
        <v>19000000</v>
      </c>
      <c r="J1874" s="1">
        <v>0</v>
      </c>
      <c r="K1874" s="1">
        <v>0</v>
      </c>
      <c r="L1874" s="1">
        <v>1</v>
      </c>
      <c r="M1874" s="1">
        <v>9500000</v>
      </c>
      <c r="O1874" s="1">
        <v>97</v>
      </c>
      <c r="P1874" s="4">
        <f t="shared" si="87"/>
        <v>9500000</v>
      </c>
      <c r="Q1874" s="4">
        <f t="shared" si="88"/>
        <v>1</v>
      </c>
      <c r="R1874" s="4">
        <f t="shared" si="89"/>
        <v>9500000</v>
      </c>
    </row>
    <row r="1875" spans="1:18" hidden="1">
      <c r="A1875" s="1">
        <v>2</v>
      </c>
      <c r="B1875" s="1" t="str">
        <f>"قطعات و لوازم يدكي"</f>
        <v>قطعات و لوازم يدكي</v>
      </c>
      <c r="C1875" s="1">
        <v>205</v>
      </c>
      <c r="D1875" s="1" t="str">
        <f>"انبار قطعات و لوازم يدكي بندرعباس"</f>
        <v>انبار قطعات و لوازم يدكي بندرعباس</v>
      </c>
      <c r="E1875" s="1" t="str">
        <f>"1800000284"</f>
        <v>1800000284</v>
      </c>
      <c r="F1875" s="1" t="str">
        <f>"ترموگلاتور ديجيتال"</f>
        <v>ترموگلاتور ديجيتال</v>
      </c>
      <c r="G1875" s="1" t="str">
        <f>"عدد"</f>
        <v>عدد</v>
      </c>
      <c r="H1875" s="1">
        <v>2</v>
      </c>
      <c r="I1875" s="1">
        <v>2400000</v>
      </c>
      <c r="J1875" s="1">
        <v>0</v>
      </c>
      <c r="K1875" s="1">
        <v>0</v>
      </c>
      <c r="L1875" s="1">
        <v>2</v>
      </c>
      <c r="M1875" s="1">
        <v>2400000</v>
      </c>
      <c r="O1875" s="1">
        <v>97</v>
      </c>
      <c r="P1875" s="1">
        <f t="shared" si="87"/>
        <v>0</v>
      </c>
      <c r="Q1875" s="1">
        <f t="shared" si="88"/>
        <v>0</v>
      </c>
      <c r="R1875" s="1" t="e">
        <f t="shared" si="89"/>
        <v>#DIV/0!</v>
      </c>
    </row>
    <row r="1876" spans="1:18">
      <c r="A1876" s="1">
        <v>2</v>
      </c>
      <c r="B1876" s="1" t="str">
        <f>"قطعات و لوازم يدكي"</f>
        <v>قطعات و لوازم يدكي</v>
      </c>
      <c r="C1876" s="1">
        <v>205</v>
      </c>
      <c r="D1876" s="1" t="str">
        <f>"انبار قطعات و لوازم يدكي بندرعباس"</f>
        <v>انبار قطعات و لوازم يدكي بندرعباس</v>
      </c>
      <c r="E1876" s="1" t="str">
        <f>"1800000287"</f>
        <v>1800000287</v>
      </c>
      <c r="F1876" s="1" t="str">
        <f>"ترمومتر هيتر بويلر 160-0"</f>
        <v>ترمومتر هيتر بويلر 160-0</v>
      </c>
      <c r="G1876" s="1" t="str">
        <f>"عدد"</f>
        <v>عدد</v>
      </c>
      <c r="H1876" s="1">
        <v>3</v>
      </c>
      <c r="I1876" s="1">
        <v>1650000</v>
      </c>
      <c r="J1876" s="1">
        <v>0</v>
      </c>
      <c r="K1876" s="1">
        <v>0</v>
      </c>
      <c r="L1876" s="1">
        <v>0</v>
      </c>
      <c r="M1876" s="1">
        <v>0</v>
      </c>
      <c r="O1876" s="1">
        <v>97</v>
      </c>
      <c r="P1876" s="4">
        <f t="shared" si="87"/>
        <v>1650000</v>
      </c>
      <c r="Q1876" s="4">
        <f t="shared" si="88"/>
        <v>3</v>
      </c>
      <c r="R1876" s="4">
        <f t="shared" si="89"/>
        <v>550000</v>
      </c>
    </row>
    <row r="1877" spans="1:18">
      <c r="A1877" s="1">
        <v>2</v>
      </c>
      <c r="B1877" s="1" t="str">
        <f>"قطعات و لوازم يدكي"</f>
        <v>قطعات و لوازم يدكي</v>
      </c>
      <c r="C1877" s="1">
        <v>205</v>
      </c>
      <c r="D1877" s="1" t="str">
        <f>"انبار قطعات و لوازم يدكي بندرعباس"</f>
        <v>انبار قطعات و لوازم يدكي بندرعباس</v>
      </c>
      <c r="E1877" s="1" t="str">
        <f>"1800000296"</f>
        <v>1800000296</v>
      </c>
      <c r="F1877" s="1" t="str">
        <f>"ترمينال کائوچويي ريلي 6"</f>
        <v>ترمينال کائوچويي ريلي 6</v>
      </c>
      <c r="G1877" s="1" t="str">
        <f>"عدد"</f>
        <v>عدد</v>
      </c>
      <c r="H1877" s="1">
        <v>7</v>
      </c>
      <c r="I1877" s="1">
        <v>49000</v>
      </c>
      <c r="J1877" s="1">
        <v>0</v>
      </c>
      <c r="K1877" s="1">
        <v>0</v>
      </c>
      <c r="L1877" s="1">
        <v>0</v>
      </c>
      <c r="M1877" s="1">
        <v>0</v>
      </c>
      <c r="O1877" s="1">
        <v>97</v>
      </c>
      <c r="P1877" s="4">
        <f t="shared" si="87"/>
        <v>49000</v>
      </c>
      <c r="Q1877" s="4">
        <f t="shared" si="88"/>
        <v>7</v>
      </c>
      <c r="R1877" s="4">
        <f t="shared" si="89"/>
        <v>7000</v>
      </c>
    </row>
    <row r="1878" spans="1:18" hidden="1">
      <c r="A1878" s="1">
        <v>2</v>
      </c>
      <c r="B1878" s="1" t="str">
        <f>"قطعات و لوازم يدكي"</f>
        <v>قطعات و لوازم يدكي</v>
      </c>
      <c r="C1878" s="1">
        <v>205</v>
      </c>
      <c r="D1878" s="1" t="str">
        <f>"انبار قطعات و لوازم يدكي بندرعباس"</f>
        <v>انبار قطعات و لوازم يدكي بندرعباس</v>
      </c>
      <c r="E1878" s="1" t="str">
        <f>"1800000309"</f>
        <v>1800000309</v>
      </c>
      <c r="F1878" s="1" t="str">
        <f>"جعبه تقسيم روکار برق"</f>
        <v>جعبه تقسيم روکار برق</v>
      </c>
      <c r="G1878" s="1" t="str">
        <f>"عدد"</f>
        <v>عدد</v>
      </c>
      <c r="H1878" s="1">
        <v>1</v>
      </c>
      <c r="I1878" s="1">
        <v>80000</v>
      </c>
      <c r="J1878" s="1">
        <v>0</v>
      </c>
      <c r="K1878" s="1">
        <v>0</v>
      </c>
      <c r="L1878" s="1">
        <v>1</v>
      </c>
      <c r="M1878" s="1">
        <v>80000</v>
      </c>
      <c r="O1878" s="1">
        <v>97</v>
      </c>
      <c r="P1878" s="1">
        <f t="shared" si="87"/>
        <v>0</v>
      </c>
      <c r="Q1878" s="1">
        <f t="shared" si="88"/>
        <v>0</v>
      </c>
      <c r="R1878" s="1" t="e">
        <f t="shared" si="89"/>
        <v>#DIV/0!</v>
      </c>
    </row>
    <row r="1879" spans="1:18">
      <c r="A1879" s="1">
        <v>2</v>
      </c>
      <c r="B1879" s="1" t="str">
        <f>"قطعات و لوازم يدكي"</f>
        <v>قطعات و لوازم يدكي</v>
      </c>
      <c r="C1879" s="1">
        <v>205</v>
      </c>
      <c r="D1879" s="1" t="str">
        <f>"انبار قطعات و لوازم يدكي بندرعباس"</f>
        <v>انبار قطعات و لوازم يدكي بندرعباس</v>
      </c>
      <c r="E1879" s="1" t="str">
        <f>"1800000314"</f>
        <v>1800000314</v>
      </c>
      <c r="F1879" s="1" t="str">
        <f>"چسب loctite"</f>
        <v>چسب loctite</v>
      </c>
      <c r="G1879" s="1" t="str">
        <f>"عدد"</f>
        <v>عدد</v>
      </c>
      <c r="H1879" s="1">
        <v>3</v>
      </c>
      <c r="I1879" s="1">
        <v>1050000</v>
      </c>
      <c r="J1879" s="1">
        <v>0</v>
      </c>
      <c r="K1879" s="1">
        <v>0</v>
      </c>
      <c r="L1879" s="1">
        <v>0</v>
      </c>
      <c r="M1879" s="1">
        <v>0</v>
      </c>
      <c r="O1879" s="1">
        <v>97</v>
      </c>
      <c r="P1879" s="4">
        <f t="shared" si="87"/>
        <v>1050000</v>
      </c>
      <c r="Q1879" s="4">
        <f t="shared" si="88"/>
        <v>3</v>
      </c>
      <c r="R1879" s="4">
        <f t="shared" si="89"/>
        <v>350000</v>
      </c>
    </row>
    <row r="1880" spans="1:18">
      <c r="A1880" s="1">
        <v>2</v>
      </c>
      <c r="B1880" s="1" t="str">
        <f>"قطعات و لوازم يدكي"</f>
        <v>قطعات و لوازم يدكي</v>
      </c>
      <c r="C1880" s="1">
        <v>205</v>
      </c>
      <c r="D1880" s="1" t="str">
        <f>"انبار قطعات و لوازم يدكي بندرعباس"</f>
        <v>انبار قطعات و لوازم يدكي بندرعباس</v>
      </c>
      <c r="E1880" s="1" t="str">
        <f>"1800000316"</f>
        <v>1800000316</v>
      </c>
      <c r="F1880" s="1" t="str">
        <f>"چسب برق"</f>
        <v>چسب برق</v>
      </c>
      <c r="G1880" s="1" t="str">
        <f>"عدد"</f>
        <v>عدد</v>
      </c>
      <c r="H1880" s="1">
        <v>50</v>
      </c>
      <c r="I1880" s="1">
        <v>750000</v>
      </c>
      <c r="J1880" s="1">
        <v>0</v>
      </c>
      <c r="K1880" s="1">
        <v>0</v>
      </c>
      <c r="L1880" s="1">
        <v>29</v>
      </c>
      <c r="M1880" s="1">
        <v>435000</v>
      </c>
      <c r="O1880" s="1">
        <v>97</v>
      </c>
      <c r="P1880" s="4">
        <f t="shared" si="87"/>
        <v>315000</v>
      </c>
      <c r="Q1880" s="4">
        <f t="shared" si="88"/>
        <v>21</v>
      </c>
      <c r="R1880" s="4">
        <f t="shared" si="89"/>
        <v>15000</v>
      </c>
    </row>
    <row r="1881" spans="1:18" hidden="1">
      <c r="A1881" s="1">
        <v>9</v>
      </c>
      <c r="B1881" s="1" t="str">
        <f>"موجودي داراييهاي ثابت نزد انبار"</f>
        <v>موجودي داراييهاي ثابت نزد انبار</v>
      </c>
      <c r="C1881" s="1">
        <v>117</v>
      </c>
      <c r="D1881" s="1" t="str">
        <f>"انبار دارايي ثابت اصفهان"</f>
        <v>انبار دارايي ثابت اصفهان</v>
      </c>
      <c r="E1881" s="1" t="str">
        <f>"1301021542"</f>
        <v>1301021542</v>
      </c>
      <c r="F1881" s="1" t="str">
        <f>"پرده  هواي 18000"</f>
        <v>پرده  هواي 18000</v>
      </c>
      <c r="G1881" s="1" t="str">
        <f>"عدد"</f>
        <v>عدد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O1881" s="1">
        <v>97</v>
      </c>
      <c r="P1881" s="1">
        <f t="shared" si="87"/>
        <v>0</v>
      </c>
      <c r="Q1881" s="1">
        <f t="shared" si="88"/>
        <v>0</v>
      </c>
      <c r="R1881" s="1" t="e">
        <f t="shared" si="89"/>
        <v>#DIV/0!</v>
      </c>
    </row>
    <row r="1882" spans="1:18" hidden="1">
      <c r="A1882" s="1">
        <v>9</v>
      </c>
      <c r="B1882" s="1" t="str">
        <f>"موجودي داراييهاي ثابت نزد انبار"</f>
        <v>موجودي داراييهاي ثابت نزد انبار</v>
      </c>
      <c r="C1882" s="1">
        <v>117</v>
      </c>
      <c r="D1882" s="1" t="str">
        <f>"انبار دارايي ثابت اصفهان"</f>
        <v>انبار دارايي ثابت اصفهان</v>
      </c>
      <c r="E1882" s="1" t="str">
        <f>"1301021602"</f>
        <v>1301021602</v>
      </c>
      <c r="F1882" s="1" t="str">
        <f>"پايه دارت"</f>
        <v>پايه دارت</v>
      </c>
      <c r="G1882" s="1" t="str">
        <f>"عدد"</f>
        <v>عدد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O1882" s="1">
        <v>97</v>
      </c>
      <c r="P1882" s="1">
        <f t="shared" si="87"/>
        <v>0</v>
      </c>
      <c r="Q1882" s="1">
        <f t="shared" si="88"/>
        <v>0</v>
      </c>
      <c r="R1882" s="1" t="e">
        <f t="shared" si="89"/>
        <v>#DIV/0!</v>
      </c>
    </row>
    <row r="1883" spans="1:18" hidden="1">
      <c r="A1883" s="1">
        <v>9</v>
      </c>
      <c r="B1883" s="1" t="str">
        <f>"موجودي داراييهاي ثابت نزد انبار"</f>
        <v>موجودي داراييهاي ثابت نزد انبار</v>
      </c>
      <c r="C1883" s="1">
        <v>117</v>
      </c>
      <c r="D1883" s="1" t="str">
        <f>"انبار دارايي ثابت اصفهان"</f>
        <v>انبار دارايي ثابت اصفهان</v>
      </c>
      <c r="E1883" s="1" t="str">
        <f>"1301021632"</f>
        <v>1301021632</v>
      </c>
      <c r="F1883" s="1" t="str">
        <f>"کمد 207*40*53 MDF"</f>
        <v>کمد 207*40*53 MDF</v>
      </c>
      <c r="G1883" s="1" t="str">
        <f>"عدد"</f>
        <v>عدد</v>
      </c>
      <c r="H1883" s="1">
        <v>0</v>
      </c>
      <c r="I1883" s="1">
        <v>0</v>
      </c>
      <c r="J1883" s="1">
        <v>8</v>
      </c>
      <c r="K1883" s="1">
        <v>24800000</v>
      </c>
      <c r="L1883" s="1">
        <v>8</v>
      </c>
      <c r="M1883" s="1">
        <v>24800000</v>
      </c>
      <c r="O1883" s="1">
        <v>97</v>
      </c>
      <c r="P1883" s="1">
        <f t="shared" si="87"/>
        <v>0</v>
      </c>
      <c r="Q1883" s="1">
        <f t="shared" si="88"/>
        <v>0</v>
      </c>
      <c r="R1883" s="1" t="e">
        <f t="shared" si="89"/>
        <v>#DIV/0!</v>
      </c>
    </row>
    <row r="1884" spans="1:18" hidden="1">
      <c r="A1884" s="1">
        <v>9</v>
      </c>
      <c r="B1884" s="1" t="str">
        <f>"موجودي داراييهاي ثابت نزد انبار"</f>
        <v>موجودي داراييهاي ثابت نزد انبار</v>
      </c>
      <c r="C1884" s="1">
        <v>117</v>
      </c>
      <c r="D1884" s="1" t="str">
        <f>"انبار دارايي ثابت اصفهان"</f>
        <v>انبار دارايي ثابت اصفهان</v>
      </c>
      <c r="E1884" s="1" t="str">
        <f>"6001010032"</f>
        <v>6001010032</v>
      </c>
      <c r="F1884" s="1" t="str">
        <f>"Safety Barrier set for Sensor"</f>
        <v>Safety Barrier set for Sensor</v>
      </c>
      <c r="G1884" s="1" t="str">
        <f>"عدد"</f>
        <v>عدد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O1884" s="1">
        <v>97</v>
      </c>
      <c r="P1884" s="1">
        <f t="shared" si="87"/>
        <v>0</v>
      </c>
      <c r="Q1884" s="1">
        <f t="shared" si="88"/>
        <v>0</v>
      </c>
      <c r="R1884" s="1" t="e">
        <f t="shared" si="89"/>
        <v>#DIV/0!</v>
      </c>
    </row>
    <row r="1885" spans="1:18">
      <c r="A1885" s="1">
        <v>9</v>
      </c>
      <c r="B1885" s="1" t="str">
        <f>"موجودي داراييهاي ثابت نزد انبار"</f>
        <v>موجودي داراييهاي ثابت نزد انبار</v>
      </c>
      <c r="C1885" s="1">
        <v>119</v>
      </c>
      <c r="D1885" s="1" t="str">
        <f>"انبار دارايي ثابت تهران"</f>
        <v>انبار دارايي ثابت تهران</v>
      </c>
      <c r="E1885" s="1" t="str">
        <f>"0000009034"</f>
        <v>0000009034</v>
      </c>
      <c r="F1885" s="1" t="str">
        <f>"ماشين حساب شارپ 2130"</f>
        <v>ماشين حساب شارپ 2130</v>
      </c>
      <c r="G1885" s="1" t="str">
        <f>"عدد"</f>
        <v>عدد</v>
      </c>
      <c r="H1885" s="1">
        <v>1</v>
      </c>
      <c r="I1885" s="1">
        <v>1450000</v>
      </c>
      <c r="J1885" s="1">
        <v>0</v>
      </c>
      <c r="K1885" s="1">
        <v>0</v>
      </c>
      <c r="L1885" s="1">
        <v>0</v>
      </c>
      <c r="M1885" s="1">
        <v>0</v>
      </c>
      <c r="O1885" s="1">
        <v>97</v>
      </c>
      <c r="P1885" s="4">
        <f t="shared" si="87"/>
        <v>1450000</v>
      </c>
      <c r="Q1885" s="4">
        <f t="shared" si="88"/>
        <v>1</v>
      </c>
      <c r="R1885" s="4">
        <f t="shared" si="89"/>
        <v>1450000</v>
      </c>
    </row>
    <row r="1886" spans="1:18" hidden="1">
      <c r="A1886" s="1">
        <v>9</v>
      </c>
      <c r="B1886" s="1" t="str">
        <f>"موجودي داراييهاي ثابت نزد انبار"</f>
        <v>موجودي داراييهاي ثابت نزد انبار</v>
      </c>
      <c r="C1886" s="1">
        <v>119</v>
      </c>
      <c r="D1886" s="1" t="str">
        <f>"انبار دارايي ثابت تهران"</f>
        <v>انبار دارايي ثابت تهران</v>
      </c>
      <c r="E1886" s="1" t="str">
        <f>"0000009187"</f>
        <v>0000009187</v>
      </c>
      <c r="F1886" s="1" t="str">
        <f>"کارت داخلي ديجيتال"</f>
        <v>کارت داخلي ديجيتال</v>
      </c>
      <c r="G1886" s="1" t="str">
        <f>"عدد"</f>
        <v>عدد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O1886" s="1">
        <v>97</v>
      </c>
      <c r="P1886" s="1">
        <f t="shared" si="87"/>
        <v>0</v>
      </c>
      <c r="Q1886" s="1">
        <f t="shared" si="88"/>
        <v>0</v>
      </c>
      <c r="R1886" s="1" t="e">
        <f t="shared" si="89"/>
        <v>#DIV/0!</v>
      </c>
    </row>
    <row r="1887" spans="1:18">
      <c r="A1887" s="1">
        <v>9</v>
      </c>
      <c r="B1887" s="1" t="str">
        <f>"موجودي داراييهاي ثابت نزد انبار"</f>
        <v>موجودي داراييهاي ثابت نزد انبار</v>
      </c>
      <c r="C1887" s="1">
        <v>119</v>
      </c>
      <c r="D1887" s="1" t="str">
        <f>"انبار دارايي ثابت تهران"</f>
        <v>انبار دارايي ثابت تهران</v>
      </c>
      <c r="E1887" s="1" t="str">
        <f>"0000009188"</f>
        <v>0000009188</v>
      </c>
      <c r="F1887" s="1" t="str">
        <f>"Printer hp laserjet M425DN"</f>
        <v>Printer hp laserjet M425DN</v>
      </c>
      <c r="G1887" s="1" t="str">
        <f>"عدد"</f>
        <v>عدد</v>
      </c>
      <c r="H1887" s="1">
        <v>1</v>
      </c>
      <c r="I1887" s="1">
        <v>15950000</v>
      </c>
      <c r="J1887" s="1">
        <v>0</v>
      </c>
      <c r="K1887" s="1">
        <v>0</v>
      </c>
      <c r="L1887" s="1">
        <v>0</v>
      </c>
      <c r="M1887" s="1">
        <v>0</v>
      </c>
      <c r="O1887" s="1">
        <v>97</v>
      </c>
      <c r="P1887" s="4">
        <f t="shared" si="87"/>
        <v>15950000</v>
      </c>
      <c r="Q1887" s="4">
        <f t="shared" si="88"/>
        <v>1</v>
      </c>
      <c r="R1887" s="4">
        <f t="shared" si="89"/>
        <v>15950000</v>
      </c>
    </row>
    <row r="1888" spans="1:18">
      <c r="A1888" s="1">
        <v>9</v>
      </c>
      <c r="B1888" s="1" t="str">
        <f>"موجودي داراييهاي ثابت نزد انبار"</f>
        <v>موجودي داراييهاي ثابت نزد انبار</v>
      </c>
      <c r="C1888" s="1">
        <v>119</v>
      </c>
      <c r="D1888" s="1" t="str">
        <f>"انبار دارايي ثابت تهران"</f>
        <v>انبار دارايي ثابت تهران</v>
      </c>
      <c r="E1888" s="1" t="str">
        <f>"0000009248"</f>
        <v>0000009248</v>
      </c>
      <c r="F1888" s="1" t="str">
        <f>"گوشي بي سيم مدل گيگاست S820A"</f>
        <v>گوشي بي سيم مدل گيگاست S820A</v>
      </c>
      <c r="G1888" s="1" t="str">
        <f>"دستگاه"</f>
        <v>دستگاه</v>
      </c>
      <c r="H1888" s="1">
        <v>1</v>
      </c>
      <c r="I1888" s="1">
        <v>3143333</v>
      </c>
      <c r="J1888" s="1">
        <v>1</v>
      </c>
      <c r="K1888" s="1">
        <v>2472477</v>
      </c>
      <c r="L1888" s="1">
        <v>1</v>
      </c>
      <c r="M1888" s="1">
        <v>3143333</v>
      </c>
      <c r="O1888" s="1">
        <v>97</v>
      </c>
      <c r="P1888" s="4">
        <f t="shared" si="87"/>
        <v>2472477</v>
      </c>
      <c r="Q1888" s="4">
        <f t="shared" si="88"/>
        <v>1</v>
      </c>
      <c r="R1888" s="4">
        <f t="shared" si="89"/>
        <v>2472477</v>
      </c>
    </row>
    <row r="1889" spans="1:18" hidden="1">
      <c r="A1889" s="1">
        <v>9</v>
      </c>
      <c r="B1889" s="1" t="str">
        <f>"موجودي داراييهاي ثابت نزد انبار"</f>
        <v>موجودي داراييهاي ثابت نزد انبار</v>
      </c>
      <c r="C1889" s="1">
        <v>119</v>
      </c>
      <c r="D1889" s="1" t="str">
        <f>"انبار دارايي ثابت تهران"</f>
        <v>انبار دارايي ثابت تهران</v>
      </c>
      <c r="E1889" s="1" t="str">
        <f>"0000009552"</f>
        <v>0000009552</v>
      </c>
      <c r="F1889" s="1" t="str">
        <f>"اسکنر Avision Ad250F"</f>
        <v>اسکنر Avision Ad250F</v>
      </c>
      <c r="G1889" s="1" t="str">
        <f>"دستگاه"</f>
        <v>دستگاه</v>
      </c>
      <c r="H1889" s="1">
        <v>0</v>
      </c>
      <c r="I1889" s="1">
        <v>0</v>
      </c>
      <c r="J1889" s="1">
        <v>1</v>
      </c>
      <c r="K1889" s="1">
        <v>68900000</v>
      </c>
      <c r="L1889" s="1">
        <v>1</v>
      </c>
      <c r="M1889" s="1">
        <v>68900000</v>
      </c>
      <c r="O1889" s="1">
        <v>97</v>
      </c>
      <c r="P1889" s="1">
        <f t="shared" si="87"/>
        <v>0</v>
      </c>
      <c r="Q1889" s="1">
        <f t="shared" si="88"/>
        <v>0</v>
      </c>
      <c r="R1889" s="1" t="e">
        <f t="shared" si="89"/>
        <v>#DIV/0!</v>
      </c>
    </row>
    <row r="1890" spans="1:18" hidden="1">
      <c r="A1890" s="1">
        <v>9</v>
      </c>
      <c r="B1890" s="1" t="str">
        <f>"موجودي داراييهاي ثابت نزد انبار"</f>
        <v>موجودي داراييهاي ثابت نزد انبار</v>
      </c>
      <c r="C1890" s="1">
        <v>119</v>
      </c>
      <c r="D1890" s="1" t="str">
        <f>"انبار دارايي ثابت تهران"</f>
        <v>انبار دارايي ثابت تهران</v>
      </c>
      <c r="E1890" s="1" t="str">
        <f>"0000009554"</f>
        <v>0000009554</v>
      </c>
      <c r="F1890" s="1" t="str">
        <f>"هارد ديسك اكسترنال 4TB"</f>
        <v>هارد ديسك اكسترنال 4TB</v>
      </c>
      <c r="G1890" s="1" t="str">
        <f>"عدد"</f>
        <v>عدد</v>
      </c>
      <c r="H1890" s="1">
        <v>0</v>
      </c>
      <c r="I1890" s="1">
        <v>0</v>
      </c>
      <c r="J1890" s="1">
        <v>2</v>
      </c>
      <c r="K1890" s="1">
        <v>38000000</v>
      </c>
      <c r="L1890" s="1">
        <v>2</v>
      </c>
      <c r="M1890" s="1">
        <v>38000000</v>
      </c>
      <c r="O1890" s="1">
        <v>97</v>
      </c>
      <c r="P1890" s="1">
        <f t="shared" si="87"/>
        <v>0</v>
      </c>
      <c r="Q1890" s="1">
        <f t="shared" si="88"/>
        <v>0</v>
      </c>
      <c r="R1890" s="1" t="e">
        <f t="shared" si="89"/>
        <v>#DIV/0!</v>
      </c>
    </row>
    <row r="1891" spans="1:18">
      <c r="A1891" s="1">
        <v>9</v>
      </c>
      <c r="B1891" s="1" t="str">
        <f>"موجودي داراييهاي ثابت نزد انبار"</f>
        <v>موجودي داراييهاي ثابت نزد انبار</v>
      </c>
      <c r="C1891" s="1">
        <v>207</v>
      </c>
      <c r="D1891" s="1" t="str">
        <f>"انبار دارايي ثابت بندرعباس"</f>
        <v>انبار دارايي ثابت بندرعباس</v>
      </c>
      <c r="E1891" s="1" t="str">
        <f>"1301021272"</f>
        <v>1301021272</v>
      </c>
      <c r="F1891" s="1" t="str">
        <f>"بي سيم"</f>
        <v>بي سيم</v>
      </c>
      <c r="G1891" s="1" t="str">
        <f>"دستگاه"</f>
        <v>دستگاه</v>
      </c>
      <c r="H1891" s="1">
        <v>0</v>
      </c>
      <c r="I1891" s="1">
        <v>0</v>
      </c>
      <c r="J1891" s="1">
        <v>2</v>
      </c>
      <c r="K1891" s="1">
        <v>17400000</v>
      </c>
      <c r="L1891" s="1">
        <v>0</v>
      </c>
      <c r="M1891" s="1">
        <v>0</v>
      </c>
      <c r="O1891" s="1">
        <v>97</v>
      </c>
      <c r="P1891" s="4">
        <f t="shared" si="87"/>
        <v>17400000</v>
      </c>
      <c r="Q1891" s="4">
        <f t="shared" si="88"/>
        <v>2</v>
      </c>
      <c r="R1891" s="4">
        <f t="shared" si="89"/>
        <v>8700000</v>
      </c>
    </row>
    <row r="1892" spans="1:18" hidden="1">
      <c r="A1892" s="1">
        <v>10</v>
      </c>
      <c r="B1892" s="1" t="str">
        <f>"موجودي گازوئيل"</f>
        <v>موجودي گازوئيل</v>
      </c>
      <c r="C1892" s="1">
        <v>105</v>
      </c>
      <c r="D1892" s="1" t="str">
        <f>"انبار بوشهر"</f>
        <v>انبار بوشهر</v>
      </c>
      <c r="E1892" s="1" t="str">
        <f>"0000000085"</f>
        <v>0000000085</v>
      </c>
      <c r="F1892" s="1" t="str">
        <f>"گازوئيل"</f>
        <v>گازوئيل</v>
      </c>
      <c r="G1892" s="1" t="str">
        <f>"كيلوگرم"</f>
        <v>كيلوگرم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O1892" s="1">
        <v>97</v>
      </c>
      <c r="P1892" s="1">
        <f t="shared" si="87"/>
        <v>0</v>
      </c>
      <c r="Q1892" s="1">
        <f t="shared" si="88"/>
        <v>0</v>
      </c>
      <c r="R1892" s="1" t="e">
        <f t="shared" si="89"/>
        <v>#DIV/0!</v>
      </c>
    </row>
    <row r="1893" spans="1:18" hidden="1">
      <c r="A1893" s="1">
        <v>2</v>
      </c>
      <c r="B1893" s="1" t="str">
        <f>"قطعات و لوازم يدكي"</f>
        <v>قطعات و لوازم يدكي</v>
      </c>
      <c r="C1893" s="1">
        <v>205</v>
      </c>
      <c r="D1893" s="1" t="str">
        <f>"انبار قطعات و لوازم يدكي بندرعباس"</f>
        <v>انبار قطعات و لوازم يدكي بندرعباس</v>
      </c>
      <c r="E1893" s="1" t="str">
        <f>"1800000329"</f>
        <v>1800000329</v>
      </c>
      <c r="F1893" s="1" t="str">
        <f>"چک ولو 2 اينچ"</f>
        <v>چک ولو 2 اينچ</v>
      </c>
      <c r="G1893" s="1" t="str">
        <f>"عدد"</f>
        <v>عدد</v>
      </c>
      <c r="H1893" s="1">
        <v>2</v>
      </c>
      <c r="I1893" s="1">
        <v>8120000</v>
      </c>
      <c r="J1893" s="1">
        <v>0</v>
      </c>
      <c r="K1893" s="1">
        <v>0</v>
      </c>
      <c r="L1893" s="1">
        <v>2</v>
      </c>
      <c r="M1893" s="1">
        <v>8120000</v>
      </c>
      <c r="O1893" s="1">
        <v>97</v>
      </c>
      <c r="P1893" s="1">
        <f t="shared" si="87"/>
        <v>0</v>
      </c>
      <c r="Q1893" s="1">
        <f t="shared" si="88"/>
        <v>0</v>
      </c>
      <c r="R1893" s="1" t="e">
        <f t="shared" si="89"/>
        <v>#DIV/0!</v>
      </c>
    </row>
    <row r="1894" spans="1:18">
      <c r="A1894" s="1">
        <v>2</v>
      </c>
      <c r="B1894" s="1" t="str">
        <f>"قطعات و لوازم يدكي"</f>
        <v>قطعات و لوازم يدكي</v>
      </c>
      <c r="C1894" s="1">
        <v>205</v>
      </c>
      <c r="D1894" s="1" t="str">
        <f>"انبار قطعات و لوازم يدكي بندرعباس"</f>
        <v>انبار قطعات و لوازم يدكي بندرعباس</v>
      </c>
      <c r="E1894" s="1" t="str">
        <f>"1800000334"</f>
        <v>1800000334</v>
      </c>
      <c r="F1894" s="1" t="str">
        <f>"دستکش جوشکاري"</f>
        <v>دستکش جوشکاري</v>
      </c>
      <c r="G1894" s="1" t="str">
        <f>"جفت"</f>
        <v>جفت</v>
      </c>
      <c r="H1894" s="1">
        <v>0</v>
      </c>
      <c r="I1894" s="1">
        <v>0</v>
      </c>
      <c r="J1894" s="1">
        <v>150</v>
      </c>
      <c r="K1894" s="1">
        <v>57100000</v>
      </c>
      <c r="L1894" s="1">
        <v>102</v>
      </c>
      <c r="M1894" s="1">
        <v>38380000</v>
      </c>
      <c r="O1894" s="1">
        <v>97</v>
      </c>
      <c r="P1894" s="4">
        <f t="shared" si="87"/>
        <v>18720000</v>
      </c>
      <c r="Q1894" s="4">
        <f t="shared" si="88"/>
        <v>48</v>
      </c>
      <c r="R1894" s="4">
        <f t="shared" si="89"/>
        <v>390000</v>
      </c>
    </row>
    <row r="1895" spans="1:18" hidden="1">
      <c r="A1895" s="1">
        <v>2</v>
      </c>
      <c r="B1895" s="1" t="str">
        <f>"قطعات و لوازم يدكي"</f>
        <v>قطعات و لوازم يدكي</v>
      </c>
      <c r="C1895" s="1">
        <v>205</v>
      </c>
      <c r="D1895" s="1" t="str">
        <f>"انبار قطعات و لوازم يدكي بندرعباس"</f>
        <v>انبار قطعات و لوازم يدكي بندرعباس</v>
      </c>
      <c r="E1895" s="1" t="str">
        <f>"1800000337"</f>
        <v>1800000337</v>
      </c>
      <c r="F1895" s="1" t="str">
        <f>"دستکش نصابي"</f>
        <v>دستکش نصابي</v>
      </c>
      <c r="G1895" s="1" t="str">
        <f>"جفت"</f>
        <v>جفت</v>
      </c>
      <c r="H1895" s="1">
        <v>3</v>
      </c>
      <c r="I1895" s="1">
        <v>600000</v>
      </c>
      <c r="J1895" s="1">
        <v>0</v>
      </c>
      <c r="K1895" s="1">
        <v>0</v>
      </c>
      <c r="L1895" s="1">
        <v>3</v>
      </c>
      <c r="M1895" s="1">
        <v>600000</v>
      </c>
      <c r="O1895" s="1">
        <v>97</v>
      </c>
      <c r="P1895" s="1">
        <f t="shared" si="87"/>
        <v>0</v>
      </c>
      <c r="Q1895" s="1">
        <f t="shared" si="88"/>
        <v>0</v>
      </c>
      <c r="R1895" s="1" t="e">
        <f t="shared" si="89"/>
        <v>#DIV/0!</v>
      </c>
    </row>
    <row r="1896" spans="1:18">
      <c r="A1896" s="1">
        <v>2</v>
      </c>
      <c r="B1896" s="1" t="str">
        <f>"قطعات و لوازم يدكي"</f>
        <v>قطعات و لوازم يدكي</v>
      </c>
      <c r="C1896" s="1">
        <v>205</v>
      </c>
      <c r="D1896" s="1" t="str">
        <f>"انبار قطعات و لوازم يدكي بندرعباس"</f>
        <v>انبار قطعات و لوازم يدكي بندرعباس</v>
      </c>
      <c r="E1896" s="1" t="str">
        <f>"1800000357"</f>
        <v>1800000357</v>
      </c>
      <c r="F1896" s="1" t="str">
        <f>"رله کامل با پايه فايندر"</f>
        <v>رله کامل با پايه فايندر</v>
      </c>
      <c r="G1896" s="1" t="str">
        <f>"عدد"</f>
        <v>عدد</v>
      </c>
      <c r="H1896" s="1">
        <v>5</v>
      </c>
      <c r="I1896" s="1">
        <v>1750000</v>
      </c>
      <c r="J1896" s="1">
        <v>0</v>
      </c>
      <c r="K1896" s="1">
        <v>0</v>
      </c>
      <c r="L1896" s="1">
        <v>0</v>
      </c>
      <c r="M1896" s="1">
        <v>0</v>
      </c>
      <c r="O1896" s="1">
        <v>97</v>
      </c>
      <c r="P1896" s="4">
        <f t="shared" si="87"/>
        <v>1750000</v>
      </c>
      <c r="Q1896" s="4">
        <f t="shared" si="88"/>
        <v>5</v>
      </c>
      <c r="R1896" s="4">
        <f t="shared" si="89"/>
        <v>350000</v>
      </c>
    </row>
    <row r="1897" spans="1:18">
      <c r="A1897" s="1">
        <v>2</v>
      </c>
      <c r="B1897" s="1" t="str">
        <f>"قطعات و لوازم يدكي"</f>
        <v>قطعات و لوازم يدكي</v>
      </c>
      <c r="C1897" s="1">
        <v>205</v>
      </c>
      <c r="D1897" s="1" t="str">
        <f>"انبار قطعات و لوازم يدكي بندرعباس"</f>
        <v>انبار قطعات و لوازم يدكي بندرعباس</v>
      </c>
      <c r="E1897" s="1" t="str">
        <f>"1800000367"</f>
        <v>1800000367</v>
      </c>
      <c r="F1897" s="1" t="str">
        <f>"روغن موتور ديزل کمپرسور"</f>
        <v>روغن موتور ديزل کمپرسور</v>
      </c>
      <c r="G1897" s="1" t="str">
        <f>"ليتر"</f>
        <v>ليتر</v>
      </c>
      <c r="H1897" s="1">
        <v>100</v>
      </c>
      <c r="I1897" s="1">
        <v>7000000</v>
      </c>
      <c r="J1897" s="1">
        <v>0</v>
      </c>
      <c r="K1897" s="1">
        <v>0</v>
      </c>
      <c r="L1897" s="1">
        <v>35</v>
      </c>
      <c r="M1897" s="1">
        <v>2450000</v>
      </c>
      <c r="O1897" s="1">
        <v>97</v>
      </c>
      <c r="P1897" s="4">
        <f t="shared" si="87"/>
        <v>4550000</v>
      </c>
      <c r="Q1897" s="4">
        <f t="shared" si="88"/>
        <v>65</v>
      </c>
      <c r="R1897" s="4">
        <f t="shared" si="89"/>
        <v>70000</v>
      </c>
    </row>
    <row r="1898" spans="1:18">
      <c r="A1898" s="1">
        <v>2</v>
      </c>
      <c r="B1898" s="1" t="str">
        <f>"قطعات و لوازم يدكي"</f>
        <v>قطعات و لوازم يدكي</v>
      </c>
      <c r="C1898" s="1">
        <v>205</v>
      </c>
      <c r="D1898" s="1" t="str">
        <f>"انبار قطعات و لوازم يدكي بندرعباس"</f>
        <v>انبار قطعات و لوازم يدكي بندرعباس</v>
      </c>
      <c r="E1898" s="1" t="str">
        <f>"1800000373"</f>
        <v>1800000373</v>
      </c>
      <c r="F1898" s="1" t="str">
        <f>"رول پلاک پلاستيکي 6"</f>
        <v>رول پلاک پلاستيکي 6</v>
      </c>
      <c r="G1898" s="1" t="str">
        <f>"بسته"</f>
        <v>بسته</v>
      </c>
      <c r="H1898" s="1">
        <v>2</v>
      </c>
      <c r="I1898" s="1">
        <v>100000</v>
      </c>
      <c r="J1898" s="1">
        <v>0</v>
      </c>
      <c r="K1898" s="1">
        <v>0</v>
      </c>
      <c r="L1898" s="1">
        <v>0</v>
      </c>
      <c r="M1898" s="1">
        <v>0</v>
      </c>
      <c r="O1898" s="1">
        <v>97</v>
      </c>
      <c r="P1898" s="4">
        <f t="shared" si="87"/>
        <v>100000</v>
      </c>
      <c r="Q1898" s="4">
        <f t="shared" si="88"/>
        <v>2</v>
      </c>
      <c r="R1898" s="4">
        <f t="shared" si="89"/>
        <v>50000</v>
      </c>
    </row>
    <row r="1899" spans="1:18">
      <c r="A1899" s="1">
        <v>2</v>
      </c>
      <c r="B1899" s="1" t="str">
        <f>"قطعات و لوازم يدكي"</f>
        <v>قطعات و لوازم يدكي</v>
      </c>
      <c r="C1899" s="1">
        <v>205</v>
      </c>
      <c r="D1899" s="1" t="str">
        <f>"انبار قطعات و لوازم يدكي بندرعباس"</f>
        <v>انبار قطعات و لوازم يدكي بندرعباس</v>
      </c>
      <c r="E1899" s="1" t="str">
        <f>"1800000388"</f>
        <v>1800000388</v>
      </c>
      <c r="F1899" s="1" t="str">
        <f>"زانويي pvc 45*90"</f>
        <v>زانويي pvc 45*90</v>
      </c>
      <c r="G1899" s="1" t="str">
        <f>"عدد"</f>
        <v>عدد</v>
      </c>
      <c r="H1899" s="1">
        <v>13</v>
      </c>
      <c r="I1899" s="1">
        <v>650000</v>
      </c>
      <c r="J1899" s="1">
        <v>0</v>
      </c>
      <c r="K1899" s="1">
        <v>0</v>
      </c>
      <c r="L1899" s="1">
        <v>0</v>
      </c>
      <c r="M1899" s="1">
        <v>0</v>
      </c>
      <c r="O1899" s="1">
        <v>97</v>
      </c>
      <c r="P1899" s="4">
        <f t="shared" si="87"/>
        <v>650000</v>
      </c>
      <c r="Q1899" s="4">
        <f t="shared" si="88"/>
        <v>13</v>
      </c>
      <c r="R1899" s="4">
        <f t="shared" si="89"/>
        <v>50000</v>
      </c>
    </row>
    <row r="1900" spans="1:18">
      <c r="A1900" s="1">
        <v>2</v>
      </c>
      <c r="B1900" s="1" t="str">
        <f>"قطعات و لوازم يدكي"</f>
        <v>قطعات و لوازم يدكي</v>
      </c>
      <c r="C1900" s="1">
        <v>205</v>
      </c>
      <c r="D1900" s="1" t="str">
        <f>"انبار قطعات و لوازم يدكي بندرعباس"</f>
        <v>انبار قطعات و لوازم يدكي بندرعباس</v>
      </c>
      <c r="E1900" s="1" t="str">
        <f>"1800000404"</f>
        <v>1800000404</v>
      </c>
      <c r="F1900" s="1" t="str">
        <f>"سه را سفيد آّب 32"</f>
        <v>سه را سفيد آّب 32</v>
      </c>
      <c r="G1900" s="1" t="str">
        <f>"عدد"</f>
        <v>عدد</v>
      </c>
      <c r="H1900" s="1">
        <v>1</v>
      </c>
      <c r="I1900" s="1">
        <v>50000</v>
      </c>
      <c r="J1900" s="1">
        <v>0</v>
      </c>
      <c r="K1900" s="1">
        <v>0</v>
      </c>
      <c r="L1900" s="1">
        <v>0</v>
      </c>
      <c r="M1900" s="1">
        <v>0</v>
      </c>
      <c r="O1900" s="1">
        <v>97</v>
      </c>
      <c r="P1900" s="4">
        <f t="shared" si="87"/>
        <v>50000</v>
      </c>
      <c r="Q1900" s="4">
        <f t="shared" si="88"/>
        <v>1</v>
      </c>
      <c r="R1900" s="4">
        <f t="shared" si="89"/>
        <v>50000</v>
      </c>
    </row>
    <row r="1901" spans="1:18">
      <c r="A1901" s="1">
        <v>2</v>
      </c>
      <c r="B1901" s="1" t="str">
        <f>"قطعات و لوازم يدكي"</f>
        <v>قطعات و لوازم يدكي</v>
      </c>
      <c r="C1901" s="1">
        <v>205</v>
      </c>
      <c r="D1901" s="1" t="str">
        <f>"انبار قطعات و لوازم يدكي بندرعباس"</f>
        <v>انبار قطعات و لوازم يدكي بندرعباس</v>
      </c>
      <c r="E1901" s="1" t="str">
        <f>"1800000405"</f>
        <v>1800000405</v>
      </c>
      <c r="F1901" s="1" t="str">
        <f>"سه راه سفيد آب 32"</f>
        <v>سه راه سفيد آب 32</v>
      </c>
      <c r="G1901" s="1" t="str">
        <f>"عدد"</f>
        <v>عدد</v>
      </c>
      <c r="H1901" s="1">
        <v>2</v>
      </c>
      <c r="I1901" s="1">
        <v>100000</v>
      </c>
      <c r="J1901" s="1">
        <v>0</v>
      </c>
      <c r="K1901" s="1">
        <v>0</v>
      </c>
      <c r="L1901" s="1">
        <v>0</v>
      </c>
      <c r="M1901" s="1">
        <v>0</v>
      </c>
      <c r="O1901" s="1">
        <v>97</v>
      </c>
      <c r="P1901" s="4">
        <f t="shared" si="87"/>
        <v>100000</v>
      </c>
      <c r="Q1901" s="4">
        <f t="shared" si="88"/>
        <v>2</v>
      </c>
      <c r="R1901" s="4">
        <f t="shared" si="89"/>
        <v>50000</v>
      </c>
    </row>
    <row r="1902" spans="1:18">
      <c r="A1902" s="1">
        <v>2</v>
      </c>
      <c r="B1902" s="1" t="str">
        <f>"قطعات و لوازم يدكي"</f>
        <v>قطعات و لوازم يدكي</v>
      </c>
      <c r="C1902" s="1">
        <v>205</v>
      </c>
      <c r="D1902" s="1" t="str">
        <f>"انبار قطعات و لوازم يدكي بندرعباس"</f>
        <v>انبار قطعات و لوازم يدكي بندرعباس</v>
      </c>
      <c r="E1902" s="1" t="str">
        <f>"1800000407"</f>
        <v>1800000407</v>
      </c>
      <c r="F1902" s="1" t="str">
        <f>"سه راه پي وي سي 63*63-90"</f>
        <v>سه راه پي وي سي 63*63-90</v>
      </c>
      <c r="G1902" s="1" t="str">
        <f>"عدد"</f>
        <v>عدد</v>
      </c>
      <c r="H1902" s="1">
        <v>3</v>
      </c>
      <c r="I1902" s="1">
        <v>300000</v>
      </c>
      <c r="J1902" s="1">
        <v>0</v>
      </c>
      <c r="K1902" s="1">
        <v>0</v>
      </c>
      <c r="L1902" s="1">
        <v>0</v>
      </c>
      <c r="M1902" s="1">
        <v>0</v>
      </c>
      <c r="O1902" s="1">
        <v>97</v>
      </c>
      <c r="P1902" s="4">
        <f t="shared" si="87"/>
        <v>300000</v>
      </c>
      <c r="Q1902" s="4">
        <f t="shared" si="88"/>
        <v>3</v>
      </c>
      <c r="R1902" s="4">
        <f t="shared" si="89"/>
        <v>100000</v>
      </c>
    </row>
    <row r="1903" spans="1:18" hidden="1">
      <c r="A1903" s="1">
        <v>2</v>
      </c>
      <c r="B1903" s="1" t="str">
        <f>"قطعات و لوازم يدكي"</f>
        <v>قطعات و لوازم يدكي</v>
      </c>
      <c r="C1903" s="1">
        <v>205</v>
      </c>
      <c r="D1903" s="1" t="str">
        <f>"انبار قطعات و لوازم يدكي بندرعباس"</f>
        <v>انبار قطعات و لوازم يدكي بندرعباس</v>
      </c>
      <c r="E1903" s="1" t="str">
        <f>"1800000413"</f>
        <v>1800000413</v>
      </c>
      <c r="F1903" s="1" t="str">
        <f>"سوکت مادگي کاهنده سه فاز 63"</f>
        <v>سوکت مادگي کاهنده سه فاز 63</v>
      </c>
      <c r="G1903" s="1" t="str">
        <f>"عدد"</f>
        <v>عدد</v>
      </c>
      <c r="H1903" s="1">
        <v>1</v>
      </c>
      <c r="I1903" s="1">
        <v>320000</v>
      </c>
      <c r="J1903" s="1">
        <v>0</v>
      </c>
      <c r="K1903" s="1">
        <v>0</v>
      </c>
      <c r="L1903" s="1">
        <v>1</v>
      </c>
      <c r="M1903" s="1">
        <v>320000</v>
      </c>
      <c r="O1903" s="1">
        <v>97</v>
      </c>
      <c r="P1903" s="1">
        <f t="shared" si="87"/>
        <v>0</v>
      </c>
      <c r="Q1903" s="1">
        <f t="shared" si="88"/>
        <v>0</v>
      </c>
      <c r="R1903" s="1" t="e">
        <f t="shared" si="89"/>
        <v>#DIV/0!</v>
      </c>
    </row>
    <row r="1904" spans="1:18">
      <c r="A1904" s="1">
        <v>2</v>
      </c>
      <c r="B1904" s="1" t="str">
        <f>"قطعات و لوازم يدكي"</f>
        <v>قطعات و لوازم يدكي</v>
      </c>
      <c r="C1904" s="1">
        <v>205</v>
      </c>
      <c r="D1904" s="1" t="str">
        <f>"انبار قطعات و لوازم يدكي بندرعباس"</f>
        <v>انبار قطعات و لوازم يدكي بندرعباس</v>
      </c>
      <c r="E1904" s="1" t="str">
        <f>"1800000414"</f>
        <v>1800000414</v>
      </c>
      <c r="F1904" s="1" t="str">
        <f>"سيت و فيس کامل 95"</f>
        <v>سيت و فيس کامل 95</v>
      </c>
      <c r="G1904" s="1" t="str">
        <f>"ST"</f>
        <v>ST</v>
      </c>
      <c r="H1904" s="1">
        <v>4</v>
      </c>
      <c r="I1904" s="1">
        <v>192000000</v>
      </c>
      <c r="J1904" s="1">
        <v>0</v>
      </c>
      <c r="K1904" s="1">
        <v>0</v>
      </c>
      <c r="L1904" s="1">
        <v>0</v>
      </c>
      <c r="M1904" s="1">
        <v>0</v>
      </c>
      <c r="O1904" s="1">
        <v>97</v>
      </c>
      <c r="P1904" s="4">
        <f t="shared" si="87"/>
        <v>192000000</v>
      </c>
      <c r="Q1904" s="4">
        <f t="shared" si="88"/>
        <v>4</v>
      </c>
      <c r="R1904" s="4">
        <f t="shared" si="89"/>
        <v>48000000</v>
      </c>
    </row>
    <row r="1905" spans="1:18">
      <c r="A1905" s="1">
        <v>2</v>
      </c>
      <c r="B1905" s="1" t="str">
        <f>"قطعات و لوازم يدكي"</f>
        <v>قطعات و لوازم يدكي</v>
      </c>
      <c r="C1905" s="1">
        <v>205</v>
      </c>
      <c r="D1905" s="1" t="str">
        <f>"انبار قطعات و لوازم يدكي بندرعباس"</f>
        <v>انبار قطعات و لوازم يدكي بندرعباس</v>
      </c>
      <c r="E1905" s="1" t="str">
        <f>"1800000415"</f>
        <v>1800000415</v>
      </c>
      <c r="F1905" s="1" t="str">
        <f>"سيت و فيس و اورينگ پمپ"</f>
        <v>سيت و فيس و اورينگ پمپ</v>
      </c>
      <c r="G1905" s="1" t="str">
        <f>"عدد"</f>
        <v>عدد</v>
      </c>
      <c r="H1905" s="1">
        <v>6</v>
      </c>
      <c r="I1905" s="1">
        <v>90000000</v>
      </c>
      <c r="J1905" s="1">
        <v>0</v>
      </c>
      <c r="K1905" s="1">
        <v>0</v>
      </c>
      <c r="L1905" s="1">
        <v>1</v>
      </c>
      <c r="M1905" s="1">
        <v>15000000</v>
      </c>
      <c r="O1905" s="1">
        <v>97</v>
      </c>
      <c r="P1905" s="4">
        <f t="shared" si="87"/>
        <v>75000000</v>
      </c>
      <c r="Q1905" s="4">
        <f t="shared" si="88"/>
        <v>5</v>
      </c>
      <c r="R1905" s="4">
        <f t="shared" si="89"/>
        <v>15000000</v>
      </c>
    </row>
    <row r="1906" spans="1:18">
      <c r="A1906" s="1">
        <v>2</v>
      </c>
      <c r="B1906" s="1" t="str">
        <f>"قطعات و لوازم يدكي"</f>
        <v>قطعات و لوازم يدكي</v>
      </c>
      <c r="C1906" s="1">
        <v>205</v>
      </c>
      <c r="D1906" s="1" t="str">
        <f>"انبار قطعات و لوازم يدكي بندرعباس"</f>
        <v>انبار قطعات و لوازم يدكي بندرعباس</v>
      </c>
      <c r="E1906" s="1" t="str">
        <f>"1800000438"</f>
        <v>1800000438</v>
      </c>
      <c r="F1906" s="1" t="str">
        <f>"شير برقي پيلوت"</f>
        <v>شير برقي پيلوت</v>
      </c>
      <c r="G1906" s="1" t="str">
        <f>"عدد"</f>
        <v>عدد</v>
      </c>
      <c r="H1906" s="1">
        <v>5</v>
      </c>
      <c r="I1906" s="1">
        <v>22500000</v>
      </c>
      <c r="J1906" s="1">
        <v>0</v>
      </c>
      <c r="K1906" s="1">
        <v>0</v>
      </c>
      <c r="L1906" s="1">
        <v>1</v>
      </c>
      <c r="M1906" s="1">
        <v>4500000</v>
      </c>
      <c r="O1906" s="1">
        <v>97</v>
      </c>
      <c r="P1906" s="4">
        <f t="shared" si="87"/>
        <v>18000000</v>
      </c>
      <c r="Q1906" s="4">
        <f t="shared" si="88"/>
        <v>4</v>
      </c>
      <c r="R1906" s="4">
        <f t="shared" si="89"/>
        <v>4500000</v>
      </c>
    </row>
    <row r="1907" spans="1:18">
      <c r="A1907" s="1">
        <v>2</v>
      </c>
      <c r="B1907" s="1" t="str">
        <f>"قطعات و لوازم يدكي"</f>
        <v>قطعات و لوازم يدكي</v>
      </c>
      <c r="C1907" s="1">
        <v>205</v>
      </c>
      <c r="D1907" s="1" t="str">
        <f>"انبار قطعات و لوازم يدكي بندرعباس"</f>
        <v>انبار قطعات و لوازم يدكي بندرعباس</v>
      </c>
      <c r="E1907" s="1" t="str">
        <f>"1800000454"</f>
        <v>1800000454</v>
      </c>
      <c r="F1907" s="1" t="str">
        <f>"صفحه سنگ ساب 6"</f>
        <v>صفحه سنگ ساب 6</v>
      </c>
      <c r="G1907" s="1" t="str">
        <f>"عدد"</f>
        <v>عدد</v>
      </c>
      <c r="H1907" s="1">
        <v>7</v>
      </c>
      <c r="I1907" s="1">
        <v>140000</v>
      </c>
      <c r="J1907" s="1">
        <v>0</v>
      </c>
      <c r="K1907" s="1">
        <v>0</v>
      </c>
      <c r="L1907" s="1">
        <v>3</v>
      </c>
      <c r="M1907" s="1">
        <v>60000</v>
      </c>
      <c r="O1907" s="1">
        <v>97</v>
      </c>
      <c r="P1907" s="4">
        <f t="shared" si="87"/>
        <v>80000</v>
      </c>
      <c r="Q1907" s="4">
        <f t="shared" si="88"/>
        <v>4</v>
      </c>
      <c r="R1907" s="4">
        <f t="shared" si="89"/>
        <v>20000</v>
      </c>
    </row>
    <row r="1908" spans="1:18">
      <c r="A1908" s="1">
        <v>2</v>
      </c>
      <c r="B1908" s="1" t="str">
        <f>"قطعات و لوازم يدكي"</f>
        <v>قطعات و لوازم يدكي</v>
      </c>
      <c r="C1908" s="1">
        <v>205</v>
      </c>
      <c r="D1908" s="1" t="str">
        <f>"انبار قطعات و لوازم يدكي بندرعباس"</f>
        <v>انبار قطعات و لوازم يدكي بندرعباس</v>
      </c>
      <c r="E1908" s="1" t="str">
        <f>"1800000457"</f>
        <v>1800000457</v>
      </c>
      <c r="F1908" s="1" t="str">
        <f>"صفحه سنگ برش ميني3"</f>
        <v>صفحه سنگ برش ميني3</v>
      </c>
      <c r="G1908" s="1" t="str">
        <f>"عدد"</f>
        <v>عدد</v>
      </c>
      <c r="H1908" s="1">
        <v>90</v>
      </c>
      <c r="I1908" s="1">
        <v>1800000</v>
      </c>
      <c r="J1908" s="1">
        <v>10</v>
      </c>
      <c r="K1908" s="1">
        <v>400000</v>
      </c>
      <c r="L1908" s="1">
        <v>12</v>
      </c>
      <c r="M1908" s="1">
        <v>264000</v>
      </c>
      <c r="O1908" s="1">
        <v>97</v>
      </c>
      <c r="P1908" s="4">
        <f t="shared" si="87"/>
        <v>1936000</v>
      </c>
      <c r="Q1908" s="4">
        <f t="shared" si="88"/>
        <v>88</v>
      </c>
      <c r="R1908" s="4">
        <f t="shared" si="89"/>
        <v>22000</v>
      </c>
    </row>
    <row r="1909" spans="1:18">
      <c r="A1909" s="1">
        <v>2</v>
      </c>
      <c r="B1909" s="1" t="str">
        <f>"قطعات و لوازم يدكي"</f>
        <v>قطعات و لوازم يدكي</v>
      </c>
      <c r="C1909" s="1">
        <v>205</v>
      </c>
      <c r="D1909" s="1" t="str">
        <f>"انبار قطعات و لوازم يدكي بندرعباس"</f>
        <v>انبار قطعات و لوازم يدكي بندرعباس</v>
      </c>
      <c r="E1909" s="1" t="str">
        <f>"1800000469"</f>
        <v>1800000469</v>
      </c>
      <c r="F1909" s="1" t="str">
        <f>"فلنج ترموول ويکا 1"</f>
        <v>فلنج ترموول ويکا 1</v>
      </c>
      <c r="G1909" s="1" t="str">
        <f>"عدد"</f>
        <v>عدد</v>
      </c>
      <c r="H1909" s="1">
        <v>5</v>
      </c>
      <c r="I1909" s="1">
        <v>50000000</v>
      </c>
      <c r="J1909" s="1">
        <v>0</v>
      </c>
      <c r="K1909" s="1">
        <v>0</v>
      </c>
      <c r="L1909" s="1">
        <v>0</v>
      </c>
      <c r="M1909" s="1">
        <v>0</v>
      </c>
      <c r="O1909" s="1">
        <v>97</v>
      </c>
      <c r="P1909" s="4">
        <f t="shared" si="87"/>
        <v>50000000</v>
      </c>
      <c r="Q1909" s="4">
        <f t="shared" si="88"/>
        <v>5</v>
      </c>
      <c r="R1909" s="4">
        <f t="shared" si="89"/>
        <v>10000000</v>
      </c>
    </row>
    <row r="1910" spans="1:18">
      <c r="A1910" s="1">
        <v>2</v>
      </c>
      <c r="B1910" s="1" t="str">
        <f>"قطعات و لوازم يدكي"</f>
        <v>قطعات و لوازم يدكي</v>
      </c>
      <c r="C1910" s="1">
        <v>205</v>
      </c>
      <c r="D1910" s="1" t="str">
        <f>"انبار قطعات و لوازم يدكي بندرعباس"</f>
        <v>انبار قطعات و لوازم يدكي بندرعباس</v>
      </c>
      <c r="E1910" s="1" t="str">
        <f>"1800000478"</f>
        <v>1800000478</v>
      </c>
      <c r="F1910" s="1" t="str">
        <f>"فيلتر روغن-گازوئيل"</f>
        <v>فيلتر روغن-گازوئيل</v>
      </c>
      <c r="G1910" s="1" t="str">
        <f>"عدد"</f>
        <v>عدد</v>
      </c>
      <c r="H1910" s="1">
        <v>3</v>
      </c>
      <c r="I1910" s="1">
        <v>2040000</v>
      </c>
      <c r="J1910" s="1">
        <v>0</v>
      </c>
      <c r="K1910" s="1">
        <v>0</v>
      </c>
      <c r="L1910" s="1">
        <v>1</v>
      </c>
      <c r="M1910" s="1">
        <v>680000</v>
      </c>
      <c r="O1910" s="1">
        <v>97</v>
      </c>
      <c r="P1910" s="4">
        <f t="shared" si="87"/>
        <v>1360000</v>
      </c>
      <c r="Q1910" s="4">
        <f t="shared" si="88"/>
        <v>2</v>
      </c>
      <c r="R1910" s="4">
        <f t="shared" si="89"/>
        <v>680000</v>
      </c>
    </row>
    <row r="1911" spans="1:18">
      <c r="A1911" s="1">
        <v>2</v>
      </c>
      <c r="B1911" s="1" t="str">
        <f>"قطعات و لوازم يدكي"</f>
        <v>قطعات و لوازم يدكي</v>
      </c>
      <c r="C1911" s="1">
        <v>205</v>
      </c>
      <c r="D1911" s="1" t="str">
        <f>"انبار قطعات و لوازم يدكي بندرعباس"</f>
        <v>انبار قطعات و لوازم يدكي بندرعباس</v>
      </c>
      <c r="E1911" s="1" t="str">
        <f>"1800000483"</f>
        <v>1800000483</v>
      </c>
      <c r="F1911" s="1" t="str">
        <f>"فيلتر سپراتور کمپرسور هوا"</f>
        <v>فيلتر سپراتور کمپرسور هوا</v>
      </c>
      <c r="G1911" s="1" t="str">
        <f>"عدد"</f>
        <v>عدد</v>
      </c>
      <c r="H1911" s="1">
        <v>10</v>
      </c>
      <c r="I1911" s="1">
        <v>42000000</v>
      </c>
      <c r="J1911" s="1">
        <v>0</v>
      </c>
      <c r="K1911" s="1">
        <v>0</v>
      </c>
      <c r="L1911" s="1">
        <v>1</v>
      </c>
      <c r="M1911" s="1">
        <v>4200000</v>
      </c>
      <c r="O1911" s="1">
        <v>97</v>
      </c>
      <c r="P1911" s="4">
        <f t="shared" si="87"/>
        <v>37800000</v>
      </c>
      <c r="Q1911" s="4">
        <f t="shared" si="88"/>
        <v>9</v>
      </c>
      <c r="R1911" s="4">
        <f t="shared" si="89"/>
        <v>4200000</v>
      </c>
    </row>
    <row r="1912" spans="1:18" hidden="1">
      <c r="A1912" s="1">
        <v>2</v>
      </c>
      <c r="B1912" s="1" t="str">
        <f>"قطعات و لوازم يدكي"</f>
        <v>قطعات و لوازم يدكي</v>
      </c>
      <c r="C1912" s="1">
        <v>205</v>
      </c>
      <c r="D1912" s="1" t="str">
        <f>"انبار قطعات و لوازم يدكي بندرعباس"</f>
        <v>انبار قطعات و لوازم يدكي بندرعباس</v>
      </c>
      <c r="E1912" s="1" t="str">
        <f>"1800000500"</f>
        <v>1800000500</v>
      </c>
      <c r="F1912" s="1" t="str">
        <f>"قفل آويز"</f>
        <v>قفل آويز</v>
      </c>
      <c r="G1912" s="1" t="str">
        <f>"عدد"</f>
        <v>عدد</v>
      </c>
      <c r="H1912" s="1">
        <v>1</v>
      </c>
      <c r="I1912" s="1">
        <v>350000</v>
      </c>
      <c r="J1912" s="1">
        <v>0</v>
      </c>
      <c r="K1912" s="1">
        <v>0</v>
      </c>
      <c r="L1912" s="1">
        <v>1</v>
      </c>
      <c r="M1912" s="1">
        <v>350000</v>
      </c>
      <c r="O1912" s="1">
        <v>97</v>
      </c>
      <c r="P1912" s="1">
        <f t="shared" si="87"/>
        <v>0</v>
      </c>
      <c r="Q1912" s="1">
        <f t="shared" si="88"/>
        <v>0</v>
      </c>
      <c r="R1912" s="1" t="e">
        <f t="shared" si="89"/>
        <v>#DIV/0!</v>
      </c>
    </row>
    <row r="1913" spans="1:18" hidden="1">
      <c r="A1913" s="1">
        <v>2</v>
      </c>
      <c r="B1913" s="1" t="str">
        <f>"قطعات و لوازم يدكي"</f>
        <v>قطعات و لوازم يدكي</v>
      </c>
      <c r="C1913" s="1">
        <v>205</v>
      </c>
      <c r="D1913" s="1" t="str">
        <f>"انبار قطعات و لوازم يدكي بندرعباس"</f>
        <v>انبار قطعات و لوازم يدكي بندرعباس</v>
      </c>
      <c r="E1913" s="1" t="str">
        <f>"1800000521"</f>
        <v>1800000521</v>
      </c>
      <c r="F1913" s="1" t="str">
        <f>"کابلشو فلزي 35"</f>
        <v>کابلشو فلزي 35</v>
      </c>
      <c r="G1913" s="1" t="str">
        <f>"عدد"</f>
        <v>عدد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O1913" s="1">
        <v>97</v>
      </c>
      <c r="P1913" s="1">
        <f t="shared" si="87"/>
        <v>0</v>
      </c>
      <c r="Q1913" s="1">
        <f t="shared" si="88"/>
        <v>0</v>
      </c>
      <c r="R1913" s="1" t="e">
        <f t="shared" si="89"/>
        <v>#DIV/0!</v>
      </c>
    </row>
    <row r="1914" spans="1:18" hidden="1">
      <c r="A1914" s="1">
        <v>2</v>
      </c>
      <c r="B1914" s="1" t="str">
        <f>"قطعات و لوازم يدكي"</f>
        <v>قطعات و لوازم يدكي</v>
      </c>
      <c r="C1914" s="1">
        <v>205</v>
      </c>
      <c r="D1914" s="1" t="str">
        <f>"انبار قطعات و لوازم يدكي بندرعباس"</f>
        <v>انبار قطعات و لوازم يدكي بندرعباس</v>
      </c>
      <c r="E1914" s="1" t="str">
        <f>"1800000522"</f>
        <v>1800000522</v>
      </c>
      <c r="F1914" s="1" t="str">
        <f>"کاسه برس ميني افشان"</f>
        <v>کاسه برس ميني افشان</v>
      </c>
      <c r="G1914" s="1" t="str">
        <f>"عدد"</f>
        <v>عدد</v>
      </c>
      <c r="H1914" s="1">
        <v>2</v>
      </c>
      <c r="I1914" s="1">
        <v>160000</v>
      </c>
      <c r="J1914" s="1">
        <v>0</v>
      </c>
      <c r="K1914" s="1">
        <v>0</v>
      </c>
      <c r="L1914" s="1">
        <v>2</v>
      </c>
      <c r="M1914" s="1">
        <v>160000</v>
      </c>
      <c r="O1914" s="1">
        <v>97</v>
      </c>
      <c r="P1914" s="1">
        <f t="shared" si="87"/>
        <v>0</v>
      </c>
      <c r="Q1914" s="1">
        <f t="shared" si="88"/>
        <v>0</v>
      </c>
      <c r="R1914" s="1" t="e">
        <f t="shared" si="89"/>
        <v>#DIV/0!</v>
      </c>
    </row>
    <row r="1915" spans="1:18">
      <c r="A1915" s="1">
        <v>2</v>
      </c>
      <c r="B1915" s="1" t="str">
        <f>"قطعات و لوازم يدكي"</f>
        <v>قطعات و لوازم يدكي</v>
      </c>
      <c r="C1915" s="1">
        <v>205</v>
      </c>
      <c r="D1915" s="1" t="str">
        <f>"انبار قطعات و لوازم يدكي بندرعباس"</f>
        <v>انبار قطعات و لوازم يدكي بندرعباس</v>
      </c>
      <c r="E1915" s="1" t="str">
        <f>"1800000540"</f>
        <v>1800000540</v>
      </c>
      <c r="F1915" s="1" t="str">
        <f>"کليد سلکتوري بريمز"</f>
        <v>کليد سلکتوري بريمز</v>
      </c>
      <c r="G1915" s="1" t="str">
        <f>"عدد"</f>
        <v>عدد</v>
      </c>
      <c r="H1915" s="1">
        <v>4</v>
      </c>
      <c r="I1915" s="1">
        <v>3400000</v>
      </c>
      <c r="J1915" s="1">
        <v>0</v>
      </c>
      <c r="K1915" s="1">
        <v>0</v>
      </c>
      <c r="L1915" s="1">
        <v>0</v>
      </c>
      <c r="M1915" s="1">
        <v>0</v>
      </c>
      <c r="O1915" s="1">
        <v>97</v>
      </c>
      <c r="P1915" s="4">
        <f t="shared" si="87"/>
        <v>3400000</v>
      </c>
      <c r="Q1915" s="4">
        <f t="shared" si="88"/>
        <v>4</v>
      </c>
      <c r="R1915" s="4">
        <f t="shared" si="89"/>
        <v>850000</v>
      </c>
    </row>
    <row r="1916" spans="1:18">
      <c r="A1916" s="1">
        <v>2</v>
      </c>
      <c r="B1916" s="1" t="str">
        <f>"قطعات و لوازم يدكي"</f>
        <v>قطعات و لوازم يدكي</v>
      </c>
      <c r="C1916" s="1">
        <v>205</v>
      </c>
      <c r="D1916" s="1" t="str">
        <f>"انبار قطعات و لوازم يدكي بندرعباس"</f>
        <v>انبار قطعات و لوازم يدكي بندرعباس</v>
      </c>
      <c r="E1916" s="1" t="str">
        <f>"1800000542"</f>
        <v>1800000542</v>
      </c>
      <c r="F1916" s="1" t="str">
        <f>"کليد سوئيچ قفلدار اشنايدر"</f>
        <v>کليد سوئيچ قفلدار اشنايدر</v>
      </c>
      <c r="G1916" s="1" t="str">
        <f>"عدد"</f>
        <v>عدد</v>
      </c>
      <c r="H1916" s="1">
        <v>4</v>
      </c>
      <c r="I1916" s="1">
        <v>11600000</v>
      </c>
      <c r="J1916" s="1">
        <v>0</v>
      </c>
      <c r="K1916" s="1">
        <v>0</v>
      </c>
      <c r="L1916" s="1">
        <v>1</v>
      </c>
      <c r="M1916" s="1">
        <v>2900000</v>
      </c>
      <c r="O1916" s="1">
        <v>97</v>
      </c>
      <c r="P1916" s="4">
        <f t="shared" si="87"/>
        <v>8700000</v>
      </c>
      <c r="Q1916" s="4">
        <f t="shared" si="88"/>
        <v>3</v>
      </c>
      <c r="R1916" s="4">
        <f t="shared" si="89"/>
        <v>2900000</v>
      </c>
    </row>
    <row r="1917" spans="1:18">
      <c r="A1917" s="1">
        <v>2</v>
      </c>
      <c r="B1917" s="1" t="str">
        <f>"قطعات و لوازم يدكي"</f>
        <v>قطعات و لوازم يدكي</v>
      </c>
      <c r="C1917" s="1">
        <v>205</v>
      </c>
      <c r="D1917" s="1" t="str">
        <f>"انبار قطعات و لوازم يدكي بندرعباس"</f>
        <v>انبار قطعات و لوازم يدكي بندرعباس</v>
      </c>
      <c r="E1917" s="1" t="str">
        <f>"1800000552"</f>
        <v>1800000552</v>
      </c>
      <c r="F1917" s="1" t="str">
        <f>"کنتاکتور اشنايدر 25"</f>
        <v>کنتاکتور اشنايدر 25</v>
      </c>
      <c r="G1917" s="1" t="str">
        <f>"عدد"</f>
        <v>عدد</v>
      </c>
      <c r="H1917" s="1">
        <v>4</v>
      </c>
      <c r="I1917" s="1">
        <v>4000000</v>
      </c>
      <c r="J1917" s="1">
        <v>0</v>
      </c>
      <c r="K1917" s="1">
        <v>0</v>
      </c>
      <c r="L1917" s="1">
        <v>1</v>
      </c>
      <c r="M1917" s="1">
        <v>1000000</v>
      </c>
      <c r="O1917" s="1">
        <v>97</v>
      </c>
      <c r="P1917" s="4">
        <f t="shared" si="87"/>
        <v>3000000</v>
      </c>
      <c r="Q1917" s="4">
        <f t="shared" si="88"/>
        <v>3</v>
      </c>
      <c r="R1917" s="4">
        <f t="shared" si="89"/>
        <v>1000000</v>
      </c>
    </row>
    <row r="1918" spans="1:18">
      <c r="A1918" s="1">
        <v>2</v>
      </c>
      <c r="B1918" s="1" t="str">
        <f>"قطعات و لوازم يدكي"</f>
        <v>قطعات و لوازم يدكي</v>
      </c>
      <c r="C1918" s="1">
        <v>205</v>
      </c>
      <c r="D1918" s="1" t="str">
        <f>"انبار قطعات و لوازم يدكي بندرعباس"</f>
        <v>انبار قطعات و لوازم يدكي بندرعباس</v>
      </c>
      <c r="E1918" s="1" t="str">
        <f>"1800000559"</f>
        <v>1800000559</v>
      </c>
      <c r="F1918" s="1" t="str">
        <f>"کوپلينگ 3/4-1"</f>
        <v>کوپلينگ 3/4-1</v>
      </c>
      <c r="G1918" s="1" t="str">
        <f>"عدد"</f>
        <v>عدد</v>
      </c>
      <c r="H1918" s="1">
        <v>180</v>
      </c>
      <c r="I1918" s="1">
        <v>7781040</v>
      </c>
      <c r="J1918" s="1">
        <v>0</v>
      </c>
      <c r="K1918" s="1">
        <v>0</v>
      </c>
      <c r="L1918" s="1">
        <v>0</v>
      </c>
      <c r="M1918" s="1">
        <v>0</v>
      </c>
      <c r="O1918" s="1">
        <v>97</v>
      </c>
      <c r="P1918" s="4">
        <f t="shared" si="87"/>
        <v>7781040</v>
      </c>
      <c r="Q1918" s="4">
        <f t="shared" si="88"/>
        <v>180</v>
      </c>
      <c r="R1918" s="4">
        <f t="shared" si="89"/>
        <v>43228</v>
      </c>
    </row>
    <row r="1919" spans="1:18">
      <c r="A1919" s="1">
        <v>2</v>
      </c>
      <c r="B1919" s="1" t="str">
        <f>"قطعات و لوازم يدكي"</f>
        <v>قطعات و لوازم يدكي</v>
      </c>
      <c r="C1919" s="1">
        <v>205</v>
      </c>
      <c r="D1919" s="1" t="str">
        <f>"انبار قطعات و لوازم يدكي بندرعباس"</f>
        <v>انبار قطعات و لوازم يدكي بندرعباس</v>
      </c>
      <c r="E1919" s="1" t="str">
        <f>"1800000575"</f>
        <v>1800000575</v>
      </c>
      <c r="F1919" s="1" t="str">
        <f>"گسکت فلزي 5"</f>
        <v>گسکت فلزي 5</v>
      </c>
      <c r="G1919" s="1" t="str">
        <f>"عدد"</f>
        <v>عدد</v>
      </c>
      <c r="H1919" s="1">
        <v>9</v>
      </c>
      <c r="I1919" s="1">
        <v>2430000</v>
      </c>
      <c r="J1919" s="1">
        <v>0</v>
      </c>
      <c r="K1919" s="1">
        <v>0</v>
      </c>
      <c r="L1919" s="1">
        <v>0</v>
      </c>
      <c r="M1919" s="1">
        <v>0</v>
      </c>
      <c r="O1919" s="1">
        <v>97</v>
      </c>
      <c r="P1919" s="4">
        <f t="shared" si="87"/>
        <v>2430000</v>
      </c>
      <c r="Q1919" s="4">
        <f t="shared" si="88"/>
        <v>9</v>
      </c>
      <c r="R1919" s="4">
        <f t="shared" si="89"/>
        <v>270000</v>
      </c>
    </row>
    <row r="1920" spans="1:18">
      <c r="A1920" s="1">
        <v>2</v>
      </c>
      <c r="B1920" s="1" t="str">
        <f>"قطعات و لوازم يدكي"</f>
        <v>قطعات و لوازم يدكي</v>
      </c>
      <c r="C1920" s="1">
        <v>205</v>
      </c>
      <c r="D1920" s="1" t="str">
        <f>"انبار قطعات و لوازم يدكي بندرعباس"</f>
        <v>انبار قطعات و لوازم يدكي بندرعباس</v>
      </c>
      <c r="E1920" s="1" t="str">
        <f>"1800000582"</f>
        <v>1800000582</v>
      </c>
      <c r="F1920" s="1" t="str">
        <f>"گسکت کاغذي 4"</f>
        <v>گسکت کاغذي 4</v>
      </c>
      <c r="G1920" s="1" t="str">
        <f>"عدد"</f>
        <v>عدد</v>
      </c>
      <c r="H1920" s="1">
        <v>37</v>
      </c>
      <c r="I1920" s="1">
        <v>8362000</v>
      </c>
      <c r="J1920" s="1">
        <v>0</v>
      </c>
      <c r="K1920" s="1">
        <v>0</v>
      </c>
      <c r="L1920" s="1">
        <v>0</v>
      </c>
      <c r="M1920" s="1">
        <v>0</v>
      </c>
      <c r="O1920" s="1">
        <v>97</v>
      </c>
      <c r="P1920" s="4">
        <f t="shared" si="87"/>
        <v>8362000</v>
      </c>
      <c r="Q1920" s="4">
        <f t="shared" si="88"/>
        <v>37</v>
      </c>
      <c r="R1920" s="4">
        <f t="shared" si="89"/>
        <v>226000</v>
      </c>
    </row>
    <row r="1921" spans="1:18">
      <c r="A1921" s="1">
        <v>2</v>
      </c>
      <c r="B1921" s="1" t="str">
        <f>"قطعات و لوازم يدكي"</f>
        <v>قطعات و لوازم يدكي</v>
      </c>
      <c r="C1921" s="1">
        <v>205</v>
      </c>
      <c r="D1921" s="1" t="str">
        <f>"انبار قطعات و لوازم يدكي بندرعباس"</f>
        <v>انبار قطعات و لوازم يدكي بندرعباس</v>
      </c>
      <c r="E1921" s="1" t="str">
        <f>"1800000590"</f>
        <v>1800000590</v>
      </c>
      <c r="F1921" s="1" t="str">
        <f>"گلند 13"</f>
        <v>گلند 13</v>
      </c>
      <c r="G1921" s="1" t="str">
        <f>"عدد"</f>
        <v>عدد</v>
      </c>
      <c r="H1921" s="1">
        <v>6</v>
      </c>
      <c r="I1921" s="1">
        <v>30000</v>
      </c>
      <c r="J1921" s="1">
        <v>0</v>
      </c>
      <c r="K1921" s="1">
        <v>0</v>
      </c>
      <c r="L1921" s="1">
        <v>5</v>
      </c>
      <c r="M1921" s="1">
        <v>25000</v>
      </c>
      <c r="O1921" s="1">
        <v>97</v>
      </c>
      <c r="P1921" s="4">
        <f t="shared" si="87"/>
        <v>5000</v>
      </c>
      <c r="Q1921" s="4">
        <f t="shared" si="88"/>
        <v>1</v>
      </c>
      <c r="R1921" s="4">
        <f t="shared" si="89"/>
        <v>5000</v>
      </c>
    </row>
    <row r="1922" spans="1:18">
      <c r="A1922" s="1">
        <v>2</v>
      </c>
      <c r="B1922" s="1" t="str">
        <f>"قطعات و لوازم يدكي"</f>
        <v>قطعات و لوازم يدكي</v>
      </c>
      <c r="C1922" s="1">
        <v>205</v>
      </c>
      <c r="D1922" s="1" t="str">
        <f>"انبار قطعات و لوازم يدكي بندرعباس"</f>
        <v>انبار قطعات و لوازم يدكي بندرعباس</v>
      </c>
      <c r="E1922" s="1" t="str">
        <f>"1800000592"</f>
        <v>1800000592</v>
      </c>
      <c r="F1922" s="1" t="str">
        <f>"گلند پلاستيکي 21"</f>
        <v>گلند پلاستيکي 21</v>
      </c>
      <c r="G1922" s="1" t="str">
        <f>"عدد"</f>
        <v>عدد</v>
      </c>
      <c r="H1922" s="1">
        <v>63</v>
      </c>
      <c r="I1922" s="1">
        <v>504000</v>
      </c>
      <c r="J1922" s="1">
        <v>0</v>
      </c>
      <c r="K1922" s="1">
        <v>0</v>
      </c>
      <c r="L1922" s="1">
        <v>0</v>
      </c>
      <c r="M1922" s="1">
        <v>0</v>
      </c>
      <c r="O1922" s="1">
        <v>97</v>
      </c>
      <c r="P1922" s="4">
        <f t="shared" si="87"/>
        <v>504000</v>
      </c>
      <c r="Q1922" s="4">
        <f t="shared" si="88"/>
        <v>63</v>
      </c>
      <c r="R1922" s="4">
        <f t="shared" si="89"/>
        <v>8000</v>
      </c>
    </row>
    <row r="1923" spans="1:18">
      <c r="A1923" s="1">
        <v>2</v>
      </c>
      <c r="B1923" s="1" t="str">
        <f>"قطعات و لوازم يدكي"</f>
        <v>قطعات و لوازم يدكي</v>
      </c>
      <c r="C1923" s="1">
        <v>205</v>
      </c>
      <c r="D1923" s="1" t="str">
        <f>"انبار قطعات و لوازم يدكي بندرعباس"</f>
        <v>انبار قطعات و لوازم يدكي بندرعباس</v>
      </c>
      <c r="E1923" s="1" t="str">
        <f>"1800000597"</f>
        <v>1800000597</v>
      </c>
      <c r="F1923" s="1" t="str">
        <f>"گلند فلزي استيل 40"</f>
        <v>گلند فلزي استيل 40</v>
      </c>
      <c r="G1923" s="1" t="str">
        <f>"عدد"</f>
        <v>عدد</v>
      </c>
      <c r="H1923" s="1">
        <v>8</v>
      </c>
      <c r="I1923" s="1">
        <v>4400000</v>
      </c>
      <c r="J1923" s="1">
        <v>0</v>
      </c>
      <c r="K1923" s="1">
        <v>0</v>
      </c>
      <c r="L1923" s="1">
        <v>2</v>
      </c>
      <c r="M1923" s="1">
        <v>1100000</v>
      </c>
      <c r="O1923" s="1">
        <v>97</v>
      </c>
      <c r="P1923" s="4">
        <f t="shared" ref="P1923:P1986" si="90">I1923+K1923-M1923</f>
        <v>3300000</v>
      </c>
      <c r="Q1923" s="4">
        <f t="shared" ref="Q1923:Q1986" si="91">H1923+J1923-L1923</f>
        <v>6</v>
      </c>
      <c r="R1923" s="4">
        <f t="shared" ref="R1923:R1986" si="92">P1923/Q1923</f>
        <v>550000</v>
      </c>
    </row>
    <row r="1924" spans="1:18">
      <c r="A1924" s="1">
        <v>2</v>
      </c>
      <c r="B1924" s="1" t="str">
        <f>"قطعات و لوازم يدكي"</f>
        <v>قطعات و لوازم يدكي</v>
      </c>
      <c r="C1924" s="1">
        <v>205</v>
      </c>
      <c r="D1924" s="1" t="str">
        <f>"انبار قطعات و لوازم يدكي بندرعباس"</f>
        <v>انبار قطعات و لوازم يدكي بندرعباس</v>
      </c>
      <c r="E1924" s="1" t="str">
        <f>"1800000603"</f>
        <v>1800000603</v>
      </c>
      <c r="F1924" s="1" t="str">
        <f>"گلند کيت 100"</f>
        <v>گلند کيت 100</v>
      </c>
      <c r="G1924" s="1" t="str">
        <f>"عدد"</f>
        <v>عدد</v>
      </c>
      <c r="H1924" s="1">
        <v>1</v>
      </c>
      <c r="I1924" s="1">
        <v>200000</v>
      </c>
      <c r="J1924" s="1">
        <v>0</v>
      </c>
      <c r="K1924" s="1">
        <v>0</v>
      </c>
      <c r="L1924" s="1">
        <v>0</v>
      </c>
      <c r="M1924" s="1">
        <v>0</v>
      </c>
      <c r="O1924" s="1">
        <v>97</v>
      </c>
      <c r="P1924" s="4">
        <f t="shared" si="90"/>
        <v>200000</v>
      </c>
      <c r="Q1924" s="4">
        <f t="shared" si="91"/>
        <v>1</v>
      </c>
      <c r="R1924" s="4">
        <f t="shared" si="92"/>
        <v>200000</v>
      </c>
    </row>
    <row r="1925" spans="1:18">
      <c r="A1925" s="1">
        <v>2</v>
      </c>
      <c r="B1925" s="1" t="str">
        <f>"قطعات و لوازم يدكي"</f>
        <v>قطعات و لوازم يدكي</v>
      </c>
      <c r="C1925" s="1">
        <v>205</v>
      </c>
      <c r="D1925" s="1" t="str">
        <f>"انبار قطعات و لوازم يدكي بندرعباس"</f>
        <v>انبار قطعات و لوازم يدكي بندرعباس</v>
      </c>
      <c r="E1925" s="1" t="str">
        <f>"1800000605"</f>
        <v>1800000605</v>
      </c>
      <c r="F1925" s="1" t="str">
        <f>"گلند کيت 25"</f>
        <v>گلند کيت 25</v>
      </c>
      <c r="G1925" s="1" t="str">
        <f>"عدد"</f>
        <v>عدد</v>
      </c>
      <c r="H1925" s="1">
        <v>11</v>
      </c>
      <c r="I1925" s="1">
        <v>880000</v>
      </c>
      <c r="J1925" s="1">
        <v>0</v>
      </c>
      <c r="K1925" s="1">
        <v>0</v>
      </c>
      <c r="L1925" s="1">
        <v>0</v>
      </c>
      <c r="M1925" s="1">
        <v>0</v>
      </c>
      <c r="O1925" s="1">
        <v>97</v>
      </c>
      <c r="P1925" s="4">
        <f t="shared" si="90"/>
        <v>880000</v>
      </c>
      <c r="Q1925" s="4">
        <f t="shared" si="91"/>
        <v>11</v>
      </c>
      <c r="R1925" s="4">
        <f t="shared" si="92"/>
        <v>80000</v>
      </c>
    </row>
    <row r="1926" spans="1:18">
      <c r="A1926" s="1">
        <v>2</v>
      </c>
      <c r="B1926" s="1" t="str">
        <f>"قطعات و لوازم يدكي"</f>
        <v>قطعات و لوازم يدكي</v>
      </c>
      <c r="C1926" s="1">
        <v>205</v>
      </c>
      <c r="D1926" s="1" t="str">
        <f>"انبار قطعات و لوازم يدكي بندرعباس"</f>
        <v>انبار قطعات و لوازم يدكي بندرعباس</v>
      </c>
      <c r="E1926" s="1" t="str">
        <f>"1800000607"</f>
        <v>1800000607</v>
      </c>
      <c r="F1926" s="1" t="str">
        <f>"گلند سر فلکسي پيچدار"</f>
        <v>گلند سر فلکسي پيچدار</v>
      </c>
      <c r="G1926" s="1" t="str">
        <f>"عدد"</f>
        <v>عدد</v>
      </c>
      <c r="H1926" s="1">
        <v>8</v>
      </c>
      <c r="I1926" s="1">
        <v>400000</v>
      </c>
      <c r="J1926" s="1">
        <v>0</v>
      </c>
      <c r="K1926" s="1">
        <v>0</v>
      </c>
      <c r="L1926" s="1">
        <v>0</v>
      </c>
      <c r="M1926" s="1">
        <v>0</v>
      </c>
      <c r="O1926" s="1">
        <v>97</v>
      </c>
      <c r="P1926" s="4">
        <f t="shared" si="90"/>
        <v>400000</v>
      </c>
      <c r="Q1926" s="4">
        <f t="shared" si="91"/>
        <v>8</v>
      </c>
      <c r="R1926" s="4">
        <f t="shared" si="92"/>
        <v>50000</v>
      </c>
    </row>
    <row r="1927" spans="1:18">
      <c r="A1927" s="1">
        <v>2</v>
      </c>
      <c r="B1927" s="1" t="str">
        <f>"قطعات و لوازم يدكي"</f>
        <v>قطعات و لوازم يدكي</v>
      </c>
      <c r="C1927" s="1">
        <v>205</v>
      </c>
      <c r="D1927" s="1" t="str">
        <f>"انبار قطعات و لوازم يدكي بندرعباس"</f>
        <v>انبار قطعات و لوازم يدكي بندرعباس</v>
      </c>
      <c r="E1927" s="1" t="str">
        <f>"1800000613"</f>
        <v>1800000613</v>
      </c>
      <c r="F1927" s="1" t="str">
        <f>"لاستيک ضربه گير خورشيدي"</f>
        <v>لاستيک ضربه گير خورشيدي</v>
      </c>
      <c r="G1927" s="1" t="str">
        <f>"عدد"</f>
        <v>عدد</v>
      </c>
      <c r="H1927" s="1">
        <v>7</v>
      </c>
      <c r="I1927" s="1">
        <v>7000000</v>
      </c>
      <c r="J1927" s="1">
        <v>0</v>
      </c>
      <c r="K1927" s="1">
        <v>0</v>
      </c>
      <c r="L1927" s="1">
        <v>0</v>
      </c>
      <c r="M1927" s="1">
        <v>0</v>
      </c>
      <c r="O1927" s="1">
        <v>97</v>
      </c>
      <c r="P1927" s="4">
        <f t="shared" si="90"/>
        <v>7000000</v>
      </c>
      <c r="Q1927" s="4">
        <f t="shared" si="91"/>
        <v>7</v>
      </c>
      <c r="R1927" s="4">
        <f t="shared" si="92"/>
        <v>1000000</v>
      </c>
    </row>
    <row r="1928" spans="1:18">
      <c r="A1928" s="1">
        <v>2</v>
      </c>
      <c r="B1928" s="1" t="str">
        <f>"قطعات و لوازم يدكي"</f>
        <v>قطعات و لوازم يدكي</v>
      </c>
      <c r="C1928" s="1">
        <v>205</v>
      </c>
      <c r="D1928" s="1" t="str">
        <f>"انبار قطعات و لوازم يدكي بندرعباس"</f>
        <v>انبار قطعات و لوازم يدكي بندرعباس</v>
      </c>
      <c r="E1928" s="1" t="str">
        <f>"1800000620"</f>
        <v>1800000620</v>
      </c>
      <c r="F1928" s="1" t="str">
        <f>"لول گيج شيشه اي عيوض"</f>
        <v>لول گيج شيشه اي عيوض</v>
      </c>
      <c r="G1928" s="1" t="str">
        <f>"عدد"</f>
        <v>عدد</v>
      </c>
      <c r="H1928" s="1">
        <v>1</v>
      </c>
      <c r="I1928" s="1">
        <v>10000000</v>
      </c>
      <c r="J1928" s="1">
        <v>0</v>
      </c>
      <c r="K1928" s="1">
        <v>0</v>
      </c>
      <c r="L1928" s="1">
        <v>0</v>
      </c>
      <c r="M1928" s="1">
        <v>0</v>
      </c>
      <c r="O1928" s="1">
        <v>97</v>
      </c>
      <c r="P1928" s="4">
        <f t="shared" si="90"/>
        <v>10000000</v>
      </c>
      <c r="Q1928" s="4">
        <f t="shared" si="91"/>
        <v>1</v>
      </c>
      <c r="R1928" s="4">
        <f t="shared" si="92"/>
        <v>10000000</v>
      </c>
    </row>
    <row r="1929" spans="1:18">
      <c r="A1929" s="1">
        <v>2</v>
      </c>
      <c r="B1929" s="1" t="str">
        <f>"قطعات و لوازم يدكي"</f>
        <v>قطعات و لوازم يدكي</v>
      </c>
      <c r="C1929" s="1">
        <v>205</v>
      </c>
      <c r="D1929" s="1" t="str">
        <f>"انبار قطعات و لوازم يدكي بندرعباس"</f>
        <v>انبار قطعات و لوازم يدكي بندرعباس</v>
      </c>
      <c r="E1929" s="1" t="str">
        <f>"1800000622"</f>
        <v>1800000622</v>
      </c>
      <c r="F1929" s="1" t="str">
        <f>"لوله 1/2*1"</f>
        <v>لوله 1/2*1</v>
      </c>
      <c r="G1929" s="1" t="str">
        <f>"متر"</f>
        <v>متر</v>
      </c>
      <c r="H1929" s="1">
        <v>162</v>
      </c>
      <c r="I1929" s="1">
        <v>41439600</v>
      </c>
      <c r="J1929" s="1">
        <v>0</v>
      </c>
      <c r="K1929" s="1">
        <v>0</v>
      </c>
      <c r="L1929" s="1">
        <v>42</v>
      </c>
      <c r="M1929" s="1">
        <v>10743600</v>
      </c>
      <c r="O1929" s="1">
        <v>97</v>
      </c>
      <c r="P1929" s="4">
        <f t="shared" si="90"/>
        <v>30696000</v>
      </c>
      <c r="Q1929" s="4">
        <f t="shared" si="91"/>
        <v>120</v>
      </c>
      <c r="R1929" s="4">
        <f t="shared" si="92"/>
        <v>255800</v>
      </c>
    </row>
    <row r="1930" spans="1:18">
      <c r="A1930" s="1">
        <v>2</v>
      </c>
      <c r="B1930" s="1" t="str">
        <f>"قطعات و لوازم يدكي"</f>
        <v>قطعات و لوازم يدكي</v>
      </c>
      <c r="C1930" s="1">
        <v>101</v>
      </c>
      <c r="D1930" s="1" t="str">
        <f>"انبار قطعات و لوازم يدكي اصفهان"</f>
        <v>انبار قطعات و لوازم يدكي اصفهان</v>
      </c>
      <c r="E1930" s="1" t="str">
        <f>"7630852752"</f>
        <v>7630852752</v>
      </c>
      <c r="F1930" s="1" t="str">
        <f>"سه راهي جوشي 3*4 اينچ اس 40"</f>
        <v>سه راهي جوشي 3*4 اينچ اس 40</v>
      </c>
      <c r="G1930" s="1" t="str">
        <f>"عدد"</f>
        <v>عدد</v>
      </c>
      <c r="H1930" s="1">
        <v>2</v>
      </c>
      <c r="I1930" s="1">
        <v>220000</v>
      </c>
      <c r="J1930" s="1">
        <v>0</v>
      </c>
      <c r="K1930" s="1">
        <v>0</v>
      </c>
      <c r="L1930" s="1">
        <v>0</v>
      </c>
      <c r="M1930" s="1">
        <v>0</v>
      </c>
      <c r="O1930" s="1">
        <v>97</v>
      </c>
      <c r="P1930" s="4">
        <f t="shared" si="90"/>
        <v>220000</v>
      </c>
      <c r="Q1930" s="4">
        <f t="shared" si="91"/>
        <v>2</v>
      </c>
      <c r="R1930" s="4">
        <f t="shared" si="92"/>
        <v>110000</v>
      </c>
    </row>
    <row r="1931" spans="1:18">
      <c r="A1931" s="1">
        <v>2</v>
      </c>
      <c r="B1931" s="1" t="str">
        <f>"قطعات و لوازم يدكي"</f>
        <v>قطعات و لوازم يدكي</v>
      </c>
      <c r="C1931" s="1">
        <v>101</v>
      </c>
      <c r="D1931" s="1" t="str">
        <f>"انبار قطعات و لوازم يدكي اصفهان"</f>
        <v>انبار قطعات و لوازم يدكي اصفهان</v>
      </c>
      <c r="E1931" s="1" t="str">
        <f>"7634282182"</f>
        <v>7634282182</v>
      </c>
      <c r="F1931" s="1" t="str">
        <f>"فول كوپلينگ ساكت ولد 1/2-1 اينچ 3000"</f>
        <v>فول كوپلينگ ساكت ولد 1/2-1 اينچ 3000</v>
      </c>
      <c r="G1931" s="1" t="str">
        <f>"عدد"</f>
        <v>عدد</v>
      </c>
      <c r="H1931" s="1">
        <v>12</v>
      </c>
      <c r="I1931" s="1">
        <v>1282909</v>
      </c>
      <c r="J1931" s="1">
        <v>0</v>
      </c>
      <c r="K1931" s="1">
        <v>0</v>
      </c>
      <c r="L1931" s="1">
        <v>1</v>
      </c>
      <c r="M1931" s="1">
        <v>106909</v>
      </c>
      <c r="O1931" s="1">
        <v>97</v>
      </c>
      <c r="P1931" s="4">
        <f t="shared" si="90"/>
        <v>1176000</v>
      </c>
      <c r="Q1931" s="4">
        <f t="shared" si="91"/>
        <v>11</v>
      </c>
      <c r="R1931" s="4">
        <f t="shared" si="92"/>
        <v>106909.09090909091</v>
      </c>
    </row>
    <row r="1932" spans="1:18">
      <c r="A1932" s="1">
        <v>2</v>
      </c>
      <c r="B1932" s="1" t="str">
        <f>"قطعات و لوازم يدكي"</f>
        <v>قطعات و لوازم يدكي</v>
      </c>
      <c r="C1932" s="1">
        <v>101</v>
      </c>
      <c r="D1932" s="1" t="str">
        <f>"انبار قطعات و لوازم يدكي اصفهان"</f>
        <v>انبار قطعات و لوازم يدكي اصفهان</v>
      </c>
      <c r="E1932" s="1" t="str">
        <f>"7634285162"</f>
        <v>7634285162</v>
      </c>
      <c r="F1932" s="1" t="str">
        <f>"هالف كاپلينگ 1 اينچ جوشي 3000"</f>
        <v>هالف كاپلينگ 1 اينچ جوشي 3000</v>
      </c>
      <c r="G1932" s="1" t="str">
        <f>"عدد"</f>
        <v>عدد</v>
      </c>
      <c r="H1932" s="1">
        <v>5</v>
      </c>
      <c r="I1932" s="1">
        <v>279132</v>
      </c>
      <c r="J1932" s="1">
        <v>20</v>
      </c>
      <c r="K1932" s="1">
        <v>2400000</v>
      </c>
      <c r="L1932" s="1">
        <v>1</v>
      </c>
      <c r="M1932" s="1">
        <v>107165</v>
      </c>
      <c r="O1932" s="1">
        <v>97</v>
      </c>
      <c r="P1932" s="4">
        <f t="shared" si="90"/>
        <v>2571967</v>
      </c>
      <c r="Q1932" s="4">
        <f t="shared" si="91"/>
        <v>24</v>
      </c>
      <c r="R1932" s="4">
        <f t="shared" si="92"/>
        <v>107165.29166666667</v>
      </c>
    </row>
    <row r="1933" spans="1:18">
      <c r="A1933" s="1">
        <v>2</v>
      </c>
      <c r="B1933" s="1" t="str">
        <f>"قطعات و لوازم يدكي"</f>
        <v>قطعات و لوازم يدكي</v>
      </c>
      <c r="C1933" s="1">
        <v>101</v>
      </c>
      <c r="D1933" s="1" t="str">
        <f>"انبار قطعات و لوازم يدكي اصفهان"</f>
        <v>انبار قطعات و لوازم يدكي اصفهان</v>
      </c>
      <c r="E1933" s="1" t="str">
        <f>"7634382162"</f>
        <v>7634382162</v>
      </c>
      <c r="F1933" s="1" t="str">
        <f>"زانو 45 درجه ساكت ولد 1 اينچ 3000"</f>
        <v>زانو 45 درجه ساكت ولد 1 اينچ 3000</v>
      </c>
      <c r="G1933" s="1" t="str">
        <f>"عدد"</f>
        <v>عدد</v>
      </c>
      <c r="H1933" s="1">
        <v>30</v>
      </c>
      <c r="I1933" s="1">
        <v>1336000</v>
      </c>
      <c r="J1933" s="1">
        <v>0</v>
      </c>
      <c r="K1933" s="1">
        <v>0</v>
      </c>
      <c r="L1933" s="1">
        <v>0</v>
      </c>
      <c r="M1933" s="1">
        <v>0</v>
      </c>
      <c r="O1933" s="1">
        <v>97</v>
      </c>
      <c r="P1933" s="4">
        <f t="shared" si="90"/>
        <v>1336000</v>
      </c>
      <c r="Q1933" s="4">
        <f t="shared" si="91"/>
        <v>30</v>
      </c>
      <c r="R1933" s="4">
        <f t="shared" si="92"/>
        <v>44533.333333333336</v>
      </c>
    </row>
    <row r="1934" spans="1:18">
      <c r="A1934" s="1">
        <v>2</v>
      </c>
      <c r="B1934" s="1" t="str">
        <f>"قطعات و لوازم يدكي"</f>
        <v>قطعات و لوازم يدكي</v>
      </c>
      <c r="C1934" s="1">
        <v>101</v>
      </c>
      <c r="D1934" s="1" t="str">
        <f>"انبار قطعات و لوازم يدكي اصفهان"</f>
        <v>انبار قطعات و لوازم يدكي اصفهان</v>
      </c>
      <c r="E1934" s="1" t="str">
        <f>"7634392162"</f>
        <v>7634392162</v>
      </c>
      <c r="F1934" s="1" t="str">
        <f>"زانو 90 درجه 1 اينچ جوشي 3000"</f>
        <v>زانو 90 درجه 1 اينچ جوشي 3000</v>
      </c>
      <c r="G1934" s="1" t="str">
        <f>"عدد"</f>
        <v>عدد</v>
      </c>
      <c r="H1934" s="1">
        <v>21</v>
      </c>
      <c r="I1934" s="1">
        <v>2612363</v>
      </c>
      <c r="J1934" s="1">
        <v>59</v>
      </c>
      <c r="K1934" s="1">
        <v>13852272</v>
      </c>
      <c r="L1934" s="1">
        <v>11</v>
      </c>
      <c r="M1934" s="1">
        <v>2263888</v>
      </c>
      <c r="O1934" s="1">
        <v>97</v>
      </c>
      <c r="P1934" s="4">
        <f t="shared" si="90"/>
        <v>14200747</v>
      </c>
      <c r="Q1934" s="4">
        <f t="shared" si="91"/>
        <v>69</v>
      </c>
      <c r="R1934" s="4">
        <f t="shared" si="92"/>
        <v>205807.92753623187</v>
      </c>
    </row>
    <row r="1935" spans="1:18">
      <c r="A1935" s="1">
        <v>2</v>
      </c>
      <c r="B1935" s="1" t="str">
        <f>"قطعات و لوازم يدكي"</f>
        <v>قطعات و لوازم يدكي</v>
      </c>
      <c r="C1935" s="1">
        <v>101</v>
      </c>
      <c r="D1935" s="1" t="str">
        <f>"انبار قطعات و لوازم يدكي اصفهان"</f>
        <v>انبار قطعات و لوازم يدكي اصفهان</v>
      </c>
      <c r="E1935" s="1" t="str">
        <f>"7634851302"</f>
        <v>7634851302</v>
      </c>
      <c r="F1935" s="1" t="str">
        <f>"سه راهي تبديل جوشي 1  * 1/2-1"</f>
        <v>سه راهي تبديل جوشي 1  * 1/2-1</v>
      </c>
      <c r="G1935" s="1" t="str">
        <f>"عدد"</f>
        <v>عدد</v>
      </c>
      <c r="H1935" s="1">
        <v>3</v>
      </c>
      <c r="I1935" s="1">
        <v>735000</v>
      </c>
      <c r="J1935" s="1">
        <v>0</v>
      </c>
      <c r="K1935" s="1">
        <v>0</v>
      </c>
      <c r="L1935" s="1">
        <v>0</v>
      </c>
      <c r="M1935" s="1">
        <v>0</v>
      </c>
      <c r="O1935" s="1">
        <v>97</v>
      </c>
      <c r="P1935" s="4">
        <f t="shared" si="90"/>
        <v>735000</v>
      </c>
      <c r="Q1935" s="4">
        <f t="shared" si="91"/>
        <v>3</v>
      </c>
      <c r="R1935" s="4">
        <f t="shared" si="92"/>
        <v>245000</v>
      </c>
    </row>
    <row r="1936" spans="1:18">
      <c r="A1936" s="1">
        <v>2</v>
      </c>
      <c r="B1936" s="1" t="str">
        <f>"قطعات و لوازم يدكي"</f>
        <v>قطعات و لوازم يدكي</v>
      </c>
      <c r="C1936" s="1">
        <v>101</v>
      </c>
      <c r="D1936" s="1" t="str">
        <f>"انبار قطعات و لوازم يدكي اصفهان"</f>
        <v>انبار قطعات و لوازم يدكي اصفهان</v>
      </c>
      <c r="E1936" s="1" t="str">
        <f>"7640260102"</f>
        <v>7640260102</v>
      </c>
      <c r="F1936" s="1" t="str">
        <f>"STUD CONNECTOR 1/4*1/4 M"</f>
        <v>STUD CONNECTOR 1/4*1/4 M</v>
      </c>
      <c r="G1936" s="1" t="str">
        <f>"عدد"</f>
        <v>عدد</v>
      </c>
      <c r="H1936" s="1">
        <v>37</v>
      </c>
      <c r="I1936" s="1">
        <v>3359182</v>
      </c>
      <c r="J1936" s="1">
        <v>0</v>
      </c>
      <c r="K1936" s="1">
        <v>0</v>
      </c>
      <c r="L1936" s="1">
        <v>2</v>
      </c>
      <c r="M1936" s="1">
        <v>181578</v>
      </c>
      <c r="O1936" s="1">
        <v>97</v>
      </c>
      <c r="P1936" s="4">
        <f t="shared" si="90"/>
        <v>3177604</v>
      </c>
      <c r="Q1936" s="4">
        <f t="shared" si="91"/>
        <v>35</v>
      </c>
      <c r="R1936" s="4">
        <f t="shared" si="92"/>
        <v>90788.685714285719</v>
      </c>
    </row>
    <row r="1937" spans="1:18">
      <c r="A1937" s="1">
        <v>2</v>
      </c>
      <c r="B1937" s="1" t="str">
        <f>"قطعات و لوازم يدكي"</f>
        <v>قطعات و لوازم يدكي</v>
      </c>
      <c r="C1937" s="1">
        <v>101</v>
      </c>
      <c r="D1937" s="1" t="str">
        <f>"انبار قطعات و لوازم يدكي اصفهان"</f>
        <v>انبار قطعات و لوازم يدكي اصفهان</v>
      </c>
      <c r="E1937" s="1" t="str">
        <f>"7640260602"</f>
        <v>7640260602</v>
      </c>
      <c r="F1937" s="1" t="str">
        <f>"STUD CONNECTOR 1/4*1/4 FM"</f>
        <v>STUD CONNECTOR 1/4*1/4 FM</v>
      </c>
      <c r="G1937" s="1" t="str">
        <f>"عدد"</f>
        <v>عدد</v>
      </c>
      <c r="H1937" s="1">
        <v>27</v>
      </c>
      <c r="I1937" s="1">
        <v>2457000</v>
      </c>
      <c r="J1937" s="1">
        <v>0</v>
      </c>
      <c r="K1937" s="1">
        <v>0</v>
      </c>
      <c r="L1937" s="1">
        <v>0</v>
      </c>
      <c r="M1937" s="1">
        <v>0</v>
      </c>
      <c r="O1937" s="1">
        <v>97</v>
      </c>
      <c r="P1937" s="4">
        <f t="shared" si="90"/>
        <v>2457000</v>
      </c>
      <c r="Q1937" s="4">
        <f t="shared" si="91"/>
        <v>27</v>
      </c>
      <c r="R1937" s="4">
        <f t="shared" si="92"/>
        <v>91000</v>
      </c>
    </row>
    <row r="1938" spans="1:18">
      <c r="A1938" s="1">
        <v>2</v>
      </c>
      <c r="B1938" s="1" t="str">
        <f>"قطعات و لوازم يدكي"</f>
        <v>قطعات و لوازم يدكي</v>
      </c>
      <c r="C1938" s="1">
        <v>101</v>
      </c>
      <c r="D1938" s="1" t="str">
        <f>"انبار قطعات و لوازم يدكي اصفهان"</f>
        <v>انبار قطعات و لوازم يدكي اصفهان</v>
      </c>
      <c r="E1938" s="1" t="str">
        <f>"7640490082"</f>
        <v>7640490082</v>
      </c>
      <c r="F1938" s="1" t="str">
        <f>"FROL BACK FROL 1/2"</f>
        <v>FROL BACK FROL 1/2</v>
      </c>
      <c r="G1938" s="1" t="str">
        <f>"عدد"</f>
        <v>عدد</v>
      </c>
      <c r="H1938" s="1">
        <v>138</v>
      </c>
      <c r="I1938" s="1">
        <v>3657000</v>
      </c>
      <c r="J1938" s="1">
        <v>100</v>
      </c>
      <c r="K1938" s="1">
        <v>17600000</v>
      </c>
      <c r="L1938" s="1">
        <v>20</v>
      </c>
      <c r="M1938" s="1">
        <v>530000</v>
      </c>
      <c r="O1938" s="1">
        <v>97</v>
      </c>
      <c r="P1938" s="4">
        <f t="shared" si="90"/>
        <v>20727000</v>
      </c>
      <c r="Q1938" s="4">
        <f t="shared" si="91"/>
        <v>218</v>
      </c>
      <c r="R1938" s="4">
        <f t="shared" si="92"/>
        <v>95077.981651376147</v>
      </c>
    </row>
    <row r="1939" spans="1:18">
      <c r="A1939" s="1">
        <v>2</v>
      </c>
      <c r="B1939" s="1" t="str">
        <f>"قطعات و لوازم يدكي"</f>
        <v>قطعات و لوازم يدكي</v>
      </c>
      <c r="C1939" s="1">
        <v>101</v>
      </c>
      <c r="D1939" s="1" t="str">
        <f>"انبار قطعات و لوازم يدكي اصفهان"</f>
        <v>انبار قطعات و لوازم يدكي اصفهان</v>
      </c>
      <c r="E1939" s="1" t="str">
        <f>"7640840602"</f>
        <v>7640840602</v>
      </c>
      <c r="F1939" s="1" t="str">
        <f>"استد تي 1/4 اينچ"</f>
        <v>استد تي 1/4 اينچ</v>
      </c>
      <c r="G1939" s="1" t="str">
        <f>"عدد"</f>
        <v>عدد</v>
      </c>
      <c r="H1939" s="1">
        <v>34</v>
      </c>
      <c r="I1939" s="1">
        <v>7408114</v>
      </c>
      <c r="J1939" s="1">
        <v>0</v>
      </c>
      <c r="K1939" s="1">
        <v>0</v>
      </c>
      <c r="L1939" s="1">
        <v>0</v>
      </c>
      <c r="M1939" s="1">
        <v>0</v>
      </c>
      <c r="O1939" s="1">
        <v>97</v>
      </c>
      <c r="P1939" s="4">
        <f t="shared" si="90"/>
        <v>7408114</v>
      </c>
      <c r="Q1939" s="4">
        <f t="shared" si="91"/>
        <v>34</v>
      </c>
      <c r="R1939" s="4">
        <f t="shared" si="92"/>
        <v>217885.70588235295</v>
      </c>
    </row>
    <row r="1940" spans="1:18">
      <c r="A1940" s="1">
        <v>2</v>
      </c>
      <c r="B1940" s="1" t="str">
        <f>"قطعات و لوازم يدكي"</f>
        <v>قطعات و لوازم يدكي</v>
      </c>
      <c r="C1940" s="1">
        <v>101</v>
      </c>
      <c r="D1940" s="1" t="str">
        <f>"انبار قطعات و لوازم يدكي اصفهان"</f>
        <v>انبار قطعات و لوازم يدكي اصفهان</v>
      </c>
      <c r="E1940" s="1" t="str">
        <f>"7662300622"</f>
        <v>7662300622</v>
      </c>
      <c r="F1940" s="1" t="str">
        <f>"فلنج سيليپون 3/4 کلاس 150"</f>
        <v>فلنج سيليپون 3/4 کلاس 150</v>
      </c>
      <c r="G1940" s="1" t="str">
        <f>"عدد"</f>
        <v>عدد</v>
      </c>
      <c r="H1940" s="1">
        <v>3</v>
      </c>
      <c r="I1940" s="1">
        <v>346857</v>
      </c>
      <c r="J1940" s="1">
        <v>0</v>
      </c>
      <c r="K1940" s="1">
        <v>0</v>
      </c>
      <c r="L1940" s="1">
        <v>0</v>
      </c>
      <c r="M1940" s="1">
        <v>0</v>
      </c>
      <c r="O1940" s="1">
        <v>97</v>
      </c>
      <c r="P1940" s="4">
        <f t="shared" si="90"/>
        <v>346857</v>
      </c>
      <c r="Q1940" s="4">
        <f t="shared" si="91"/>
        <v>3</v>
      </c>
      <c r="R1940" s="4">
        <f t="shared" si="92"/>
        <v>115619</v>
      </c>
    </row>
    <row r="1941" spans="1:18">
      <c r="A1941" s="1">
        <v>2</v>
      </c>
      <c r="B1941" s="1" t="str">
        <f>"قطعات و لوازم يدكي"</f>
        <v>قطعات و لوازم يدكي</v>
      </c>
      <c r="C1941" s="1">
        <v>101</v>
      </c>
      <c r="D1941" s="1" t="str">
        <f>"انبار قطعات و لوازم يدكي اصفهان"</f>
        <v>انبار قطعات و لوازم يدكي اصفهان</v>
      </c>
      <c r="E1941" s="1" t="str">
        <f>"7662300642"</f>
        <v>7662300642</v>
      </c>
      <c r="F1941" s="1" t="s">
        <v>120</v>
      </c>
      <c r="G1941" s="1" t="str">
        <f>"عدد"</f>
        <v>عدد</v>
      </c>
      <c r="H1941" s="1">
        <v>10</v>
      </c>
      <c r="I1941" s="1">
        <v>1400000</v>
      </c>
      <c r="J1941" s="1">
        <v>0</v>
      </c>
      <c r="K1941" s="1">
        <v>0</v>
      </c>
      <c r="L1941" s="1">
        <v>0</v>
      </c>
      <c r="M1941" s="1">
        <v>0</v>
      </c>
      <c r="O1941" s="1">
        <v>97</v>
      </c>
      <c r="P1941" s="4">
        <f t="shared" si="90"/>
        <v>1400000</v>
      </c>
      <c r="Q1941" s="4">
        <f t="shared" si="91"/>
        <v>10</v>
      </c>
      <c r="R1941" s="4">
        <f t="shared" si="92"/>
        <v>140000</v>
      </c>
    </row>
    <row r="1942" spans="1:18">
      <c r="A1942" s="1">
        <v>2</v>
      </c>
      <c r="B1942" s="1" t="str">
        <f>"قطعات و لوازم يدكي"</f>
        <v>قطعات و لوازم يدكي</v>
      </c>
      <c r="C1942" s="1">
        <v>101</v>
      </c>
      <c r="D1942" s="1" t="str">
        <f>"انبار قطعات و لوازم يدكي اصفهان"</f>
        <v>انبار قطعات و لوازم يدكي اصفهان</v>
      </c>
      <c r="E1942" s="1" t="str">
        <f>"7662701122"</f>
        <v>7662701122</v>
      </c>
      <c r="F1942" s="1" t="s">
        <v>121</v>
      </c>
      <c r="G1942" s="1" t="str">
        <f>"عدد"</f>
        <v>عدد</v>
      </c>
      <c r="H1942" s="1">
        <v>3</v>
      </c>
      <c r="I1942" s="1">
        <v>555000</v>
      </c>
      <c r="J1942" s="1">
        <v>54</v>
      </c>
      <c r="K1942" s="1">
        <v>14141961</v>
      </c>
      <c r="L1942" s="1">
        <v>30</v>
      </c>
      <c r="M1942" s="1">
        <v>7663725</v>
      </c>
      <c r="O1942" s="1">
        <v>97</v>
      </c>
      <c r="P1942" s="4">
        <f t="shared" si="90"/>
        <v>7033236</v>
      </c>
      <c r="Q1942" s="4">
        <f t="shared" si="91"/>
        <v>27</v>
      </c>
      <c r="R1942" s="4">
        <f t="shared" si="92"/>
        <v>260490.22222222222</v>
      </c>
    </row>
    <row r="1943" spans="1:18">
      <c r="A1943" s="1">
        <v>2</v>
      </c>
      <c r="B1943" s="1" t="str">
        <f>"قطعات و لوازم يدكي"</f>
        <v>قطعات و لوازم يدكي</v>
      </c>
      <c r="C1943" s="1">
        <v>101</v>
      </c>
      <c r="D1943" s="1" t="str">
        <f>"انبار قطعات و لوازم يدكي اصفهان"</f>
        <v>انبار قطعات و لوازم يدكي اصفهان</v>
      </c>
      <c r="E1943" s="1" t="str">
        <f>"7662702182"</f>
        <v>7662702182</v>
      </c>
      <c r="F1943" s="1" t="str">
        <f>"فلنج جوشي 1/2-1 كلاس 300"</f>
        <v>فلنج جوشي 1/2-1 كلاس 300</v>
      </c>
      <c r="G1943" s="1" t="str">
        <f>"عدد"</f>
        <v>عدد</v>
      </c>
      <c r="H1943" s="1">
        <v>3</v>
      </c>
      <c r="I1943" s="1">
        <v>825600</v>
      </c>
      <c r="J1943" s="1">
        <v>3</v>
      </c>
      <c r="K1943" s="1">
        <v>1200000</v>
      </c>
      <c r="L1943" s="1">
        <v>0</v>
      </c>
      <c r="M1943" s="1">
        <v>0</v>
      </c>
      <c r="O1943" s="1">
        <v>97</v>
      </c>
      <c r="P1943" s="4">
        <f t="shared" si="90"/>
        <v>2025600</v>
      </c>
      <c r="Q1943" s="4">
        <f t="shared" si="91"/>
        <v>6</v>
      </c>
      <c r="R1943" s="4">
        <f t="shared" si="92"/>
        <v>337600</v>
      </c>
    </row>
    <row r="1944" spans="1:18">
      <c r="A1944" s="1">
        <v>2</v>
      </c>
      <c r="B1944" s="1" t="str">
        <f>"قطعات و لوازم يدكي"</f>
        <v>قطعات و لوازم يدكي</v>
      </c>
      <c r="C1944" s="1">
        <v>101</v>
      </c>
      <c r="D1944" s="1" t="str">
        <f>"انبار قطعات و لوازم يدكي اصفهان"</f>
        <v>انبار قطعات و لوازم يدكي اصفهان</v>
      </c>
      <c r="E1944" s="1" t="str">
        <f>"7662792442"</f>
        <v>7662792442</v>
      </c>
      <c r="F1944" s="1" t="s">
        <v>122</v>
      </c>
      <c r="G1944" s="1" t="str">
        <f>"عدد"</f>
        <v>عدد</v>
      </c>
      <c r="H1944" s="1">
        <v>4</v>
      </c>
      <c r="I1944" s="1">
        <v>257963</v>
      </c>
      <c r="J1944" s="1">
        <v>2</v>
      </c>
      <c r="K1944" s="1">
        <v>128982</v>
      </c>
      <c r="L1944" s="1">
        <v>2</v>
      </c>
      <c r="M1944" s="1">
        <v>128982</v>
      </c>
      <c r="O1944" s="1">
        <v>97</v>
      </c>
      <c r="P1944" s="4">
        <f t="shared" si="90"/>
        <v>257963</v>
      </c>
      <c r="Q1944" s="4">
        <f t="shared" si="91"/>
        <v>4</v>
      </c>
      <c r="R1944" s="4">
        <f t="shared" si="92"/>
        <v>64490.75</v>
      </c>
    </row>
    <row r="1945" spans="1:18">
      <c r="A1945" s="1">
        <v>2</v>
      </c>
      <c r="B1945" s="1" t="str">
        <f>"قطعات و لوازم يدكي"</f>
        <v>قطعات و لوازم يدكي</v>
      </c>
      <c r="C1945" s="1">
        <v>101</v>
      </c>
      <c r="D1945" s="1" t="str">
        <f>"انبار قطعات و لوازم يدكي اصفهان"</f>
        <v>انبار قطعات و لوازم يدكي اصفهان</v>
      </c>
      <c r="E1945" s="1" t="str">
        <f>"7662792462"</f>
        <v>7662792462</v>
      </c>
      <c r="F1945" s="1" t="s">
        <v>123</v>
      </c>
      <c r="G1945" s="1" t="str">
        <f>"عدد"</f>
        <v>عدد</v>
      </c>
      <c r="H1945" s="1">
        <v>5</v>
      </c>
      <c r="I1945" s="1">
        <v>1026315</v>
      </c>
      <c r="J1945" s="1">
        <v>0</v>
      </c>
      <c r="K1945" s="1">
        <v>0</v>
      </c>
      <c r="L1945" s="1">
        <v>0</v>
      </c>
      <c r="M1945" s="1">
        <v>0</v>
      </c>
      <c r="O1945" s="1">
        <v>97</v>
      </c>
      <c r="P1945" s="4">
        <f t="shared" si="90"/>
        <v>1026315</v>
      </c>
      <c r="Q1945" s="4">
        <f t="shared" si="91"/>
        <v>5</v>
      </c>
      <c r="R1945" s="4">
        <f t="shared" si="92"/>
        <v>205263</v>
      </c>
    </row>
    <row r="1946" spans="1:18" hidden="1">
      <c r="A1946" s="1">
        <v>2</v>
      </c>
      <c r="B1946" s="1" t="str">
        <f>"قطعات و لوازم يدكي"</f>
        <v>قطعات و لوازم يدكي</v>
      </c>
      <c r="C1946" s="1">
        <v>101</v>
      </c>
      <c r="D1946" s="1" t="str">
        <f>"انبار قطعات و لوازم يدكي اصفهان"</f>
        <v>انبار قطعات و لوازم يدكي اصفهان</v>
      </c>
      <c r="E1946" s="1" t="str">
        <f>"7662792552"</f>
        <v>7662792552</v>
      </c>
      <c r="F1946" s="1" t="str">
        <f>"فلنج گلودار 5 اينچ کربن استيل"</f>
        <v>فلنج گلودار 5 اينچ کربن استيل</v>
      </c>
      <c r="G1946" s="1" t="str">
        <f>"عدد"</f>
        <v>عدد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O1946" s="1">
        <v>97</v>
      </c>
      <c r="P1946" s="1">
        <f t="shared" si="90"/>
        <v>0</v>
      </c>
      <c r="Q1946" s="1">
        <f t="shared" si="91"/>
        <v>0</v>
      </c>
      <c r="R1946" s="1" t="e">
        <f t="shared" si="92"/>
        <v>#DIV/0!</v>
      </c>
    </row>
    <row r="1947" spans="1:18">
      <c r="A1947" s="1">
        <v>2</v>
      </c>
      <c r="B1947" s="1" t="str">
        <f>"قطعات و لوازم يدكي"</f>
        <v>قطعات و لوازم يدكي</v>
      </c>
      <c r="C1947" s="1">
        <v>101</v>
      </c>
      <c r="D1947" s="1" t="str">
        <f>"انبار قطعات و لوازم يدكي اصفهان"</f>
        <v>انبار قطعات و لوازم يدكي اصفهان</v>
      </c>
      <c r="E1947" s="1" t="str">
        <f>"7662792582"</f>
        <v>7662792582</v>
      </c>
      <c r="F1947" s="1" t="str">
        <f>"فلنج 8اينچ wnكلاس 150"</f>
        <v>فلنج 8اينچ wnكلاس 150</v>
      </c>
      <c r="G1947" s="1" t="str">
        <f>"عدد"</f>
        <v>عدد</v>
      </c>
      <c r="H1947" s="1">
        <v>8</v>
      </c>
      <c r="I1947" s="1">
        <v>3701622</v>
      </c>
      <c r="J1947" s="1">
        <v>0</v>
      </c>
      <c r="K1947" s="1">
        <v>0</v>
      </c>
      <c r="L1947" s="1">
        <v>2</v>
      </c>
      <c r="M1947" s="1">
        <v>925406</v>
      </c>
      <c r="O1947" s="1">
        <v>97</v>
      </c>
      <c r="P1947" s="4">
        <f t="shared" si="90"/>
        <v>2776216</v>
      </c>
      <c r="Q1947" s="4">
        <f t="shared" si="91"/>
        <v>6</v>
      </c>
      <c r="R1947" s="4">
        <f t="shared" si="92"/>
        <v>462702.66666666669</v>
      </c>
    </row>
    <row r="1948" spans="1:18">
      <c r="A1948" s="1">
        <v>2</v>
      </c>
      <c r="B1948" s="1" t="str">
        <f>"قطعات و لوازم يدكي"</f>
        <v>قطعات و لوازم يدكي</v>
      </c>
      <c r="C1948" s="1">
        <v>101</v>
      </c>
      <c r="D1948" s="1" t="str">
        <f>"انبار قطعات و لوازم يدكي اصفهان"</f>
        <v>انبار قطعات و لوازم يدكي اصفهان</v>
      </c>
      <c r="E1948" s="1" t="str">
        <f>"7662795802"</f>
        <v>7662795802</v>
      </c>
      <c r="F1948" s="1" t="str">
        <f>"فلنج 2 اينچ wnكلاس 300"</f>
        <v>فلنج 2 اينچ wnكلاس 300</v>
      </c>
      <c r="G1948" s="1" t="str">
        <f>"عدد"</f>
        <v>عدد</v>
      </c>
      <c r="H1948" s="1">
        <v>2</v>
      </c>
      <c r="I1948" s="1">
        <v>698571</v>
      </c>
      <c r="J1948" s="1">
        <v>19</v>
      </c>
      <c r="K1948" s="1">
        <v>17630000</v>
      </c>
      <c r="L1948" s="1">
        <v>7</v>
      </c>
      <c r="M1948" s="1">
        <v>5743072</v>
      </c>
      <c r="O1948" s="1">
        <v>97</v>
      </c>
      <c r="P1948" s="4">
        <f t="shared" si="90"/>
        <v>12585499</v>
      </c>
      <c r="Q1948" s="4">
        <f t="shared" si="91"/>
        <v>14</v>
      </c>
      <c r="R1948" s="4">
        <f t="shared" si="92"/>
        <v>898964.21428571432</v>
      </c>
    </row>
    <row r="1949" spans="1:18">
      <c r="A1949" s="1">
        <v>2</v>
      </c>
      <c r="B1949" s="1" t="str">
        <f>"قطعات و لوازم يدكي"</f>
        <v>قطعات و لوازم يدكي</v>
      </c>
      <c r="C1949" s="1">
        <v>101</v>
      </c>
      <c r="D1949" s="1" t="str">
        <f>"انبار قطعات و لوازم يدكي اصفهان"</f>
        <v>انبار قطعات و لوازم يدكي اصفهان</v>
      </c>
      <c r="E1949" s="1" t="str">
        <f>"7688062262"</f>
        <v>7688062262</v>
      </c>
      <c r="F1949" s="1" t="str">
        <f>"فلنج عينکي 6 اينچ کلاس 150"</f>
        <v>فلنج عينکي 6 اينچ کلاس 150</v>
      </c>
      <c r="G1949" s="1" t="str">
        <f>"عدد"</f>
        <v>عدد</v>
      </c>
      <c r="H1949" s="1">
        <v>5</v>
      </c>
      <c r="I1949" s="1">
        <v>11500000</v>
      </c>
      <c r="J1949" s="1">
        <v>0</v>
      </c>
      <c r="K1949" s="1">
        <v>0</v>
      </c>
      <c r="L1949" s="1">
        <v>0</v>
      </c>
      <c r="M1949" s="1">
        <v>0</v>
      </c>
      <c r="O1949" s="1">
        <v>97</v>
      </c>
      <c r="P1949" s="4">
        <f t="shared" si="90"/>
        <v>11500000</v>
      </c>
      <c r="Q1949" s="4">
        <f t="shared" si="91"/>
        <v>5</v>
      </c>
      <c r="R1949" s="4">
        <f t="shared" si="92"/>
        <v>2300000</v>
      </c>
    </row>
    <row r="1950" spans="1:18" hidden="1">
      <c r="A1950" s="1">
        <v>2</v>
      </c>
      <c r="B1950" s="1" t="str">
        <f>"قطعات و لوازم يدكي"</f>
        <v>قطعات و لوازم يدكي</v>
      </c>
      <c r="C1950" s="1">
        <v>101</v>
      </c>
      <c r="D1950" s="1" t="str">
        <f>"انبار قطعات و لوازم يدكي اصفهان"</f>
        <v>انبار قطعات و لوازم يدكي اصفهان</v>
      </c>
      <c r="E1950" s="1" t="str">
        <f>"7802020092"</f>
        <v>7802020092</v>
      </c>
      <c r="F1950" s="1" t="str">
        <f>"تسمه استيل 19 ميليمتر"</f>
        <v>تسمه استيل 19 ميليمتر</v>
      </c>
      <c r="G1950" s="1" t="str">
        <f>"كيلوگرم"</f>
        <v>كيلوگرم</v>
      </c>
      <c r="H1950" s="1">
        <v>0</v>
      </c>
      <c r="I1950" s="1">
        <v>0</v>
      </c>
      <c r="J1950" s="1">
        <v>31.8</v>
      </c>
      <c r="K1950" s="1">
        <v>7218600</v>
      </c>
      <c r="L1950" s="1">
        <v>31.8</v>
      </c>
      <c r="M1950" s="1">
        <v>7218600</v>
      </c>
      <c r="O1950" s="1">
        <v>97</v>
      </c>
      <c r="P1950" s="1">
        <f t="shared" si="90"/>
        <v>0</v>
      </c>
      <c r="Q1950" s="1">
        <f t="shared" si="91"/>
        <v>0</v>
      </c>
      <c r="R1950" s="1" t="e">
        <f t="shared" si="92"/>
        <v>#DIV/0!</v>
      </c>
    </row>
    <row r="1951" spans="1:18" hidden="1">
      <c r="A1951" s="1">
        <v>2</v>
      </c>
      <c r="B1951" s="1" t="str">
        <f>"قطعات و لوازم يدكي"</f>
        <v>قطعات و لوازم يدكي</v>
      </c>
      <c r="C1951" s="1">
        <v>101</v>
      </c>
      <c r="D1951" s="1" t="str">
        <f>"انبار قطعات و لوازم يدكي اصفهان"</f>
        <v>انبار قطعات و لوازم يدكي اصفهان</v>
      </c>
      <c r="E1951" s="1" t="str">
        <f>"8100000042"</f>
        <v>8100000042</v>
      </c>
      <c r="F1951" s="1" t="str">
        <f>"يوبلت 2 اينچ"</f>
        <v>يوبلت 2 اينچ</v>
      </c>
      <c r="G1951" s="1" t="str">
        <f>"عدد"</f>
        <v>عدد</v>
      </c>
      <c r="H1951" s="1">
        <v>13</v>
      </c>
      <c r="I1951" s="1">
        <v>92773</v>
      </c>
      <c r="J1951" s="1">
        <v>0</v>
      </c>
      <c r="K1951" s="1">
        <v>0</v>
      </c>
      <c r="L1951" s="1">
        <v>13</v>
      </c>
      <c r="M1951" s="1">
        <v>92773</v>
      </c>
      <c r="O1951" s="1">
        <v>97</v>
      </c>
      <c r="P1951" s="1">
        <f t="shared" si="90"/>
        <v>0</v>
      </c>
      <c r="Q1951" s="1">
        <f t="shared" si="91"/>
        <v>0</v>
      </c>
      <c r="R1951" s="1" t="e">
        <f t="shared" si="92"/>
        <v>#DIV/0!</v>
      </c>
    </row>
    <row r="1952" spans="1:18" hidden="1">
      <c r="A1952" s="1">
        <v>2</v>
      </c>
      <c r="B1952" s="1" t="str">
        <f>"قطعات و لوازم يدكي"</f>
        <v>قطعات و لوازم يدكي</v>
      </c>
      <c r="C1952" s="1">
        <v>101</v>
      </c>
      <c r="D1952" s="1" t="str">
        <f>"انبار قطعات و لوازم يدكي اصفهان"</f>
        <v>انبار قطعات و لوازم يدكي اصفهان</v>
      </c>
      <c r="E1952" s="1" t="str">
        <f>"8100000062"</f>
        <v>8100000062</v>
      </c>
      <c r="F1952" s="1" t="str">
        <f>"رول پلاک 4*1/5 بسته 50 عددي"</f>
        <v>رول پلاک 4*1/5 بسته 50 عددي</v>
      </c>
      <c r="G1952" s="1" t="str">
        <f>"عدد"</f>
        <v>عدد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O1952" s="1">
        <v>97</v>
      </c>
      <c r="P1952" s="1">
        <f t="shared" si="90"/>
        <v>0</v>
      </c>
      <c r="Q1952" s="1">
        <f t="shared" si="91"/>
        <v>0</v>
      </c>
      <c r="R1952" s="1" t="e">
        <f t="shared" si="92"/>
        <v>#DIV/0!</v>
      </c>
    </row>
    <row r="1953" spans="1:18" hidden="1">
      <c r="A1953" s="1">
        <v>2</v>
      </c>
      <c r="B1953" s="1" t="str">
        <f>"قطعات و لوازم يدكي"</f>
        <v>قطعات و لوازم يدكي</v>
      </c>
      <c r="C1953" s="1">
        <v>101</v>
      </c>
      <c r="D1953" s="1" t="str">
        <f>"انبار قطعات و لوازم يدكي اصفهان"</f>
        <v>انبار قطعات و لوازم يدكي اصفهان</v>
      </c>
      <c r="E1953" s="1" t="str">
        <f>"8101016222"</f>
        <v>8101016222</v>
      </c>
      <c r="F1953" s="1" t="str">
        <f>"پيچ ومهر ه 3/4*75"</f>
        <v>پيچ ومهر ه 3/4*75</v>
      </c>
      <c r="G1953" s="1" t="str">
        <f>"عدد"</f>
        <v>عدد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O1953" s="1">
        <v>97</v>
      </c>
      <c r="P1953" s="1">
        <f t="shared" si="90"/>
        <v>0</v>
      </c>
      <c r="Q1953" s="1">
        <f t="shared" si="91"/>
        <v>0</v>
      </c>
      <c r="R1953" s="1" t="e">
        <f t="shared" si="92"/>
        <v>#DIV/0!</v>
      </c>
    </row>
    <row r="1954" spans="1:18">
      <c r="A1954" s="1">
        <v>2</v>
      </c>
      <c r="B1954" s="1" t="str">
        <f>"قطعات و لوازم يدكي"</f>
        <v>قطعات و لوازم يدكي</v>
      </c>
      <c r="C1954" s="1">
        <v>101</v>
      </c>
      <c r="D1954" s="1" t="str">
        <f>"انبار قطعات و لوازم يدكي اصفهان"</f>
        <v>انبار قطعات و لوازم يدكي اصفهان</v>
      </c>
      <c r="E1954" s="1" t="str">
        <f>"8101016822"</f>
        <v>8101016822</v>
      </c>
      <c r="F1954" s="1" t="str">
        <f>"ماشين بولت 75*7/8"</f>
        <v>ماشين بولت 75*7/8</v>
      </c>
      <c r="G1954" s="1" t="str">
        <f>"عدد"</f>
        <v>عدد</v>
      </c>
      <c r="H1954" s="1">
        <v>25</v>
      </c>
      <c r="I1954" s="1">
        <v>350000</v>
      </c>
      <c r="J1954" s="1">
        <v>0</v>
      </c>
      <c r="K1954" s="1">
        <v>0</v>
      </c>
      <c r="L1954" s="1">
        <v>0</v>
      </c>
      <c r="M1954" s="1">
        <v>0</v>
      </c>
      <c r="O1954" s="1">
        <v>97</v>
      </c>
      <c r="P1954" s="4">
        <f t="shared" si="90"/>
        <v>350000</v>
      </c>
      <c r="Q1954" s="4">
        <f t="shared" si="91"/>
        <v>25</v>
      </c>
      <c r="R1954" s="4">
        <f t="shared" si="92"/>
        <v>14000</v>
      </c>
    </row>
    <row r="1955" spans="1:18">
      <c r="A1955" s="1">
        <v>2</v>
      </c>
      <c r="B1955" s="1" t="str">
        <f>"قطعات و لوازم يدكي"</f>
        <v>قطعات و لوازم يدكي</v>
      </c>
      <c r="C1955" s="1">
        <v>101</v>
      </c>
      <c r="D1955" s="1" t="str">
        <f>"انبار قطعات و لوازم يدكي اصفهان"</f>
        <v>انبار قطعات و لوازم يدكي اصفهان</v>
      </c>
      <c r="E1955" s="1" t="str">
        <f>"8101017552"</f>
        <v>8101017552</v>
      </c>
      <c r="F1955" s="1" t="str">
        <f>"پيچ ومهره 1*140"</f>
        <v>پيچ ومهره 1*140</v>
      </c>
      <c r="G1955" s="1" t="str">
        <f>"عدد"</f>
        <v>عدد</v>
      </c>
      <c r="H1955" s="1">
        <v>10</v>
      </c>
      <c r="I1955" s="1">
        <v>1857</v>
      </c>
      <c r="J1955" s="1">
        <v>0</v>
      </c>
      <c r="K1955" s="1">
        <v>0</v>
      </c>
      <c r="L1955" s="1">
        <v>0</v>
      </c>
      <c r="M1955" s="1">
        <v>0</v>
      </c>
      <c r="O1955" s="1">
        <v>97</v>
      </c>
      <c r="P1955" s="4">
        <f t="shared" si="90"/>
        <v>1857</v>
      </c>
      <c r="Q1955" s="4">
        <f t="shared" si="91"/>
        <v>10</v>
      </c>
      <c r="R1955" s="4">
        <f t="shared" si="92"/>
        <v>185.7</v>
      </c>
    </row>
    <row r="1956" spans="1:18">
      <c r="A1956" s="1">
        <v>2</v>
      </c>
      <c r="B1956" s="1" t="str">
        <f>"قطعات و لوازم يدكي"</f>
        <v>قطعات و لوازم يدكي</v>
      </c>
      <c r="C1956" s="1">
        <v>101</v>
      </c>
      <c r="D1956" s="1" t="str">
        <f>"انبار قطعات و لوازم يدكي اصفهان"</f>
        <v>انبار قطعات و لوازم يدكي اصفهان</v>
      </c>
      <c r="E1956" s="1" t="str">
        <f>"8101017562"</f>
        <v>8101017562</v>
      </c>
      <c r="F1956" s="1" t="str">
        <f>"پيچ مهر ه 1*150"</f>
        <v>پيچ مهر ه 1*150</v>
      </c>
      <c r="G1956" s="1" t="str">
        <f>"عدد"</f>
        <v>عدد</v>
      </c>
      <c r="H1956" s="1">
        <v>10</v>
      </c>
      <c r="I1956" s="1">
        <v>2201</v>
      </c>
      <c r="J1956" s="1">
        <v>0</v>
      </c>
      <c r="K1956" s="1">
        <v>0</v>
      </c>
      <c r="L1956" s="1">
        <v>0</v>
      </c>
      <c r="M1956" s="1">
        <v>0</v>
      </c>
      <c r="O1956" s="1">
        <v>97</v>
      </c>
      <c r="P1956" s="4">
        <f t="shared" si="90"/>
        <v>2201</v>
      </c>
      <c r="Q1956" s="4">
        <f t="shared" si="91"/>
        <v>10</v>
      </c>
      <c r="R1956" s="4">
        <f t="shared" si="92"/>
        <v>220.1</v>
      </c>
    </row>
    <row r="1957" spans="1:18">
      <c r="A1957" s="1">
        <v>2</v>
      </c>
      <c r="B1957" s="1" t="str">
        <f>"قطعات و لوازم يدكي"</f>
        <v>قطعات و لوازم يدكي</v>
      </c>
      <c r="C1957" s="1">
        <v>101</v>
      </c>
      <c r="D1957" s="1" t="str">
        <f>"انبار قطعات و لوازم يدكي اصفهان"</f>
        <v>انبار قطعات و لوازم يدكي اصفهان</v>
      </c>
      <c r="E1957" s="1" t="str">
        <f>"8138612142"</f>
        <v>8138612142</v>
      </c>
      <c r="F1957" s="1" t="str">
        <f>"پيچ نگهدارنده 1/2 اينچ 80mm"</f>
        <v>پيچ نگهدارنده 1/2 اينچ 80mm</v>
      </c>
      <c r="G1957" s="1" t="str">
        <f>"عدد"</f>
        <v>عدد</v>
      </c>
      <c r="H1957" s="1">
        <v>119</v>
      </c>
      <c r="I1957" s="1">
        <v>1493130</v>
      </c>
      <c r="J1957" s="1">
        <v>115</v>
      </c>
      <c r="K1957" s="1">
        <v>5231036</v>
      </c>
      <c r="L1957" s="1">
        <v>55</v>
      </c>
      <c r="M1957" s="1">
        <v>1580467</v>
      </c>
      <c r="O1957" s="1">
        <v>97</v>
      </c>
      <c r="P1957" s="4">
        <f t="shared" si="90"/>
        <v>5143699</v>
      </c>
      <c r="Q1957" s="4">
        <f t="shared" si="91"/>
        <v>179</v>
      </c>
      <c r="R1957" s="4">
        <f t="shared" si="92"/>
        <v>28735.748603351956</v>
      </c>
    </row>
    <row r="1958" spans="1:18">
      <c r="A1958" s="1">
        <v>2</v>
      </c>
      <c r="B1958" s="1" t="str">
        <f>"قطعات و لوازم يدكي"</f>
        <v>قطعات و لوازم يدكي</v>
      </c>
      <c r="C1958" s="1">
        <v>101</v>
      </c>
      <c r="D1958" s="1" t="str">
        <f>"انبار قطعات و لوازم يدكي اصفهان"</f>
        <v>انبار قطعات و لوازم يدكي اصفهان</v>
      </c>
      <c r="E1958" s="1" t="str">
        <f>"8138614752"</f>
        <v>8138614752</v>
      </c>
      <c r="F1958" s="1" t="str">
        <f>"پيچ نگهدارنده 3/4 اينچ 120mm"</f>
        <v>پيچ نگهدارنده 3/4 اينچ 120mm</v>
      </c>
      <c r="G1958" s="1" t="str">
        <f>"عدد"</f>
        <v>عدد</v>
      </c>
      <c r="H1958" s="1">
        <v>26</v>
      </c>
      <c r="I1958" s="1">
        <v>1170000</v>
      </c>
      <c r="J1958" s="1">
        <v>496</v>
      </c>
      <c r="K1958" s="1">
        <v>42586371</v>
      </c>
      <c r="L1958" s="1">
        <v>355</v>
      </c>
      <c r="M1958" s="1">
        <v>27059290</v>
      </c>
      <c r="O1958" s="1">
        <v>97</v>
      </c>
      <c r="P1958" s="4">
        <f t="shared" si="90"/>
        <v>16697081</v>
      </c>
      <c r="Q1958" s="4">
        <f t="shared" si="91"/>
        <v>167</v>
      </c>
      <c r="R1958" s="4">
        <f t="shared" si="92"/>
        <v>99982.520958083827</v>
      </c>
    </row>
    <row r="1959" spans="1:18">
      <c r="A1959" s="1">
        <v>2</v>
      </c>
      <c r="B1959" s="1" t="str">
        <f>"قطعات و لوازم يدكي"</f>
        <v>قطعات و لوازم يدكي</v>
      </c>
      <c r="C1959" s="1">
        <v>101</v>
      </c>
      <c r="D1959" s="1" t="str">
        <f>"انبار قطعات و لوازم يدكي اصفهان"</f>
        <v>انبار قطعات و لوازم يدكي اصفهان</v>
      </c>
      <c r="E1959" s="1" t="str">
        <f>"8138614832"</f>
        <v>8138614832</v>
      </c>
      <c r="F1959" s="1" t="str">
        <f>"پيچ نگهدارنده 160*3/4"</f>
        <v>پيچ نگهدارنده 160*3/4</v>
      </c>
      <c r="G1959" s="1" t="str">
        <f>"عدد"</f>
        <v>عدد</v>
      </c>
      <c r="H1959" s="1">
        <v>73</v>
      </c>
      <c r="I1959" s="1">
        <v>3572406</v>
      </c>
      <c r="J1959" s="1">
        <v>122</v>
      </c>
      <c r="K1959" s="1">
        <v>11162387</v>
      </c>
      <c r="L1959" s="1">
        <v>90</v>
      </c>
      <c r="M1959" s="1">
        <v>6800673</v>
      </c>
      <c r="O1959" s="1">
        <v>97</v>
      </c>
      <c r="P1959" s="4">
        <f t="shared" si="90"/>
        <v>7934120</v>
      </c>
      <c r="Q1959" s="4">
        <f t="shared" si="91"/>
        <v>105</v>
      </c>
      <c r="R1959" s="4">
        <f t="shared" si="92"/>
        <v>75563.047619047618</v>
      </c>
    </row>
    <row r="1960" spans="1:18">
      <c r="A1960" s="1">
        <v>2</v>
      </c>
      <c r="B1960" s="1" t="str">
        <f>"قطعات و لوازم يدكي"</f>
        <v>قطعات و لوازم يدكي</v>
      </c>
      <c r="C1960" s="1">
        <v>101</v>
      </c>
      <c r="D1960" s="1" t="str">
        <f>"انبار قطعات و لوازم يدكي اصفهان"</f>
        <v>انبار قطعات و لوازم يدكي اصفهان</v>
      </c>
      <c r="E1960" s="1" t="str">
        <f>"8138615032"</f>
        <v>8138615032</v>
      </c>
      <c r="F1960" s="1" t="str">
        <f>"استد بولت 260*3/4"</f>
        <v>استد بولت 260*3/4</v>
      </c>
      <c r="G1960" s="1" t="str">
        <f>"عدد"</f>
        <v>عدد</v>
      </c>
      <c r="H1960" s="1">
        <v>58</v>
      </c>
      <c r="I1960" s="1">
        <v>4234000</v>
      </c>
      <c r="J1960" s="1">
        <v>50</v>
      </c>
      <c r="K1960" s="1">
        <v>6000000</v>
      </c>
      <c r="L1960" s="1">
        <v>47</v>
      </c>
      <c r="M1960" s="1">
        <v>4453686</v>
      </c>
      <c r="O1960" s="1">
        <v>97</v>
      </c>
      <c r="P1960" s="4">
        <f t="shared" si="90"/>
        <v>5780314</v>
      </c>
      <c r="Q1960" s="4">
        <f t="shared" si="91"/>
        <v>61</v>
      </c>
      <c r="R1960" s="4">
        <f t="shared" si="92"/>
        <v>94759.24590163934</v>
      </c>
    </row>
    <row r="1961" spans="1:18">
      <c r="A1961" s="1">
        <v>2</v>
      </c>
      <c r="B1961" s="1" t="str">
        <f>"قطعات و لوازم يدكي"</f>
        <v>قطعات و لوازم يدكي</v>
      </c>
      <c r="C1961" s="1">
        <v>101</v>
      </c>
      <c r="D1961" s="1" t="str">
        <f>"انبار قطعات و لوازم يدكي اصفهان"</f>
        <v>انبار قطعات و لوازم يدكي اصفهان</v>
      </c>
      <c r="E1961" s="1" t="str">
        <f>"8138615702"</f>
        <v>8138615702</v>
      </c>
      <c r="F1961" s="1" t="s">
        <v>124</v>
      </c>
      <c r="G1961" s="1" t="str">
        <f>"عدد"</f>
        <v>عدد</v>
      </c>
      <c r="H1961" s="1">
        <v>0</v>
      </c>
      <c r="I1961" s="1">
        <v>0</v>
      </c>
      <c r="J1961" s="1">
        <v>100</v>
      </c>
      <c r="K1961" s="1">
        <v>17460000</v>
      </c>
      <c r="L1961" s="1">
        <v>51</v>
      </c>
      <c r="M1961" s="1">
        <v>8904600</v>
      </c>
      <c r="O1961" s="1">
        <v>97</v>
      </c>
      <c r="P1961" s="4">
        <f t="shared" si="90"/>
        <v>8555400</v>
      </c>
      <c r="Q1961" s="4">
        <f t="shared" si="91"/>
        <v>49</v>
      </c>
      <c r="R1961" s="4">
        <f t="shared" si="92"/>
        <v>174600</v>
      </c>
    </row>
    <row r="1962" spans="1:18">
      <c r="A1962" s="1">
        <v>2</v>
      </c>
      <c r="B1962" s="1" t="str">
        <f>"قطعات و لوازم يدكي"</f>
        <v>قطعات و لوازم يدكي</v>
      </c>
      <c r="C1962" s="1">
        <v>101</v>
      </c>
      <c r="D1962" s="1" t="str">
        <f>"انبار قطعات و لوازم يدكي اصفهان"</f>
        <v>انبار قطعات و لوازم يدكي اصفهان</v>
      </c>
      <c r="E1962" s="1" t="str">
        <f>"8138620122"</f>
        <v>8138620122</v>
      </c>
      <c r="F1962" s="1" t="s">
        <v>125</v>
      </c>
      <c r="G1962" s="1" t="str">
        <f>"عدد"</f>
        <v>عدد</v>
      </c>
      <c r="H1962" s="1">
        <v>67</v>
      </c>
      <c r="I1962" s="1">
        <v>7906000</v>
      </c>
      <c r="J1962" s="1">
        <v>21</v>
      </c>
      <c r="K1962" s="1">
        <v>5957540</v>
      </c>
      <c r="L1962" s="1">
        <v>1</v>
      </c>
      <c r="M1962" s="1">
        <v>157540</v>
      </c>
      <c r="O1962" s="1">
        <v>97</v>
      </c>
      <c r="P1962" s="4">
        <f t="shared" si="90"/>
        <v>13706000</v>
      </c>
      <c r="Q1962" s="4">
        <f t="shared" si="91"/>
        <v>87</v>
      </c>
      <c r="R1962" s="4">
        <f t="shared" si="92"/>
        <v>157540.22988505746</v>
      </c>
    </row>
    <row r="1963" spans="1:18">
      <c r="A1963" s="1">
        <v>2</v>
      </c>
      <c r="B1963" s="1" t="str">
        <f>"قطعات و لوازم يدكي"</f>
        <v>قطعات و لوازم يدكي</v>
      </c>
      <c r="C1963" s="1">
        <v>101</v>
      </c>
      <c r="D1963" s="1" t="str">
        <f>"انبار قطعات و لوازم يدكي اصفهان"</f>
        <v>انبار قطعات و لوازم يدكي اصفهان</v>
      </c>
      <c r="E1963" s="1" t="str">
        <f>"8175415022"</f>
        <v>8175415022</v>
      </c>
      <c r="F1963" s="1" t="str">
        <f>"پلمپ تسمه اي(حديد 1/5*35)"</f>
        <v>پلمپ تسمه اي(حديد 1/5*35)</v>
      </c>
      <c r="G1963" s="1" t="str">
        <f>"عدد"</f>
        <v>عدد</v>
      </c>
      <c r="H1963" s="1">
        <v>47000</v>
      </c>
      <c r="I1963" s="1">
        <v>465300000</v>
      </c>
      <c r="J1963" s="1">
        <v>120000</v>
      </c>
      <c r="K1963" s="1">
        <v>1494000000</v>
      </c>
      <c r="L1963" s="1">
        <v>93000</v>
      </c>
      <c r="M1963" s="1">
        <v>1050405177</v>
      </c>
      <c r="O1963" s="1">
        <v>97</v>
      </c>
      <c r="P1963" s="4">
        <f t="shared" si="90"/>
        <v>908894823</v>
      </c>
      <c r="Q1963" s="4">
        <f t="shared" si="91"/>
        <v>74000</v>
      </c>
      <c r="R1963" s="4">
        <f t="shared" si="92"/>
        <v>12282.362472972973</v>
      </c>
    </row>
    <row r="1964" spans="1:18">
      <c r="A1964" s="1">
        <v>2</v>
      </c>
      <c r="B1964" s="1" t="str">
        <f>"قطعات و لوازم يدكي"</f>
        <v>قطعات و لوازم يدكي</v>
      </c>
      <c r="C1964" s="1">
        <v>101</v>
      </c>
      <c r="D1964" s="1" t="str">
        <f>"انبار قطعات و لوازم يدكي اصفهان"</f>
        <v>انبار قطعات و لوازم يدكي اصفهان</v>
      </c>
      <c r="E1964" s="1" t="str">
        <f>"8178010192"</f>
        <v>8178010192</v>
      </c>
      <c r="F1964" s="1" t="str">
        <f>"واشر تخت معمولي 3/4"</f>
        <v>واشر تخت معمولي 3/4</v>
      </c>
      <c r="G1964" s="1" t="str">
        <f>"عدد"</f>
        <v>عدد</v>
      </c>
      <c r="H1964" s="1">
        <v>55</v>
      </c>
      <c r="I1964" s="1">
        <v>15125</v>
      </c>
      <c r="J1964" s="1">
        <v>0</v>
      </c>
      <c r="K1964" s="1">
        <v>0</v>
      </c>
      <c r="L1964" s="1">
        <v>0</v>
      </c>
      <c r="M1964" s="1">
        <v>0</v>
      </c>
      <c r="O1964" s="1">
        <v>97</v>
      </c>
      <c r="P1964" s="4">
        <f t="shared" si="90"/>
        <v>15125</v>
      </c>
      <c r="Q1964" s="4">
        <f t="shared" si="91"/>
        <v>55</v>
      </c>
      <c r="R1964" s="4">
        <f t="shared" si="92"/>
        <v>275</v>
      </c>
    </row>
    <row r="1965" spans="1:18">
      <c r="A1965" s="1">
        <v>2</v>
      </c>
      <c r="B1965" s="1" t="str">
        <f>"قطعات و لوازم يدكي"</f>
        <v>قطعات و لوازم يدكي</v>
      </c>
      <c r="C1965" s="1">
        <v>101</v>
      </c>
      <c r="D1965" s="1" t="str">
        <f>"انبار قطعات و لوازم يدكي اصفهان"</f>
        <v>انبار قطعات و لوازم يدكي اصفهان</v>
      </c>
      <c r="E1965" s="1" t="str">
        <f>"8178010262"</f>
        <v>8178010262</v>
      </c>
      <c r="F1965" s="1" t="s">
        <v>126</v>
      </c>
      <c r="G1965" s="1" t="str">
        <f>"عدد"</f>
        <v>عدد</v>
      </c>
      <c r="H1965" s="1">
        <v>100</v>
      </c>
      <c r="I1965" s="1">
        <v>160000</v>
      </c>
      <c r="J1965" s="1">
        <v>1</v>
      </c>
      <c r="K1965" s="1">
        <v>1600</v>
      </c>
      <c r="L1965" s="1">
        <v>2</v>
      </c>
      <c r="M1965" s="1">
        <v>3200</v>
      </c>
      <c r="O1965" s="1">
        <v>97</v>
      </c>
      <c r="P1965" s="4">
        <f t="shared" si="90"/>
        <v>158400</v>
      </c>
      <c r="Q1965" s="4">
        <f t="shared" si="91"/>
        <v>99</v>
      </c>
      <c r="R1965" s="4">
        <f t="shared" si="92"/>
        <v>1600</v>
      </c>
    </row>
    <row r="1966" spans="1:18" hidden="1">
      <c r="A1966" s="1">
        <v>2</v>
      </c>
      <c r="B1966" s="1" t="str">
        <f>"قطعات و لوازم يدكي"</f>
        <v>قطعات و لوازم يدكي</v>
      </c>
      <c r="C1966" s="1">
        <v>205</v>
      </c>
      <c r="D1966" s="1" t="str">
        <f>"انبار قطعات و لوازم يدكي بندرعباس"</f>
        <v>انبار قطعات و لوازم يدكي بندرعباس</v>
      </c>
      <c r="E1966" s="1" t="str">
        <f>"1800000633"</f>
        <v>1800000633</v>
      </c>
      <c r="F1966" s="1" t="str">
        <f>"لوله سفيد آب 32"</f>
        <v>لوله سفيد آب 32</v>
      </c>
      <c r="G1966" s="1" t="str">
        <f>"شاخه"</f>
        <v>شاخه</v>
      </c>
      <c r="H1966" s="1">
        <v>2</v>
      </c>
      <c r="I1966" s="1">
        <v>480000</v>
      </c>
      <c r="J1966" s="1">
        <v>0</v>
      </c>
      <c r="K1966" s="1">
        <v>0</v>
      </c>
      <c r="L1966" s="1">
        <v>2</v>
      </c>
      <c r="M1966" s="1">
        <v>480000</v>
      </c>
      <c r="O1966" s="1">
        <v>97</v>
      </c>
      <c r="P1966" s="1">
        <f t="shared" si="90"/>
        <v>0</v>
      </c>
      <c r="Q1966" s="1">
        <f t="shared" si="91"/>
        <v>0</v>
      </c>
      <c r="R1966" s="1" t="e">
        <f t="shared" si="92"/>
        <v>#DIV/0!</v>
      </c>
    </row>
    <row r="1967" spans="1:18">
      <c r="A1967" s="1">
        <v>2</v>
      </c>
      <c r="B1967" s="1" t="str">
        <f>"قطعات و لوازم يدكي"</f>
        <v>قطعات و لوازم يدكي</v>
      </c>
      <c r="C1967" s="1">
        <v>205</v>
      </c>
      <c r="D1967" s="1" t="str">
        <f>"انبار قطعات و لوازم يدكي بندرعباس"</f>
        <v>انبار قطعات و لوازم يدكي بندرعباس</v>
      </c>
      <c r="E1967" s="1" t="str">
        <f>"1800000639"</f>
        <v>1800000639</v>
      </c>
      <c r="F1967" s="1" t="str">
        <f>"واشر کوپلينگ هاي درانت"</f>
        <v>واشر کوپلينگ هاي درانت</v>
      </c>
      <c r="G1967" s="1" t="str">
        <f>"عدد"</f>
        <v>عدد</v>
      </c>
      <c r="H1967" s="1">
        <v>2</v>
      </c>
      <c r="I1967" s="1">
        <v>2000</v>
      </c>
      <c r="J1967" s="1">
        <v>0</v>
      </c>
      <c r="K1967" s="1">
        <v>0</v>
      </c>
      <c r="L1967" s="1">
        <v>1</v>
      </c>
      <c r="M1967" s="1">
        <v>1000</v>
      </c>
      <c r="O1967" s="1">
        <v>97</v>
      </c>
      <c r="P1967" s="4">
        <f t="shared" si="90"/>
        <v>1000</v>
      </c>
      <c r="Q1967" s="4">
        <f t="shared" si="91"/>
        <v>1</v>
      </c>
      <c r="R1967" s="4">
        <f t="shared" si="92"/>
        <v>1000</v>
      </c>
    </row>
    <row r="1968" spans="1:18">
      <c r="A1968" s="1">
        <v>2</v>
      </c>
      <c r="B1968" s="1" t="str">
        <f>"قطعات و لوازم يدكي"</f>
        <v>قطعات و لوازم يدكي</v>
      </c>
      <c r="C1968" s="1">
        <v>205</v>
      </c>
      <c r="D1968" s="1" t="str">
        <f>"انبار قطعات و لوازم يدكي بندرعباس"</f>
        <v>انبار قطعات و لوازم يدكي بندرعباس</v>
      </c>
      <c r="E1968" s="1" t="str">
        <f>"1800000652"</f>
        <v>1800000652</v>
      </c>
      <c r="F1968" s="1" t="str">
        <f>"لوله و اتصالات (دوسرزانو-6m)"</f>
        <v>لوله و اتصالات (دوسرزانو-6m)</v>
      </c>
      <c r="G1968" s="1" t="str">
        <f>"عدد"</f>
        <v>عدد</v>
      </c>
      <c r="H1968" s="1">
        <v>1</v>
      </c>
      <c r="I1968" s="1">
        <v>900000</v>
      </c>
      <c r="J1968" s="1">
        <v>0</v>
      </c>
      <c r="K1968" s="1">
        <v>0</v>
      </c>
      <c r="L1968" s="1">
        <v>0</v>
      </c>
      <c r="M1968" s="1">
        <v>0</v>
      </c>
      <c r="O1968" s="1">
        <v>97</v>
      </c>
      <c r="P1968" s="4">
        <f t="shared" si="90"/>
        <v>900000</v>
      </c>
      <c r="Q1968" s="4">
        <f t="shared" si="91"/>
        <v>1</v>
      </c>
      <c r="R1968" s="4">
        <f t="shared" si="92"/>
        <v>900000</v>
      </c>
    </row>
    <row r="1969" spans="1:18">
      <c r="A1969" s="1">
        <v>2</v>
      </c>
      <c r="B1969" s="1" t="str">
        <f>"قطعات و لوازم يدكي"</f>
        <v>قطعات و لوازم يدكي</v>
      </c>
      <c r="C1969" s="1">
        <v>205</v>
      </c>
      <c r="D1969" s="1" t="str">
        <f>"انبار قطعات و لوازم يدكي بندرعباس"</f>
        <v>انبار قطعات و لوازم يدكي بندرعباس</v>
      </c>
      <c r="E1969" s="1" t="str">
        <f>"1800000653"</f>
        <v>1800000653</v>
      </c>
      <c r="F1969" s="1" t="str">
        <f>"لوله و اتصالات (يکسر زانو-6m)"</f>
        <v>لوله و اتصالات (يکسر زانو-6m)</v>
      </c>
      <c r="G1969" s="1" t="str">
        <f>"عدد"</f>
        <v>عدد</v>
      </c>
      <c r="H1969" s="1">
        <v>3</v>
      </c>
      <c r="I1969" s="1">
        <v>240000</v>
      </c>
      <c r="J1969" s="1">
        <v>0</v>
      </c>
      <c r="K1969" s="1">
        <v>0</v>
      </c>
      <c r="L1969" s="1">
        <v>0</v>
      </c>
      <c r="M1969" s="1">
        <v>0</v>
      </c>
      <c r="O1969" s="1">
        <v>97</v>
      </c>
      <c r="P1969" s="4">
        <f t="shared" si="90"/>
        <v>240000</v>
      </c>
      <c r="Q1969" s="4">
        <f t="shared" si="91"/>
        <v>3</v>
      </c>
      <c r="R1969" s="4">
        <f t="shared" si="92"/>
        <v>80000</v>
      </c>
    </row>
    <row r="1970" spans="1:18">
      <c r="A1970" s="1">
        <v>2</v>
      </c>
      <c r="B1970" s="1" t="str">
        <f>"قطعات و لوازم يدكي"</f>
        <v>قطعات و لوازم يدكي</v>
      </c>
      <c r="C1970" s="1">
        <v>205</v>
      </c>
      <c r="D1970" s="1" t="str">
        <f>"انبار قطعات و لوازم يدكي بندرعباس"</f>
        <v>انبار قطعات و لوازم يدكي بندرعباس</v>
      </c>
      <c r="E1970" s="1" t="str">
        <f>"1800000656"</f>
        <v>1800000656</v>
      </c>
      <c r="F1970" s="1" t="str">
        <f>"مغزي 3/4"</f>
        <v>مغزي 3/4</v>
      </c>
      <c r="G1970" s="1" t="str">
        <f>"عدد"</f>
        <v>عدد</v>
      </c>
      <c r="H1970" s="1">
        <v>29</v>
      </c>
      <c r="I1970" s="1">
        <v>725000</v>
      </c>
      <c r="J1970" s="1">
        <v>0</v>
      </c>
      <c r="K1970" s="1">
        <v>0</v>
      </c>
      <c r="L1970" s="1">
        <v>1</v>
      </c>
      <c r="M1970" s="1">
        <v>25000</v>
      </c>
      <c r="O1970" s="1">
        <v>97</v>
      </c>
      <c r="P1970" s="4">
        <f t="shared" si="90"/>
        <v>700000</v>
      </c>
      <c r="Q1970" s="4">
        <f t="shared" si="91"/>
        <v>28</v>
      </c>
      <c r="R1970" s="4">
        <f t="shared" si="92"/>
        <v>25000</v>
      </c>
    </row>
    <row r="1971" spans="1:18" hidden="1">
      <c r="A1971" s="1">
        <v>2</v>
      </c>
      <c r="B1971" s="1" t="str">
        <f>"قطعات و لوازم يدكي"</f>
        <v>قطعات و لوازم يدكي</v>
      </c>
      <c r="C1971" s="1">
        <v>205</v>
      </c>
      <c r="D1971" s="1" t="str">
        <f>"انبار قطعات و لوازم يدكي بندرعباس"</f>
        <v>انبار قطعات و لوازم يدكي بندرعباس</v>
      </c>
      <c r="E1971" s="1" t="str">
        <f>"1800000666"</f>
        <v>1800000666</v>
      </c>
      <c r="F1971" s="1" t="str">
        <f>"مهره پلاستيکي"</f>
        <v>مهره پلاستيکي</v>
      </c>
      <c r="G1971" s="1" t="str">
        <f>"عدد"</f>
        <v>عدد</v>
      </c>
      <c r="H1971" s="1">
        <v>10</v>
      </c>
      <c r="I1971" s="1">
        <v>100000</v>
      </c>
      <c r="J1971" s="1">
        <v>0</v>
      </c>
      <c r="K1971" s="1">
        <v>0</v>
      </c>
      <c r="L1971" s="1">
        <v>10</v>
      </c>
      <c r="M1971" s="1">
        <v>100000</v>
      </c>
      <c r="O1971" s="1">
        <v>97</v>
      </c>
      <c r="P1971" s="1">
        <f t="shared" si="90"/>
        <v>0</v>
      </c>
      <c r="Q1971" s="1">
        <f t="shared" si="91"/>
        <v>0</v>
      </c>
      <c r="R1971" s="1" t="e">
        <f t="shared" si="92"/>
        <v>#DIV/0!</v>
      </c>
    </row>
    <row r="1972" spans="1:18">
      <c r="A1972" s="1">
        <v>2</v>
      </c>
      <c r="B1972" s="1" t="str">
        <f>"قطعات و لوازم يدكي"</f>
        <v>قطعات و لوازم يدكي</v>
      </c>
      <c r="C1972" s="1">
        <v>205</v>
      </c>
      <c r="D1972" s="1" t="str">
        <f>"انبار قطعات و لوازم يدكي بندرعباس"</f>
        <v>انبار قطعات و لوازم يدكي بندرعباس</v>
      </c>
      <c r="E1972" s="1" t="str">
        <f>"1800000667"</f>
        <v>1800000667</v>
      </c>
      <c r="F1972" s="1" t="str">
        <f>"موتور زيمنس"</f>
        <v>موتور زيمنس</v>
      </c>
      <c r="G1972" s="1" t="str">
        <f>"عدد"</f>
        <v>عدد</v>
      </c>
      <c r="H1972" s="1">
        <v>1</v>
      </c>
      <c r="I1972" s="1">
        <v>1000000</v>
      </c>
      <c r="J1972" s="1">
        <v>0</v>
      </c>
      <c r="K1972" s="1">
        <v>0</v>
      </c>
      <c r="L1972" s="1">
        <v>0</v>
      </c>
      <c r="M1972" s="1">
        <v>0</v>
      </c>
      <c r="O1972" s="1">
        <v>97</v>
      </c>
      <c r="P1972" s="4">
        <f t="shared" si="90"/>
        <v>1000000</v>
      </c>
      <c r="Q1972" s="4">
        <f t="shared" si="91"/>
        <v>1</v>
      </c>
      <c r="R1972" s="4">
        <f t="shared" si="92"/>
        <v>1000000</v>
      </c>
    </row>
    <row r="1973" spans="1:18">
      <c r="A1973" s="1">
        <v>2</v>
      </c>
      <c r="B1973" s="1" t="str">
        <f>"قطعات و لوازم يدكي"</f>
        <v>قطعات و لوازم يدكي</v>
      </c>
      <c r="C1973" s="1">
        <v>205</v>
      </c>
      <c r="D1973" s="1" t="str">
        <f>"انبار قطعات و لوازم يدكي بندرعباس"</f>
        <v>انبار قطعات و لوازم يدكي بندرعباس</v>
      </c>
      <c r="E1973" s="1" t="str">
        <f>"1800000683"</f>
        <v>1800000683</v>
      </c>
      <c r="F1973" s="1" t="str">
        <f>"وارنيش نسوز 6"</f>
        <v>وارنيش نسوز 6</v>
      </c>
      <c r="G1973" s="1" t="str">
        <f>"متر"</f>
        <v>متر</v>
      </c>
      <c r="H1973" s="1">
        <v>6</v>
      </c>
      <c r="I1973" s="1">
        <v>60000</v>
      </c>
      <c r="J1973" s="1">
        <v>0</v>
      </c>
      <c r="K1973" s="1">
        <v>0</v>
      </c>
      <c r="L1973" s="1">
        <v>0</v>
      </c>
      <c r="M1973" s="1">
        <v>0</v>
      </c>
      <c r="O1973" s="1">
        <v>97</v>
      </c>
      <c r="P1973" s="4">
        <f t="shared" si="90"/>
        <v>60000</v>
      </c>
      <c r="Q1973" s="4">
        <f t="shared" si="91"/>
        <v>6</v>
      </c>
      <c r="R1973" s="4">
        <f t="shared" si="92"/>
        <v>10000</v>
      </c>
    </row>
    <row r="1974" spans="1:18">
      <c r="A1974" s="1">
        <v>2</v>
      </c>
      <c r="B1974" s="1" t="str">
        <f>"قطعات و لوازم يدكي"</f>
        <v>قطعات و لوازم يدكي</v>
      </c>
      <c r="C1974" s="1">
        <v>205</v>
      </c>
      <c r="D1974" s="1" t="str">
        <f>"انبار قطعات و لوازم يدكي بندرعباس"</f>
        <v>انبار قطعات و لوازم يدكي بندرعباس</v>
      </c>
      <c r="E1974" s="1" t="str">
        <f>"1800000684"</f>
        <v>1800000684</v>
      </c>
      <c r="F1974" s="1" t="str">
        <f>"وارنيش نسوز 8"</f>
        <v>وارنيش نسوز 8</v>
      </c>
      <c r="G1974" s="1" t="str">
        <f>"متر"</f>
        <v>متر</v>
      </c>
      <c r="H1974" s="1">
        <v>7</v>
      </c>
      <c r="I1974" s="1">
        <v>105000</v>
      </c>
      <c r="J1974" s="1">
        <v>0</v>
      </c>
      <c r="K1974" s="1">
        <v>0</v>
      </c>
      <c r="L1974" s="1">
        <v>1</v>
      </c>
      <c r="M1974" s="1">
        <v>15000</v>
      </c>
      <c r="O1974" s="1">
        <v>97</v>
      </c>
      <c r="P1974" s="4">
        <f t="shared" si="90"/>
        <v>90000</v>
      </c>
      <c r="Q1974" s="4">
        <f t="shared" si="91"/>
        <v>6</v>
      </c>
      <c r="R1974" s="4">
        <f t="shared" si="92"/>
        <v>15000</v>
      </c>
    </row>
    <row r="1975" spans="1:18" hidden="1">
      <c r="A1975" s="1">
        <v>2</v>
      </c>
      <c r="B1975" s="1" t="str">
        <f>"قطعات و لوازم يدكي"</f>
        <v>قطعات و لوازم يدكي</v>
      </c>
      <c r="C1975" s="1">
        <v>205</v>
      </c>
      <c r="D1975" s="1" t="str">
        <f>"انبار قطعات و لوازم يدكي بندرعباس"</f>
        <v>انبار قطعات و لوازم يدكي بندرعباس</v>
      </c>
      <c r="E1975" s="1" t="str">
        <f>"1800000735"</f>
        <v>1800000735</v>
      </c>
      <c r="F1975" s="1" t="str">
        <f>"پوشرنگ ترافيکي پرتقالي"</f>
        <v>پوشرنگ ترافيکي پرتقالي</v>
      </c>
      <c r="G1975" s="1" t="str">
        <f>"كيلوگرم"</f>
        <v>كيلوگرم</v>
      </c>
      <c r="H1975" s="1">
        <v>16</v>
      </c>
      <c r="I1975" s="1">
        <v>2560000</v>
      </c>
      <c r="J1975" s="1">
        <v>0</v>
      </c>
      <c r="K1975" s="1">
        <v>0</v>
      </c>
      <c r="L1975" s="1">
        <v>16</v>
      </c>
      <c r="M1975" s="1">
        <v>2560000</v>
      </c>
      <c r="O1975" s="1">
        <v>97</v>
      </c>
      <c r="P1975" s="1">
        <f t="shared" si="90"/>
        <v>0</v>
      </c>
      <c r="Q1975" s="1">
        <f t="shared" si="91"/>
        <v>0</v>
      </c>
      <c r="R1975" s="1" t="e">
        <f t="shared" si="92"/>
        <v>#DIV/0!</v>
      </c>
    </row>
    <row r="1976" spans="1:18">
      <c r="A1976" s="1">
        <v>2</v>
      </c>
      <c r="B1976" s="1" t="str">
        <f>"قطعات و لوازم يدكي"</f>
        <v>قطعات و لوازم يدكي</v>
      </c>
      <c r="C1976" s="1">
        <v>205</v>
      </c>
      <c r="D1976" s="1" t="str">
        <f>"انبار قطعات و لوازم يدكي بندرعباس"</f>
        <v>انبار قطعات و لوازم يدكي بندرعباس</v>
      </c>
      <c r="E1976" s="1" t="str">
        <f>"1800000742"</f>
        <v>1800000742</v>
      </c>
      <c r="F1976" s="1" t="str">
        <f>"پيچ و مهره 1/2"</f>
        <v>پيچ و مهره 1/2</v>
      </c>
      <c r="G1976" s="1" t="str">
        <f>"عدد"</f>
        <v>عدد</v>
      </c>
      <c r="H1976" s="1">
        <v>6</v>
      </c>
      <c r="I1976" s="1">
        <v>108000</v>
      </c>
      <c r="J1976" s="1">
        <v>0</v>
      </c>
      <c r="K1976" s="1">
        <v>0</v>
      </c>
      <c r="L1976" s="1">
        <v>0</v>
      </c>
      <c r="M1976" s="1">
        <v>0</v>
      </c>
      <c r="O1976" s="1">
        <v>97</v>
      </c>
      <c r="P1976" s="4">
        <f t="shared" si="90"/>
        <v>108000</v>
      </c>
      <c r="Q1976" s="4">
        <f t="shared" si="91"/>
        <v>6</v>
      </c>
      <c r="R1976" s="4">
        <f t="shared" si="92"/>
        <v>18000</v>
      </c>
    </row>
    <row r="1977" spans="1:18">
      <c r="A1977" s="1">
        <v>2</v>
      </c>
      <c r="B1977" s="1" t="str">
        <f>"قطعات و لوازم يدكي"</f>
        <v>قطعات و لوازم يدكي</v>
      </c>
      <c r="C1977" s="1">
        <v>205</v>
      </c>
      <c r="D1977" s="1" t="str">
        <f>"انبار قطعات و لوازم يدكي بندرعباس"</f>
        <v>انبار قطعات و لوازم يدكي بندرعباس</v>
      </c>
      <c r="E1977" s="1" t="str">
        <f>"1800000751"</f>
        <v>1800000751</v>
      </c>
      <c r="F1977" s="1" t="str">
        <f>"بلت 3 تن"</f>
        <v>بلت 3 تن</v>
      </c>
      <c r="G1977" s="1" t="str">
        <f>"عدد"</f>
        <v>عدد</v>
      </c>
      <c r="H1977" s="1">
        <v>0</v>
      </c>
      <c r="I1977" s="1">
        <v>0</v>
      </c>
      <c r="J1977" s="1">
        <v>1</v>
      </c>
      <c r="K1977" s="1">
        <v>400000</v>
      </c>
      <c r="L1977" s="1">
        <v>0</v>
      </c>
      <c r="M1977" s="1">
        <v>0</v>
      </c>
      <c r="O1977" s="1">
        <v>97</v>
      </c>
      <c r="P1977" s="4">
        <f t="shared" si="90"/>
        <v>400000</v>
      </c>
      <c r="Q1977" s="4">
        <f t="shared" si="91"/>
        <v>1</v>
      </c>
      <c r="R1977" s="4">
        <f t="shared" si="92"/>
        <v>400000</v>
      </c>
    </row>
    <row r="1978" spans="1:18" hidden="1">
      <c r="A1978" s="1">
        <v>2</v>
      </c>
      <c r="B1978" s="1" t="str">
        <f>"قطعات و لوازم يدكي"</f>
        <v>قطعات و لوازم يدكي</v>
      </c>
      <c r="C1978" s="1">
        <v>205</v>
      </c>
      <c r="D1978" s="1" t="str">
        <f>"انبار قطعات و لوازم يدكي بندرعباس"</f>
        <v>انبار قطعات و لوازم يدكي بندرعباس</v>
      </c>
      <c r="E1978" s="1" t="str">
        <f>"1800000767"</f>
        <v>1800000767</v>
      </c>
      <c r="F1978" s="1" t="str">
        <f>"ساعت کارکرد"</f>
        <v>ساعت کارکرد</v>
      </c>
      <c r="G1978" s="1" t="str">
        <f>"عدد"</f>
        <v>عدد</v>
      </c>
      <c r="H1978" s="1">
        <v>0</v>
      </c>
      <c r="I1978" s="1">
        <v>0</v>
      </c>
      <c r="J1978" s="1">
        <v>12</v>
      </c>
      <c r="K1978" s="1">
        <v>8020000</v>
      </c>
      <c r="L1978" s="1">
        <v>12</v>
      </c>
      <c r="M1978" s="1">
        <v>8020000</v>
      </c>
      <c r="O1978" s="1">
        <v>97</v>
      </c>
      <c r="P1978" s="1">
        <f t="shared" si="90"/>
        <v>0</v>
      </c>
      <c r="Q1978" s="1">
        <f t="shared" si="91"/>
        <v>0</v>
      </c>
      <c r="R1978" s="1" t="e">
        <f t="shared" si="92"/>
        <v>#DIV/0!</v>
      </c>
    </row>
    <row r="1979" spans="1:18">
      <c r="A1979" s="1">
        <v>2</v>
      </c>
      <c r="B1979" s="1" t="str">
        <f>"قطعات و لوازم يدكي"</f>
        <v>قطعات و لوازم يدكي</v>
      </c>
      <c r="C1979" s="1">
        <v>205</v>
      </c>
      <c r="D1979" s="1" t="str">
        <f>"انبار قطعات و لوازم يدكي بندرعباس"</f>
        <v>انبار قطعات و لوازم يدكي بندرعباس</v>
      </c>
      <c r="E1979" s="1" t="str">
        <f>"1800000780"</f>
        <v>1800000780</v>
      </c>
      <c r="F1979" s="1" t="str">
        <f>"بست کمربندي 2/5*150"</f>
        <v>بست کمربندي 2/5*150</v>
      </c>
      <c r="G1979" s="1" t="str">
        <f>"بسته"</f>
        <v>بسته</v>
      </c>
      <c r="H1979" s="1">
        <v>0</v>
      </c>
      <c r="I1979" s="1">
        <v>0</v>
      </c>
      <c r="J1979" s="1">
        <v>5</v>
      </c>
      <c r="K1979" s="1">
        <v>270000</v>
      </c>
      <c r="L1979" s="1">
        <v>1</v>
      </c>
      <c r="M1979" s="1">
        <v>54000</v>
      </c>
      <c r="O1979" s="1">
        <v>97</v>
      </c>
      <c r="P1979" s="4">
        <f t="shared" si="90"/>
        <v>216000</v>
      </c>
      <c r="Q1979" s="4">
        <f t="shared" si="91"/>
        <v>4</v>
      </c>
      <c r="R1979" s="4">
        <f t="shared" si="92"/>
        <v>54000</v>
      </c>
    </row>
    <row r="1980" spans="1:18">
      <c r="A1980" s="1">
        <v>2</v>
      </c>
      <c r="B1980" s="1" t="str">
        <f>"قطعات و لوازم يدكي"</f>
        <v>قطعات و لوازم يدكي</v>
      </c>
      <c r="C1980" s="1">
        <v>205</v>
      </c>
      <c r="D1980" s="1" t="str">
        <f>"انبار قطعات و لوازم يدكي بندرعباس"</f>
        <v>انبار قطعات و لوازم يدكي بندرعباس</v>
      </c>
      <c r="E1980" s="1" t="str">
        <f>"1800000788"</f>
        <v>1800000788</v>
      </c>
      <c r="F1980" s="1" t="str">
        <f>"لوله خروجي آب کولر 3/4"</f>
        <v>لوله خروجي آب کولر 3/4</v>
      </c>
      <c r="G1980" s="1" t="str">
        <f>"متر"</f>
        <v>متر</v>
      </c>
      <c r="H1980" s="1">
        <v>0</v>
      </c>
      <c r="I1980" s="1">
        <v>0</v>
      </c>
      <c r="J1980" s="1">
        <v>10</v>
      </c>
      <c r="K1980" s="1">
        <v>300000</v>
      </c>
      <c r="L1980" s="1">
        <v>0</v>
      </c>
      <c r="M1980" s="1">
        <v>0</v>
      </c>
      <c r="O1980" s="1">
        <v>97</v>
      </c>
      <c r="P1980" s="4">
        <f t="shared" si="90"/>
        <v>300000</v>
      </c>
      <c r="Q1980" s="4">
        <f t="shared" si="91"/>
        <v>10</v>
      </c>
      <c r="R1980" s="4">
        <f t="shared" si="92"/>
        <v>30000</v>
      </c>
    </row>
    <row r="1981" spans="1:18">
      <c r="A1981" s="1">
        <v>2</v>
      </c>
      <c r="B1981" s="1" t="str">
        <f>"قطعات و لوازم يدكي"</f>
        <v>قطعات و لوازم يدكي</v>
      </c>
      <c r="C1981" s="1">
        <v>205</v>
      </c>
      <c r="D1981" s="1" t="str">
        <f>"انبار قطعات و لوازم يدكي بندرعباس"</f>
        <v>انبار قطعات و لوازم يدكي بندرعباس</v>
      </c>
      <c r="E1981" s="1" t="str">
        <f>"1800000795"</f>
        <v>1800000795</v>
      </c>
      <c r="F1981" s="1" t="str">
        <f>"شير قطره اي 16"</f>
        <v>شير قطره اي 16</v>
      </c>
      <c r="G1981" s="1" t="str">
        <f>"عدد"</f>
        <v>عدد</v>
      </c>
      <c r="H1981" s="1">
        <v>0</v>
      </c>
      <c r="I1981" s="1">
        <v>0</v>
      </c>
      <c r="J1981" s="1">
        <v>30</v>
      </c>
      <c r="K1981" s="1">
        <v>350000</v>
      </c>
      <c r="L1981" s="1">
        <v>10</v>
      </c>
      <c r="M1981" s="1">
        <v>116667</v>
      </c>
      <c r="O1981" s="1">
        <v>97</v>
      </c>
      <c r="P1981" s="4">
        <f t="shared" si="90"/>
        <v>233333</v>
      </c>
      <c r="Q1981" s="4">
        <f t="shared" si="91"/>
        <v>20</v>
      </c>
      <c r="R1981" s="4">
        <f t="shared" si="92"/>
        <v>11666.65</v>
      </c>
    </row>
    <row r="1982" spans="1:18">
      <c r="A1982" s="1">
        <v>2</v>
      </c>
      <c r="B1982" s="1" t="str">
        <f>"قطعات و لوازم يدكي"</f>
        <v>قطعات و لوازم يدكي</v>
      </c>
      <c r="C1982" s="1">
        <v>205</v>
      </c>
      <c r="D1982" s="1" t="str">
        <f>"انبار قطعات و لوازم يدكي بندرعباس"</f>
        <v>انبار قطعات و لوازم يدكي بندرعباس</v>
      </c>
      <c r="E1982" s="1" t="str">
        <f>"1800000799"</f>
        <v>1800000799</v>
      </c>
      <c r="F1982" s="1" t="str">
        <f>"پولي کش جک"</f>
        <v>پولي کش جک</v>
      </c>
      <c r="G1982" s="1" t="str">
        <f>"عدد"</f>
        <v>عدد</v>
      </c>
      <c r="H1982" s="1">
        <v>0</v>
      </c>
      <c r="I1982" s="1">
        <v>0</v>
      </c>
      <c r="J1982" s="1">
        <v>1</v>
      </c>
      <c r="K1982" s="1">
        <v>2500000</v>
      </c>
      <c r="L1982" s="1">
        <v>0</v>
      </c>
      <c r="M1982" s="1">
        <v>0</v>
      </c>
      <c r="O1982" s="1">
        <v>97</v>
      </c>
      <c r="P1982" s="4">
        <f t="shared" si="90"/>
        <v>2500000</v>
      </c>
      <c r="Q1982" s="4">
        <f t="shared" si="91"/>
        <v>1</v>
      </c>
      <c r="R1982" s="4">
        <f t="shared" si="92"/>
        <v>2500000</v>
      </c>
    </row>
    <row r="1983" spans="1:18">
      <c r="A1983" s="1">
        <v>2</v>
      </c>
      <c r="B1983" s="1" t="str">
        <f>"قطعات و لوازم يدكي"</f>
        <v>قطعات و لوازم يدكي</v>
      </c>
      <c r="C1983" s="1">
        <v>205</v>
      </c>
      <c r="D1983" s="1" t="str">
        <f>"انبار قطعات و لوازم يدكي بندرعباس"</f>
        <v>انبار قطعات و لوازم يدكي بندرعباس</v>
      </c>
      <c r="E1983" s="1" t="str">
        <f>"1800000802"</f>
        <v>1800000802</v>
      </c>
      <c r="F1983" s="1" t="str">
        <f>"سيم نسوز 4"</f>
        <v>سيم نسوز 4</v>
      </c>
      <c r="G1983" s="1" t="str">
        <f>"متر"</f>
        <v>متر</v>
      </c>
      <c r="H1983" s="1">
        <v>0</v>
      </c>
      <c r="I1983" s="1">
        <v>0</v>
      </c>
      <c r="J1983" s="1">
        <v>10</v>
      </c>
      <c r="K1983" s="1">
        <v>550000</v>
      </c>
      <c r="L1983" s="1">
        <v>3</v>
      </c>
      <c r="M1983" s="1">
        <v>165000</v>
      </c>
      <c r="O1983" s="1">
        <v>97</v>
      </c>
      <c r="P1983" s="4">
        <f t="shared" si="90"/>
        <v>385000</v>
      </c>
      <c r="Q1983" s="4">
        <f t="shared" si="91"/>
        <v>7</v>
      </c>
      <c r="R1983" s="4">
        <f t="shared" si="92"/>
        <v>55000</v>
      </c>
    </row>
    <row r="1984" spans="1:18" hidden="1">
      <c r="A1984" s="1">
        <v>2</v>
      </c>
      <c r="B1984" s="1" t="str">
        <f>"قطعات و لوازم يدكي"</f>
        <v>قطعات و لوازم يدكي</v>
      </c>
      <c r="C1984" s="1">
        <v>205</v>
      </c>
      <c r="D1984" s="1" t="str">
        <f>"انبار قطعات و لوازم يدكي بندرعباس"</f>
        <v>انبار قطعات و لوازم يدكي بندرعباس</v>
      </c>
      <c r="E1984" s="1" t="str">
        <f>"1800000808"</f>
        <v>1800000808</v>
      </c>
      <c r="F1984" s="1" t="str">
        <f>"چرخ فرغون"</f>
        <v>چرخ فرغون</v>
      </c>
      <c r="G1984" s="1" t="str">
        <f>"عدد"</f>
        <v>عدد</v>
      </c>
      <c r="H1984" s="1">
        <v>0</v>
      </c>
      <c r="I1984" s="1">
        <v>0</v>
      </c>
      <c r="J1984" s="1">
        <v>7</v>
      </c>
      <c r="K1984" s="1">
        <v>5430000</v>
      </c>
      <c r="L1984" s="1">
        <v>7</v>
      </c>
      <c r="M1984" s="1">
        <v>5430000</v>
      </c>
      <c r="O1984" s="1">
        <v>97</v>
      </c>
      <c r="P1984" s="1">
        <f t="shared" si="90"/>
        <v>0</v>
      </c>
      <c r="Q1984" s="1">
        <f t="shared" si="91"/>
        <v>0</v>
      </c>
      <c r="R1984" s="1" t="e">
        <f t="shared" si="92"/>
        <v>#DIV/0!</v>
      </c>
    </row>
    <row r="1985" spans="1:18">
      <c r="A1985" s="1">
        <v>2</v>
      </c>
      <c r="B1985" s="1" t="str">
        <f>"قطعات و لوازم يدكي"</f>
        <v>قطعات و لوازم يدكي</v>
      </c>
      <c r="C1985" s="1">
        <v>205</v>
      </c>
      <c r="D1985" s="1" t="str">
        <f>"انبار قطعات و لوازم يدكي بندرعباس"</f>
        <v>انبار قطعات و لوازم يدكي بندرعباس</v>
      </c>
      <c r="E1985" s="1" t="str">
        <f>"1800000812"</f>
        <v>1800000812</v>
      </c>
      <c r="F1985" s="1" t="str">
        <f>"رول بلت 100*12"</f>
        <v>رول بلت 100*12</v>
      </c>
      <c r="G1985" s="1" t="str">
        <f>"عدد"</f>
        <v>عدد</v>
      </c>
      <c r="H1985" s="1">
        <v>0</v>
      </c>
      <c r="I1985" s="1">
        <v>0</v>
      </c>
      <c r="J1985" s="1">
        <v>4</v>
      </c>
      <c r="K1985" s="1">
        <v>80000</v>
      </c>
      <c r="L1985" s="1">
        <v>0</v>
      </c>
      <c r="M1985" s="1">
        <v>0</v>
      </c>
      <c r="O1985" s="1">
        <v>97</v>
      </c>
      <c r="P1985" s="4">
        <f t="shared" si="90"/>
        <v>80000</v>
      </c>
      <c r="Q1985" s="4">
        <f t="shared" si="91"/>
        <v>4</v>
      </c>
      <c r="R1985" s="4">
        <f t="shared" si="92"/>
        <v>20000</v>
      </c>
    </row>
    <row r="1986" spans="1:18">
      <c r="A1986" s="1">
        <v>2</v>
      </c>
      <c r="B1986" s="1" t="str">
        <f>"قطعات و لوازم يدكي"</f>
        <v>قطعات و لوازم يدكي</v>
      </c>
      <c r="C1986" s="1">
        <v>205</v>
      </c>
      <c r="D1986" s="1" t="str">
        <f>"انبار قطعات و لوازم يدكي بندرعباس"</f>
        <v>انبار قطعات و لوازم يدكي بندرعباس</v>
      </c>
      <c r="E1986" s="1" t="str">
        <f>"1800000818"</f>
        <v>1800000818</v>
      </c>
      <c r="F1986" s="1" t="str">
        <f>"فيوز تکفاز 50"</f>
        <v>فيوز تکفاز 50</v>
      </c>
      <c r="G1986" s="1" t="str">
        <f>"عدد"</f>
        <v>عدد</v>
      </c>
      <c r="H1986" s="1">
        <v>0</v>
      </c>
      <c r="I1986" s="1">
        <v>0</v>
      </c>
      <c r="J1986" s="1">
        <v>1</v>
      </c>
      <c r="K1986" s="1">
        <v>180000</v>
      </c>
      <c r="L1986" s="1">
        <v>0</v>
      </c>
      <c r="M1986" s="1">
        <v>0</v>
      </c>
      <c r="O1986" s="1">
        <v>97</v>
      </c>
      <c r="P1986" s="4">
        <f t="shared" si="90"/>
        <v>180000</v>
      </c>
      <c r="Q1986" s="4">
        <f t="shared" si="91"/>
        <v>1</v>
      </c>
      <c r="R1986" s="4">
        <f t="shared" si="92"/>
        <v>180000</v>
      </c>
    </row>
    <row r="1987" spans="1:18">
      <c r="A1987" s="1">
        <v>2</v>
      </c>
      <c r="B1987" s="1" t="str">
        <f>"قطعات و لوازم يدكي"</f>
        <v>قطعات و لوازم يدكي</v>
      </c>
      <c r="C1987" s="1">
        <v>205</v>
      </c>
      <c r="D1987" s="1" t="str">
        <f>"انبار قطعات و لوازم يدكي بندرعباس"</f>
        <v>انبار قطعات و لوازم يدكي بندرعباس</v>
      </c>
      <c r="E1987" s="1" t="str">
        <f>"1800000855"</f>
        <v>1800000855</v>
      </c>
      <c r="F1987" s="1" t="str">
        <f>"گيج هيدروليک"</f>
        <v>گيج هيدروليک</v>
      </c>
      <c r="G1987" s="1" t="str">
        <f>"عدد"</f>
        <v>عدد</v>
      </c>
      <c r="H1987" s="1">
        <v>0</v>
      </c>
      <c r="I1987" s="1">
        <v>0</v>
      </c>
      <c r="J1987" s="1">
        <v>2</v>
      </c>
      <c r="K1987" s="1">
        <v>3500000</v>
      </c>
      <c r="L1987" s="1">
        <v>0</v>
      </c>
      <c r="M1987" s="1">
        <v>0</v>
      </c>
      <c r="O1987" s="1">
        <v>97</v>
      </c>
      <c r="P1987" s="4">
        <f t="shared" ref="P1987:P2050" si="93">I1987+K1987-M1987</f>
        <v>3500000</v>
      </c>
      <c r="Q1987" s="4">
        <f t="shared" ref="Q1987:Q2050" si="94">H1987+J1987-L1987</f>
        <v>2</v>
      </c>
      <c r="R1987" s="4">
        <f t="shared" ref="R1987:R2050" si="95">P1987/Q1987</f>
        <v>1750000</v>
      </c>
    </row>
    <row r="1988" spans="1:18" hidden="1">
      <c r="A1988" s="1">
        <v>2</v>
      </c>
      <c r="B1988" s="1" t="str">
        <f>"قطعات و لوازم يدكي"</f>
        <v>قطعات و لوازم يدكي</v>
      </c>
      <c r="C1988" s="1">
        <v>205</v>
      </c>
      <c r="D1988" s="1" t="str">
        <f>"انبار قطعات و لوازم يدكي بندرعباس"</f>
        <v>انبار قطعات و لوازم يدكي بندرعباس</v>
      </c>
      <c r="E1988" s="1" t="str">
        <f>"1800000865"</f>
        <v>1800000865</v>
      </c>
      <c r="F1988" s="1" t="str">
        <f>"باتري ups"</f>
        <v>باتري ups</v>
      </c>
      <c r="G1988" s="1" t="str">
        <f>"عدد"</f>
        <v>عدد</v>
      </c>
      <c r="H1988" s="1">
        <v>0</v>
      </c>
      <c r="I1988" s="1">
        <v>0</v>
      </c>
      <c r="J1988" s="1">
        <v>61</v>
      </c>
      <c r="K1988" s="1">
        <v>175500000</v>
      </c>
      <c r="L1988" s="1">
        <v>61</v>
      </c>
      <c r="M1988" s="1">
        <v>175500000</v>
      </c>
      <c r="O1988" s="1">
        <v>97</v>
      </c>
      <c r="P1988" s="1">
        <f t="shared" si="93"/>
        <v>0</v>
      </c>
      <c r="Q1988" s="1">
        <f t="shared" si="94"/>
        <v>0</v>
      </c>
      <c r="R1988" s="1" t="e">
        <f t="shared" si="95"/>
        <v>#DIV/0!</v>
      </c>
    </row>
    <row r="1989" spans="1:18">
      <c r="A1989" s="1">
        <v>2</v>
      </c>
      <c r="B1989" s="1" t="str">
        <f>"قطعات و لوازم يدكي"</f>
        <v>قطعات و لوازم يدكي</v>
      </c>
      <c r="C1989" s="1">
        <v>205</v>
      </c>
      <c r="D1989" s="1" t="str">
        <f>"انبار قطعات و لوازم يدكي بندرعباس"</f>
        <v>انبار قطعات و لوازم يدكي بندرعباس</v>
      </c>
      <c r="E1989" s="1" t="str">
        <f>"1800000896"</f>
        <v>1800000896</v>
      </c>
      <c r="F1989" s="1" t="s">
        <v>127</v>
      </c>
      <c r="G1989" s="1" t="str">
        <f>"ST"</f>
        <v>ST</v>
      </c>
      <c r="H1989" s="1">
        <v>0</v>
      </c>
      <c r="I1989" s="1">
        <v>0</v>
      </c>
      <c r="J1989" s="1">
        <v>2</v>
      </c>
      <c r="K1989" s="1">
        <v>1524890</v>
      </c>
      <c r="L1989" s="1">
        <v>0</v>
      </c>
      <c r="M1989" s="1">
        <v>0</v>
      </c>
      <c r="O1989" s="1">
        <v>97</v>
      </c>
      <c r="P1989" s="4">
        <f t="shared" si="93"/>
        <v>1524890</v>
      </c>
      <c r="Q1989" s="4">
        <f t="shared" si="94"/>
        <v>2</v>
      </c>
      <c r="R1989" s="4">
        <f t="shared" si="95"/>
        <v>762445</v>
      </c>
    </row>
    <row r="1990" spans="1:18">
      <c r="A1990" s="1">
        <v>2</v>
      </c>
      <c r="B1990" s="1" t="str">
        <f>"قطعات و لوازم يدكي"</f>
        <v>قطعات و لوازم يدكي</v>
      </c>
      <c r="C1990" s="1">
        <v>205</v>
      </c>
      <c r="D1990" s="1" t="str">
        <f>"انبار قطعات و لوازم يدكي بندرعباس"</f>
        <v>انبار قطعات و لوازم يدكي بندرعباس</v>
      </c>
      <c r="E1990" s="1" t="str">
        <f>"1800000898"</f>
        <v>1800000898</v>
      </c>
      <c r="F1990" s="1" t="s">
        <v>128</v>
      </c>
      <c r="G1990" s="1" t="str">
        <f>"ST"</f>
        <v>ST</v>
      </c>
      <c r="H1990" s="1">
        <v>0</v>
      </c>
      <c r="I1990" s="1">
        <v>0</v>
      </c>
      <c r="J1990" s="1">
        <v>4</v>
      </c>
      <c r="K1990" s="1">
        <v>6884966</v>
      </c>
      <c r="L1990" s="1">
        <v>0</v>
      </c>
      <c r="M1990" s="1">
        <v>0</v>
      </c>
      <c r="O1990" s="1">
        <v>97</v>
      </c>
      <c r="P1990" s="4">
        <f t="shared" si="93"/>
        <v>6884966</v>
      </c>
      <c r="Q1990" s="4">
        <f t="shared" si="94"/>
        <v>4</v>
      </c>
      <c r="R1990" s="4">
        <f t="shared" si="95"/>
        <v>1721241.5</v>
      </c>
    </row>
    <row r="1991" spans="1:18">
      <c r="A1991" s="1">
        <v>2</v>
      </c>
      <c r="B1991" s="1" t="str">
        <f>"قطعات و لوازم يدكي"</f>
        <v>قطعات و لوازم يدكي</v>
      </c>
      <c r="C1991" s="1">
        <v>205</v>
      </c>
      <c r="D1991" s="1" t="str">
        <f>"انبار قطعات و لوازم يدكي بندرعباس"</f>
        <v>انبار قطعات و لوازم يدكي بندرعباس</v>
      </c>
      <c r="E1991" s="1" t="str">
        <f>"1800000946"</f>
        <v>1800000946</v>
      </c>
      <c r="F1991" s="1" t="str">
        <f>"مهره خشکه3/4"</f>
        <v>مهره خشکه3/4</v>
      </c>
      <c r="G1991" s="1" t="str">
        <f>"عدد"</f>
        <v>عدد</v>
      </c>
      <c r="H1991" s="1">
        <v>0</v>
      </c>
      <c r="I1991" s="1">
        <v>0</v>
      </c>
      <c r="J1991" s="1">
        <v>16</v>
      </c>
      <c r="K1991" s="1">
        <v>289000</v>
      </c>
      <c r="L1991" s="1">
        <v>0</v>
      </c>
      <c r="M1991" s="1">
        <v>0</v>
      </c>
      <c r="O1991" s="1">
        <v>97</v>
      </c>
      <c r="P1991" s="4">
        <f t="shared" si="93"/>
        <v>289000</v>
      </c>
      <c r="Q1991" s="4">
        <f t="shared" si="94"/>
        <v>16</v>
      </c>
      <c r="R1991" s="4">
        <f t="shared" si="95"/>
        <v>18062.5</v>
      </c>
    </row>
    <row r="1992" spans="1:18" hidden="1">
      <c r="A1992" s="1">
        <v>2</v>
      </c>
      <c r="B1992" s="1" t="str">
        <f>"قطعات و لوازم يدكي"</f>
        <v>قطعات و لوازم يدكي</v>
      </c>
      <c r="C1992" s="1">
        <v>205</v>
      </c>
      <c r="D1992" s="1" t="str">
        <f>"انبار قطعات و لوازم يدكي بندرعباس"</f>
        <v>انبار قطعات و لوازم يدكي بندرعباس</v>
      </c>
      <c r="E1992" s="1" t="str">
        <f>"1800000947"</f>
        <v>1800000947</v>
      </c>
      <c r="F1992" s="1" t="str">
        <f>"پيچ خشکه3/4*160"</f>
        <v>پيچ خشکه3/4*160</v>
      </c>
      <c r="G1992" s="1" t="str">
        <f>"عدد"</f>
        <v>عدد</v>
      </c>
      <c r="H1992" s="1">
        <v>0</v>
      </c>
      <c r="I1992" s="1">
        <v>0</v>
      </c>
      <c r="J1992" s="1">
        <v>8</v>
      </c>
      <c r="K1992" s="1">
        <v>800000</v>
      </c>
      <c r="L1992" s="1">
        <v>8</v>
      </c>
      <c r="M1992" s="1">
        <v>800000</v>
      </c>
      <c r="O1992" s="1">
        <v>97</v>
      </c>
      <c r="P1992" s="1">
        <f t="shared" si="93"/>
        <v>0</v>
      </c>
      <c r="Q1992" s="1">
        <f t="shared" si="94"/>
        <v>0</v>
      </c>
      <c r="R1992" s="1" t="e">
        <f t="shared" si="95"/>
        <v>#DIV/0!</v>
      </c>
    </row>
    <row r="1993" spans="1:18" hidden="1">
      <c r="A1993" s="1">
        <v>2</v>
      </c>
      <c r="B1993" s="1" t="str">
        <f>"قطعات و لوازم يدكي"</f>
        <v>قطعات و لوازم يدكي</v>
      </c>
      <c r="C1993" s="1">
        <v>205</v>
      </c>
      <c r="D1993" s="1" t="str">
        <f>"انبار قطعات و لوازم يدكي بندرعباس"</f>
        <v>انبار قطعات و لوازم يدكي بندرعباس</v>
      </c>
      <c r="E1993" s="1" t="str">
        <f>"1800000948"</f>
        <v>1800000948</v>
      </c>
      <c r="F1993" s="1" t="str">
        <f>"واشر ضخيم 32"</f>
        <v>واشر ضخيم 32</v>
      </c>
      <c r="G1993" s="1" t="str">
        <f>"عدد"</f>
        <v>عدد</v>
      </c>
      <c r="H1993" s="1">
        <v>0</v>
      </c>
      <c r="I1993" s="1">
        <v>0</v>
      </c>
      <c r="J1993" s="1">
        <v>48</v>
      </c>
      <c r="K1993" s="1">
        <v>720000</v>
      </c>
      <c r="L1993" s="1">
        <v>48</v>
      </c>
      <c r="M1993" s="1">
        <v>720000</v>
      </c>
      <c r="O1993" s="1">
        <v>97</v>
      </c>
      <c r="P1993" s="1">
        <f t="shared" si="93"/>
        <v>0</v>
      </c>
      <c r="Q1993" s="1">
        <f t="shared" si="94"/>
        <v>0</v>
      </c>
      <c r="R1993" s="1" t="e">
        <f t="shared" si="95"/>
        <v>#DIV/0!</v>
      </c>
    </row>
    <row r="1994" spans="1:18" hidden="1">
      <c r="A1994" s="1">
        <v>2</v>
      </c>
      <c r="B1994" s="1" t="str">
        <f>"قطعات و لوازم يدكي"</f>
        <v>قطعات و لوازم يدكي</v>
      </c>
      <c r="C1994" s="1">
        <v>205</v>
      </c>
      <c r="D1994" s="1" t="str">
        <f>"انبار قطعات و لوازم يدكي بندرعباس"</f>
        <v>انبار قطعات و لوازم يدكي بندرعباس</v>
      </c>
      <c r="E1994" s="1" t="str">
        <f>"1800000991"</f>
        <v>1800000991</v>
      </c>
      <c r="F1994" s="1" t="str">
        <f>"بوشن جوشي 1"</f>
        <v>بوشن جوشي 1</v>
      </c>
      <c r="G1994" s="1" t="str">
        <f>"عدد"</f>
        <v>عدد</v>
      </c>
      <c r="H1994" s="1">
        <v>0</v>
      </c>
      <c r="I1994" s="1">
        <v>0</v>
      </c>
      <c r="J1994" s="1">
        <v>1</v>
      </c>
      <c r="K1994" s="1">
        <v>100000</v>
      </c>
      <c r="L1994" s="1">
        <v>1</v>
      </c>
      <c r="M1994" s="1">
        <v>100000</v>
      </c>
      <c r="O1994" s="1">
        <v>97</v>
      </c>
      <c r="P1994" s="1">
        <f t="shared" si="93"/>
        <v>0</v>
      </c>
      <c r="Q1994" s="1">
        <f t="shared" si="94"/>
        <v>0</v>
      </c>
      <c r="R1994" s="1" t="e">
        <f t="shared" si="95"/>
        <v>#DIV/0!</v>
      </c>
    </row>
    <row r="1995" spans="1:18" hidden="1">
      <c r="A1995" s="1">
        <v>2</v>
      </c>
      <c r="B1995" s="1" t="str">
        <f>"قطعات و لوازم يدكي"</f>
        <v>قطعات و لوازم يدكي</v>
      </c>
      <c r="C1995" s="1">
        <v>205</v>
      </c>
      <c r="D1995" s="1" t="str">
        <f>"انبار قطعات و لوازم يدكي بندرعباس"</f>
        <v>انبار قطعات و لوازم يدكي بندرعباس</v>
      </c>
      <c r="E1995" s="1" t="str">
        <f>"2000000100"</f>
        <v>2000000100</v>
      </c>
      <c r="F1995" s="1" t="str">
        <f>"کاردک فلزي 2"</f>
        <v>کاردک فلزي 2</v>
      </c>
      <c r="G1995" s="1" t="str">
        <f>"عدد"</f>
        <v>عدد</v>
      </c>
      <c r="H1995" s="1">
        <v>0</v>
      </c>
      <c r="I1995" s="1">
        <v>0</v>
      </c>
      <c r="J1995" s="1">
        <v>3</v>
      </c>
      <c r="K1995" s="1">
        <v>60000</v>
      </c>
      <c r="L1995" s="1">
        <v>3</v>
      </c>
      <c r="M1995" s="1">
        <v>60000</v>
      </c>
      <c r="O1995" s="1">
        <v>97</v>
      </c>
      <c r="P1995" s="1">
        <f t="shared" si="93"/>
        <v>0</v>
      </c>
      <c r="Q1995" s="1">
        <f t="shared" si="94"/>
        <v>0</v>
      </c>
      <c r="R1995" s="1" t="e">
        <f t="shared" si="95"/>
        <v>#DIV/0!</v>
      </c>
    </row>
    <row r="1996" spans="1:18">
      <c r="A1996" s="1">
        <v>2</v>
      </c>
      <c r="B1996" s="1" t="str">
        <f>"قطعات و لوازم يدكي"</f>
        <v>قطعات و لوازم يدكي</v>
      </c>
      <c r="C1996" s="1">
        <v>205</v>
      </c>
      <c r="D1996" s="1" t="str">
        <f>"انبار قطعات و لوازم يدكي بندرعباس"</f>
        <v>انبار قطعات و لوازم يدكي بندرعباس</v>
      </c>
      <c r="E1996" s="1" t="str">
        <f>"6980291422"</f>
        <v>6980291422</v>
      </c>
      <c r="F1996" s="1" t="str">
        <f>"استارت مهتابي"</f>
        <v>استارت مهتابي</v>
      </c>
      <c r="G1996" s="1" t="str">
        <f>"عدد"</f>
        <v>عدد</v>
      </c>
      <c r="H1996" s="1">
        <v>0</v>
      </c>
      <c r="I1996" s="1">
        <v>0</v>
      </c>
      <c r="J1996" s="1">
        <v>50</v>
      </c>
      <c r="K1996" s="1">
        <v>850000</v>
      </c>
      <c r="L1996" s="1">
        <v>0</v>
      </c>
      <c r="M1996" s="1">
        <v>0</v>
      </c>
      <c r="O1996" s="1">
        <v>97</v>
      </c>
      <c r="P1996" s="4">
        <f t="shared" si="93"/>
        <v>850000</v>
      </c>
      <c r="Q1996" s="4">
        <f t="shared" si="94"/>
        <v>50</v>
      </c>
      <c r="R1996" s="4">
        <f t="shared" si="95"/>
        <v>17000</v>
      </c>
    </row>
    <row r="1997" spans="1:18" hidden="1">
      <c r="A1997" s="1">
        <v>3</v>
      </c>
      <c r="B1997" s="1" t="str">
        <f>"انواع ورق"</f>
        <v>انواع ورق</v>
      </c>
      <c r="C1997" s="1">
        <v>108</v>
      </c>
      <c r="D1997" s="1" t="str">
        <f>"انبار بشکه ساخته شده"</f>
        <v>انبار بشکه ساخته شده</v>
      </c>
      <c r="E1997" s="1" t="str">
        <f>"0000000095"</f>
        <v>0000000095</v>
      </c>
      <c r="F1997" s="1" t="str">
        <f>"سري بشكه با قطر 50 سانتيمتر"</f>
        <v>سري بشكه با قطر 50 سانتيمتر</v>
      </c>
      <c r="G1997" s="1" t="str">
        <f>"كيلوگرم"</f>
        <v>كيلوگرم</v>
      </c>
      <c r="H1997" s="1">
        <v>0</v>
      </c>
      <c r="I1997" s="1">
        <v>0</v>
      </c>
      <c r="J1997" s="1">
        <v>85320</v>
      </c>
      <c r="K1997" s="1">
        <v>2731887960</v>
      </c>
      <c r="L1997" s="1">
        <v>85320</v>
      </c>
      <c r="M1997" s="1">
        <v>2731887960</v>
      </c>
      <c r="O1997" s="1">
        <v>97</v>
      </c>
      <c r="P1997" s="1">
        <f t="shared" si="93"/>
        <v>0</v>
      </c>
      <c r="Q1997" s="1">
        <f t="shared" si="94"/>
        <v>0</v>
      </c>
      <c r="R1997" s="1" t="e">
        <f t="shared" si="95"/>
        <v>#DIV/0!</v>
      </c>
    </row>
    <row r="1998" spans="1:18" hidden="1">
      <c r="A1998" s="1">
        <v>6</v>
      </c>
      <c r="B1998" s="1" t="str">
        <f>"موجودي ملزومات اداري"</f>
        <v>موجودي ملزومات اداري</v>
      </c>
      <c r="C1998" s="1">
        <v>101</v>
      </c>
      <c r="D1998" s="1" t="str">
        <f>"انبار قطعات و لوازم يدكي اصفهان"</f>
        <v>انبار قطعات و لوازم يدكي اصفهان</v>
      </c>
      <c r="E1998" s="1" t="str">
        <f>"6401020002"</f>
        <v>6401020002</v>
      </c>
      <c r="F1998" s="1" t="str">
        <f>"الکترود 309L 2/5"</f>
        <v>الکترود 309L 2/5</v>
      </c>
      <c r="G1998" s="1" t="str">
        <f>"كيلوگرم"</f>
        <v>كيلوگرم</v>
      </c>
      <c r="H1998" s="1">
        <v>0</v>
      </c>
      <c r="I1998" s="1">
        <v>0</v>
      </c>
      <c r="J1998" s="1">
        <v>4</v>
      </c>
      <c r="K1998" s="1">
        <v>2760000</v>
      </c>
      <c r="L1998" s="1">
        <v>4</v>
      </c>
      <c r="M1998" s="1">
        <v>2760000</v>
      </c>
      <c r="O1998" s="1">
        <v>97</v>
      </c>
      <c r="P1998" s="1">
        <f t="shared" si="93"/>
        <v>0</v>
      </c>
      <c r="Q1998" s="1">
        <f t="shared" si="94"/>
        <v>0</v>
      </c>
      <c r="R1998" s="1" t="e">
        <f t="shared" si="95"/>
        <v>#DIV/0!</v>
      </c>
    </row>
    <row r="1999" spans="1:18" hidden="1">
      <c r="A1999" s="1">
        <v>6</v>
      </c>
      <c r="B1999" s="1" t="str">
        <f>"موجودي ملزومات اداري"</f>
        <v>موجودي ملزومات اداري</v>
      </c>
      <c r="C1999" s="1">
        <v>101</v>
      </c>
      <c r="D1999" s="1" t="str">
        <f>"انبار قطعات و لوازم يدكي اصفهان"</f>
        <v>انبار قطعات و لوازم يدكي اصفهان</v>
      </c>
      <c r="E1999" s="1" t="str">
        <f>"8301020272"</f>
        <v>8301020272</v>
      </c>
      <c r="F1999" s="1" t="str">
        <f>"لاستيک عقب ليفتراک  سه تني 10*50*6"</f>
        <v>لاستيک عقب ليفتراک  سه تني 10*50*6</v>
      </c>
      <c r="G1999" s="1" t="str">
        <f>"جفت"</f>
        <v>جفت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O1999" s="1">
        <v>97</v>
      </c>
      <c r="P1999" s="1">
        <f t="shared" si="93"/>
        <v>0</v>
      </c>
      <c r="Q1999" s="1">
        <f t="shared" si="94"/>
        <v>0</v>
      </c>
      <c r="R1999" s="1" t="e">
        <f t="shared" si="95"/>
        <v>#DIV/0!</v>
      </c>
    </row>
    <row r="2000" spans="1:18">
      <c r="A2000" s="1">
        <v>6</v>
      </c>
      <c r="B2000" s="1" t="str">
        <f>"موجودي ملزومات اداري"</f>
        <v>موجودي ملزومات اداري</v>
      </c>
      <c r="C2000" s="1">
        <v>110</v>
      </c>
      <c r="D2000" s="1" t="str">
        <f>"ملزومات اداري اصفهان"</f>
        <v>ملزومات اداري اصفهان</v>
      </c>
      <c r="E2000" s="1" t="str">
        <f>"0000011062"</f>
        <v>0000011062</v>
      </c>
      <c r="F2000" s="1" t="str">
        <f>"ماژيك هاي لايت"</f>
        <v>ماژيك هاي لايت</v>
      </c>
      <c r="G2000" s="1" t="str">
        <f>"عدد"</f>
        <v>عدد</v>
      </c>
      <c r="H2000" s="1">
        <v>52</v>
      </c>
      <c r="I2000" s="1">
        <v>812500</v>
      </c>
      <c r="J2000" s="1">
        <v>90</v>
      </c>
      <c r="K2000" s="1">
        <v>2380000</v>
      </c>
      <c r="L2000" s="1">
        <v>109</v>
      </c>
      <c r="M2000" s="1">
        <v>2202482</v>
      </c>
      <c r="O2000" s="1">
        <v>97</v>
      </c>
      <c r="P2000" s="4">
        <f t="shared" si="93"/>
        <v>990018</v>
      </c>
      <c r="Q2000" s="4">
        <f t="shared" si="94"/>
        <v>33</v>
      </c>
      <c r="R2000" s="4">
        <f t="shared" si="95"/>
        <v>30000.545454545456</v>
      </c>
    </row>
    <row r="2001" spans="1:18" hidden="1">
      <c r="A2001" s="1">
        <v>6</v>
      </c>
      <c r="B2001" s="1" t="str">
        <f>"موجودي ملزومات اداري"</f>
        <v>موجودي ملزومات اداري</v>
      </c>
      <c r="C2001" s="1">
        <v>110</v>
      </c>
      <c r="D2001" s="1" t="str">
        <f>"ملزومات اداري اصفهان"</f>
        <v>ملزومات اداري اصفهان</v>
      </c>
      <c r="E2001" s="1" t="str">
        <f>"0000011122"</f>
        <v>0000011122</v>
      </c>
      <c r="F2001" s="1" t="str">
        <f>"مداد اتود"</f>
        <v>مداد اتود</v>
      </c>
      <c r="G2001" s="1" t="str">
        <f>"عدد"</f>
        <v>عدد</v>
      </c>
      <c r="H2001" s="1">
        <v>26</v>
      </c>
      <c r="I2001" s="1">
        <v>1870723</v>
      </c>
      <c r="J2001" s="1">
        <v>0</v>
      </c>
      <c r="K2001" s="1">
        <v>0</v>
      </c>
      <c r="L2001" s="1">
        <v>26</v>
      </c>
      <c r="M2001" s="1">
        <v>1870723</v>
      </c>
      <c r="O2001" s="1">
        <v>97</v>
      </c>
      <c r="P2001" s="1">
        <f t="shared" si="93"/>
        <v>0</v>
      </c>
      <c r="Q2001" s="1">
        <f t="shared" si="94"/>
        <v>0</v>
      </c>
      <c r="R2001" s="1" t="e">
        <f t="shared" si="95"/>
        <v>#DIV/0!</v>
      </c>
    </row>
    <row r="2002" spans="1:18">
      <c r="A2002" s="1">
        <v>6</v>
      </c>
      <c r="B2002" s="1" t="str">
        <f>"موجودي ملزومات اداري"</f>
        <v>موجودي ملزومات اداري</v>
      </c>
      <c r="C2002" s="1">
        <v>110</v>
      </c>
      <c r="D2002" s="1" t="str">
        <f>"ملزومات اداري اصفهان"</f>
        <v>ملزومات اداري اصفهان</v>
      </c>
      <c r="E2002" s="1" t="str">
        <f>"0000011282"</f>
        <v>0000011282</v>
      </c>
      <c r="F2002" s="1" t="str">
        <f>"كاغذ يادداشت"</f>
        <v>كاغذ يادداشت</v>
      </c>
      <c r="G2002" s="1" t="str">
        <f>"عدد"</f>
        <v>عدد</v>
      </c>
      <c r="H2002" s="1">
        <v>55</v>
      </c>
      <c r="I2002" s="1">
        <v>957514</v>
      </c>
      <c r="J2002" s="1">
        <v>0</v>
      </c>
      <c r="K2002" s="1">
        <v>0</v>
      </c>
      <c r="L2002" s="1">
        <v>33</v>
      </c>
      <c r="M2002" s="1">
        <v>574508</v>
      </c>
      <c r="O2002" s="1">
        <v>97</v>
      </c>
      <c r="P2002" s="4">
        <f t="shared" si="93"/>
        <v>383006</v>
      </c>
      <c r="Q2002" s="4">
        <f t="shared" si="94"/>
        <v>22</v>
      </c>
      <c r="R2002" s="4">
        <f t="shared" si="95"/>
        <v>17409.363636363636</v>
      </c>
    </row>
    <row r="2003" spans="1:18">
      <c r="A2003" s="1">
        <v>2</v>
      </c>
      <c r="B2003" s="1" t="str">
        <f>"قطعات و لوازم يدكي"</f>
        <v>قطعات و لوازم يدكي</v>
      </c>
      <c r="C2003" s="1">
        <v>120</v>
      </c>
      <c r="D2003" s="1" t="str">
        <f>"انبار قطعات و لوازم يدكي بشکه سازي اصفهان"</f>
        <v>انبار قطعات و لوازم يدكي بشکه سازي اصفهان</v>
      </c>
      <c r="E2003" s="1" t="str">
        <f>"4111700061"</f>
        <v>4111700061</v>
      </c>
      <c r="F2003" s="1" t="str">
        <f>"زنگ صنعتي"</f>
        <v>زنگ صنعتي</v>
      </c>
      <c r="G2003" s="1" t="str">
        <f>"عدد"</f>
        <v>عدد</v>
      </c>
      <c r="H2003" s="1">
        <v>0</v>
      </c>
      <c r="I2003" s="1">
        <v>0</v>
      </c>
      <c r="J2003" s="1">
        <v>1</v>
      </c>
      <c r="K2003" s="1">
        <v>100000</v>
      </c>
      <c r="L2003" s="1">
        <v>0</v>
      </c>
      <c r="M2003" s="1">
        <v>0</v>
      </c>
      <c r="O2003" s="1">
        <v>97</v>
      </c>
      <c r="P2003" s="4">
        <f t="shared" si="93"/>
        <v>100000</v>
      </c>
      <c r="Q2003" s="4">
        <f t="shared" si="94"/>
        <v>1</v>
      </c>
      <c r="R2003" s="4">
        <f t="shared" si="95"/>
        <v>100000</v>
      </c>
    </row>
    <row r="2004" spans="1:18">
      <c r="A2004" s="1">
        <v>2</v>
      </c>
      <c r="B2004" s="1" t="str">
        <f>"قطعات و لوازم يدكي"</f>
        <v>قطعات و لوازم يدكي</v>
      </c>
      <c r="C2004" s="1">
        <v>120</v>
      </c>
      <c r="D2004" s="1" t="str">
        <f>"انبار قطعات و لوازم يدكي بشکه سازي اصفهان"</f>
        <v>انبار قطعات و لوازم يدكي بشکه سازي اصفهان</v>
      </c>
      <c r="E2004" s="1" t="str">
        <f>"4111700066"</f>
        <v>4111700066</v>
      </c>
      <c r="F2004" s="1" t="str">
        <f>"کنتاکتور پارس فايل p-f-c-18"</f>
        <v>کنتاکتور پارس فايل p-f-c-18</v>
      </c>
      <c r="G2004" s="1" t="str">
        <f>"عدد"</f>
        <v>عدد</v>
      </c>
      <c r="H2004" s="1">
        <v>0</v>
      </c>
      <c r="I2004" s="1">
        <v>0</v>
      </c>
      <c r="J2004" s="1">
        <v>2</v>
      </c>
      <c r="K2004" s="1">
        <v>3200000</v>
      </c>
      <c r="L2004" s="1">
        <v>0</v>
      </c>
      <c r="M2004" s="1">
        <v>0</v>
      </c>
      <c r="O2004" s="1">
        <v>97</v>
      </c>
      <c r="P2004" s="4">
        <f t="shared" si="93"/>
        <v>3200000</v>
      </c>
      <c r="Q2004" s="4">
        <f t="shared" si="94"/>
        <v>2</v>
      </c>
      <c r="R2004" s="4">
        <f t="shared" si="95"/>
        <v>1600000</v>
      </c>
    </row>
    <row r="2005" spans="1:18">
      <c r="A2005" s="1">
        <v>2</v>
      </c>
      <c r="B2005" s="1" t="str">
        <f>"قطعات و لوازم يدكي"</f>
        <v>قطعات و لوازم يدكي</v>
      </c>
      <c r="C2005" s="1">
        <v>120</v>
      </c>
      <c r="D2005" s="1" t="str">
        <f>"انبار قطعات و لوازم يدكي بشکه سازي اصفهان"</f>
        <v>انبار قطعات و لوازم يدكي بشکه سازي اصفهان</v>
      </c>
      <c r="E2005" s="1" t="str">
        <f>"4111700082"</f>
        <v>4111700082</v>
      </c>
      <c r="F2005" s="1" t="str">
        <f>"کابل 1*1/5"</f>
        <v>کابل 1*1/5</v>
      </c>
      <c r="G2005" s="1" t="str">
        <f>"متر"</f>
        <v>متر</v>
      </c>
      <c r="H2005" s="1">
        <v>0</v>
      </c>
      <c r="I2005" s="1">
        <v>0</v>
      </c>
      <c r="J2005" s="1">
        <v>7</v>
      </c>
      <c r="K2005" s="1">
        <v>84000</v>
      </c>
      <c r="L2005" s="1">
        <v>0</v>
      </c>
      <c r="M2005" s="1">
        <v>0</v>
      </c>
      <c r="O2005" s="1">
        <v>97</v>
      </c>
      <c r="P2005" s="4">
        <f t="shared" si="93"/>
        <v>84000</v>
      </c>
      <c r="Q2005" s="4">
        <f t="shared" si="94"/>
        <v>7</v>
      </c>
      <c r="R2005" s="4">
        <f t="shared" si="95"/>
        <v>12000</v>
      </c>
    </row>
    <row r="2006" spans="1:18">
      <c r="A2006" s="1">
        <v>2</v>
      </c>
      <c r="B2006" s="1" t="str">
        <f>"قطعات و لوازم يدكي"</f>
        <v>قطعات و لوازم يدكي</v>
      </c>
      <c r="C2006" s="1">
        <v>120</v>
      </c>
      <c r="D2006" s="1" t="str">
        <f>"انبار قطعات و لوازم يدكي بشکه سازي اصفهان"</f>
        <v>انبار قطعات و لوازم يدكي بشکه سازي اصفهان</v>
      </c>
      <c r="E2006" s="1" t="str">
        <f>"4111700091"</f>
        <v>4111700091</v>
      </c>
      <c r="F2006" s="1" t="str">
        <f>"فلوتر الکتروپمپ"</f>
        <v>فلوتر الکتروپمپ</v>
      </c>
      <c r="G2006" s="1" t="str">
        <f>"عدد"</f>
        <v>عدد</v>
      </c>
      <c r="H2006" s="1">
        <v>0</v>
      </c>
      <c r="I2006" s="1">
        <v>0</v>
      </c>
      <c r="J2006" s="1">
        <v>5</v>
      </c>
      <c r="K2006" s="1">
        <v>8550000</v>
      </c>
      <c r="L2006" s="1">
        <v>0</v>
      </c>
      <c r="M2006" s="1">
        <v>0</v>
      </c>
      <c r="O2006" s="1">
        <v>97</v>
      </c>
      <c r="P2006" s="4">
        <f t="shared" si="93"/>
        <v>8550000</v>
      </c>
      <c r="Q2006" s="4">
        <f t="shared" si="94"/>
        <v>5</v>
      </c>
      <c r="R2006" s="4">
        <f t="shared" si="95"/>
        <v>1710000</v>
      </c>
    </row>
    <row r="2007" spans="1:18">
      <c r="A2007" s="1">
        <v>2</v>
      </c>
      <c r="B2007" s="1" t="str">
        <f>"قطعات و لوازم يدكي"</f>
        <v>قطعات و لوازم يدكي</v>
      </c>
      <c r="C2007" s="1">
        <v>120</v>
      </c>
      <c r="D2007" s="1" t="str">
        <f>"انبار قطعات و لوازم يدكي بشکه سازي اصفهان"</f>
        <v>انبار قطعات و لوازم يدكي بشکه سازي اصفهان</v>
      </c>
      <c r="E2007" s="1" t="str">
        <f>"4111700096"</f>
        <v>4111700096</v>
      </c>
      <c r="F2007" s="1" t="str">
        <f>"فيوز کاردي 315 آمپر"</f>
        <v>فيوز کاردي 315 آمپر</v>
      </c>
      <c r="G2007" s="1" t="str">
        <f>"عدد"</f>
        <v>عدد</v>
      </c>
      <c r="H2007" s="1">
        <v>0</v>
      </c>
      <c r="I2007" s="1">
        <v>0</v>
      </c>
      <c r="J2007" s="1">
        <v>6</v>
      </c>
      <c r="K2007" s="1">
        <v>660000</v>
      </c>
      <c r="L2007" s="1">
        <v>0</v>
      </c>
      <c r="M2007" s="1">
        <v>0</v>
      </c>
      <c r="O2007" s="1">
        <v>97</v>
      </c>
      <c r="P2007" s="4">
        <f t="shared" si="93"/>
        <v>660000</v>
      </c>
      <c r="Q2007" s="4">
        <f t="shared" si="94"/>
        <v>6</v>
      </c>
      <c r="R2007" s="4">
        <f t="shared" si="95"/>
        <v>110000</v>
      </c>
    </row>
    <row r="2008" spans="1:18">
      <c r="A2008" s="1">
        <v>2</v>
      </c>
      <c r="B2008" s="1" t="str">
        <f>"قطعات و لوازم يدكي"</f>
        <v>قطعات و لوازم يدكي</v>
      </c>
      <c r="C2008" s="1">
        <v>120</v>
      </c>
      <c r="D2008" s="1" t="str">
        <f>"انبار قطعات و لوازم يدكي بشکه سازي اصفهان"</f>
        <v>انبار قطعات و لوازم يدكي بشکه سازي اصفهان</v>
      </c>
      <c r="E2008" s="1" t="str">
        <f>"4111700110"</f>
        <v>4111700110</v>
      </c>
      <c r="F2008" s="1" t="str">
        <f>"بي متال اشنايدر LRD 14"</f>
        <v>بي متال اشنايدر LRD 14</v>
      </c>
      <c r="G2008" s="1" t="str">
        <f>"عدد"</f>
        <v>عدد</v>
      </c>
      <c r="H2008" s="1">
        <v>0</v>
      </c>
      <c r="I2008" s="1">
        <v>0</v>
      </c>
      <c r="J2008" s="1">
        <v>3</v>
      </c>
      <c r="K2008" s="1">
        <v>1500000</v>
      </c>
      <c r="L2008" s="1">
        <v>0</v>
      </c>
      <c r="M2008" s="1">
        <v>0</v>
      </c>
      <c r="O2008" s="1">
        <v>97</v>
      </c>
      <c r="P2008" s="4">
        <f t="shared" si="93"/>
        <v>1500000</v>
      </c>
      <c r="Q2008" s="4">
        <f t="shared" si="94"/>
        <v>3</v>
      </c>
      <c r="R2008" s="4">
        <f t="shared" si="95"/>
        <v>500000</v>
      </c>
    </row>
    <row r="2009" spans="1:18">
      <c r="A2009" s="1">
        <v>2</v>
      </c>
      <c r="B2009" s="1" t="str">
        <f>"قطعات و لوازم يدكي"</f>
        <v>قطعات و لوازم يدكي</v>
      </c>
      <c r="C2009" s="1">
        <v>120</v>
      </c>
      <c r="D2009" s="1" t="str">
        <f>"انبار قطعات و لوازم يدكي بشکه سازي اصفهان"</f>
        <v>انبار قطعات و لوازم يدكي بشکه سازي اصفهان</v>
      </c>
      <c r="E2009" s="1" t="str">
        <f>"4111700113"</f>
        <v>4111700113</v>
      </c>
      <c r="F2009" s="1" t="str">
        <f>"کابل 3*1"</f>
        <v>کابل 3*1</v>
      </c>
      <c r="G2009" s="1" t="str">
        <f>"متر"</f>
        <v>متر</v>
      </c>
      <c r="H2009" s="1">
        <v>0</v>
      </c>
      <c r="I2009" s="1">
        <v>0</v>
      </c>
      <c r="J2009" s="1">
        <v>12</v>
      </c>
      <c r="K2009" s="1">
        <v>156000</v>
      </c>
      <c r="L2009" s="1">
        <v>0</v>
      </c>
      <c r="M2009" s="1">
        <v>0</v>
      </c>
      <c r="O2009" s="1">
        <v>97</v>
      </c>
      <c r="P2009" s="4">
        <f t="shared" si="93"/>
        <v>156000</v>
      </c>
      <c r="Q2009" s="4">
        <f t="shared" si="94"/>
        <v>12</v>
      </c>
      <c r="R2009" s="4">
        <f t="shared" si="95"/>
        <v>13000</v>
      </c>
    </row>
    <row r="2010" spans="1:18">
      <c r="A2010" s="1">
        <v>2</v>
      </c>
      <c r="B2010" s="1" t="str">
        <f>"قطعات و لوازم يدكي"</f>
        <v>قطعات و لوازم يدكي</v>
      </c>
      <c r="C2010" s="1">
        <v>120</v>
      </c>
      <c r="D2010" s="1" t="str">
        <f>"انبار قطعات و لوازم يدكي بشکه سازي اصفهان"</f>
        <v>انبار قطعات و لوازم يدكي بشکه سازي اصفهان</v>
      </c>
      <c r="E2010" s="1" t="str">
        <f>"4111700117"</f>
        <v>4111700117</v>
      </c>
      <c r="F2010" s="1" t="str">
        <f>"کمک کنتاکتور دو تيغه"</f>
        <v>کمک کنتاکتور دو تيغه</v>
      </c>
      <c r="G2010" s="1" t="str">
        <f>"عدد"</f>
        <v>عدد</v>
      </c>
      <c r="H2010" s="1">
        <v>0</v>
      </c>
      <c r="I2010" s="1">
        <v>0</v>
      </c>
      <c r="J2010" s="1">
        <v>5</v>
      </c>
      <c r="K2010" s="1">
        <v>4625000</v>
      </c>
      <c r="L2010" s="1">
        <v>0</v>
      </c>
      <c r="M2010" s="1">
        <v>0</v>
      </c>
      <c r="O2010" s="1">
        <v>97</v>
      </c>
      <c r="P2010" s="4">
        <f t="shared" si="93"/>
        <v>4625000</v>
      </c>
      <c r="Q2010" s="4">
        <f t="shared" si="94"/>
        <v>5</v>
      </c>
      <c r="R2010" s="4">
        <f t="shared" si="95"/>
        <v>925000</v>
      </c>
    </row>
    <row r="2011" spans="1:18">
      <c r="A2011" s="1">
        <v>2</v>
      </c>
      <c r="B2011" s="1" t="str">
        <f>"قطعات و لوازم يدكي"</f>
        <v>قطعات و لوازم يدكي</v>
      </c>
      <c r="C2011" s="1">
        <v>120</v>
      </c>
      <c r="D2011" s="1" t="str">
        <f>"انبار قطعات و لوازم يدكي بشکه سازي اصفهان"</f>
        <v>انبار قطعات و لوازم يدكي بشکه سازي اصفهان</v>
      </c>
      <c r="E2011" s="1" t="str">
        <f>"4111700121"</f>
        <v>4111700121</v>
      </c>
      <c r="F2011" s="1" t="str">
        <f>"فيوز کتابي 160 آمپر"</f>
        <v>فيوز کتابي 160 آمپر</v>
      </c>
      <c r="G2011" s="1" t="str">
        <f>"عدد"</f>
        <v>عدد</v>
      </c>
      <c r="H2011" s="1">
        <v>0</v>
      </c>
      <c r="I2011" s="1">
        <v>0</v>
      </c>
      <c r="J2011" s="1">
        <v>2</v>
      </c>
      <c r="K2011" s="1">
        <v>380000</v>
      </c>
      <c r="L2011" s="1">
        <v>0</v>
      </c>
      <c r="M2011" s="1">
        <v>0</v>
      </c>
      <c r="O2011" s="1">
        <v>97</v>
      </c>
      <c r="P2011" s="4">
        <f t="shared" si="93"/>
        <v>380000</v>
      </c>
      <c r="Q2011" s="4">
        <f t="shared" si="94"/>
        <v>2</v>
      </c>
      <c r="R2011" s="4">
        <f t="shared" si="95"/>
        <v>190000</v>
      </c>
    </row>
    <row r="2012" spans="1:18">
      <c r="A2012" s="1">
        <v>2</v>
      </c>
      <c r="B2012" s="1" t="str">
        <f>"قطعات و لوازم يدكي"</f>
        <v>قطعات و لوازم يدكي</v>
      </c>
      <c r="C2012" s="1">
        <v>120</v>
      </c>
      <c r="D2012" s="1" t="str">
        <f>"انبار قطعات و لوازم يدكي بشکه سازي اصفهان"</f>
        <v>انبار قطعات و لوازم يدكي بشکه سازي اصفهان</v>
      </c>
      <c r="E2012" s="1" t="str">
        <f>"4111700127"</f>
        <v>4111700127</v>
      </c>
      <c r="F2012" s="1" t="str">
        <f>"تايمر 60 ثانيه اي"</f>
        <v>تايمر 60 ثانيه اي</v>
      </c>
      <c r="G2012" s="1" t="str">
        <f>"عدد"</f>
        <v>عدد</v>
      </c>
      <c r="H2012" s="1">
        <v>0</v>
      </c>
      <c r="I2012" s="1">
        <v>0</v>
      </c>
      <c r="J2012" s="1">
        <v>3</v>
      </c>
      <c r="K2012" s="1">
        <v>2700000</v>
      </c>
      <c r="L2012" s="1">
        <v>0</v>
      </c>
      <c r="M2012" s="1">
        <v>0</v>
      </c>
      <c r="O2012" s="1">
        <v>97</v>
      </c>
      <c r="P2012" s="4">
        <f t="shared" si="93"/>
        <v>2700000</v>
      </c>
      <c r="Q2012" s="4">
        <f t="shared" si="94"/>
        <v>3</v>
      </c>
      <c r="R2012" s="4">
        <f t="shared" si="95"/>
        <v>900000</v>
      </c>
    </row>
    <row r="2013" spans="1:18">
      <c r="A2013" s="1">
        <v>2</v>
      </c>
      <c r="B2013" s="1" t="str">
        <f>"قطعات و لوازم يدكي"</f>
        <v>قطعات و لوازم يدكي</v>
      </c>
      <c r="C2013" s="1">
        <v>120</v>
      </c>
      <c r="D2013" s="1" t="str">
        <f>"انبار قطعات و لوازم يدكي بشکه سازي اصفهان"</f>
        <v>انبار قطعات و لوازم يدكي بشکه سازي اصفهان</v>
      </c>
      <c r="E2013" s="1" t="str">
        <f>"4211700002"</f>
        <v>4211700002</v>
      </c>
      <c r="F2013" s="1" t="str">
        <f>"فيلتر هيدروليک ليفتراک"</f>
        <v>فيلتر هيدروليک ليفتراک</v>
      </c>
      <c r="G2013" s="1" t="str">
        <f>"عدد"</f>
        <v>عدد</v>
      </c>
      <c r="H2013" s="1">
        <v>0</v>
      </c>
      <c r="I2013" s="1">
        <v>0</v>
      </c>
      <c r="J2013" s="1">
        <v>6</v>
      </c>
      <c r="K2013" s="1">
        <v>2910000</v>
      </c>
      <c r="L2013" s="1">
        <v>0</v>
      </c>
      <c r="M2013" s="1">
        <v>0</v>
      </c>
      <c r="O2013" s="1">
        <v>97</v>
      </c>
      <c r="P2013" s="4">
        <f t="shared" si="93"/>
        <v>2910000</v>
      </c>
      <c r="Q2013" s="4">
        <f t="shared" si="94"/>
        <v>6</v>
      </c>
      <c r="R2013" s="4">
        <f t="shared" si="95"/>
        <v>485000</v>
      </c>
    </row>
    <row r="2014" spans="1:18" hidden="1">
      <c r="A2014" s="1">
        <v>2</v>
      </c>
      <c r="B2014" s="1" t="str">
        <f>"قطعات و لوازم يدكي"</f>
        <v>قطعات و لوازم يدكي</v>
      </c>
      <c r="C2014" s="1">
        <v>120</v>
      </c>
      <c r="D2014" s="1" t="str">
        <f>"انبار قطعات و لوازم يدكي بشکه سازي اصفهان"</f>
        <v>انبار قطعات و لوازم يدكي بشکه سازي اصفهان</v>
      </c>
      <c r="E2014" s="1" t="str">
        <f>"4211700015"</f>
        <v>4211700015</v>
      </c>
      <c r="F2014" s="1" t="str">
        <f>"تيوپ 650-10"</f>
        <v>تيوپ 650-10</v>
      </c>
      <c r="G2014" s="1" t="str">
        <f>"عدد"</f>
        <v>عدد</v>
      </c>
      <c r="H2014" s="1">
        <v>0</v>
      </c>
      <c r="I2014" s="1">
        <v>0</v>
      </c>
      <c r="J2014" s="1">
        <v>2</v>
      </c>
      <c r="K2014" s="1">
        <v>800000</v>
      </c>
      <c r="L2014" s="1">
        <v>2</v>
      </c>
      <c r="M2014" s="1">
        <v>800000</v>
      </c>
      <c r="O2014" s="1">
        <v>97</v>
      </c>
      <c r="P2014" s="1">
        <f t="shared" si="93"/>
        <v>0</v>
      </c>
      <c r="Q2014" s="1">
        <f t="shared" si="94"/>
        <v>0</v>
      </c>
      <c r="R2014" s="1" t="e">
        <f t="shared" si="95"/>
        <v>#DIV/0!</v>
      </c>
    </row>
    <row r="2015" spans="1:18">
      <c r="A2015" s="1">
        <v>2</v>
      </c>
      <c r="B2015" s="1" t="str">
        <f>"قطعات و لوازم يدكي"</f>
        <v>قطعات و لوازم يدكي</v>
      </c>
      <c r="C2015" s="1">
        <v>120</v>
      </c>
      <c r="D2015" s="1" t="str">
        <f>"انبار قطعات و لوازم يدكي بشکه سازي اصفهان"</f>
        <v>انبار قطعات و لوازم يدكي بشکه سازي اصفهان</v>
      </c>
      <c r="E2015" s="1" t="str">
        <f>"4211700022"</f>
        <v>4211700022</v>
      </c>
      <c r="F2015" s="1" t="str">
        <f>"واحد مراقبت 1/2"</f>
        <v>واحد مراقبت 1/2</v>
      </c>
      <c r="G2015" s="1" t="str">
        <f>"عدد"</f>
        <v>عدد</v>
      </c>
      <c r="H2015" s="1">
        <v>0</v>
      </c>
      <c r="I2015" s="1">
        <v>0</v>
      </c>
      <c r="J2015" s="1">
        <v>6</v>
      </c>
      <c r="K2015" s="1">
        <v>13200000</v>
      </c>
      <c r="L2015" s="1">
        <v>0</v>
      </c>
      <c r="M2015" s="1">
        <v>0</v>
      </c>
      <c r="O2015" s="1">
        <v>97</v>
      </c>
      <c r="P2015" s="4">
        <f t="shared" si="93"/>
        <v>13200000</v>
      </c>
      <c r="Q2015" s="4">
        <f t="shared" si="94"/>
        <v>6</v>
      </c>
      <c r="R2015" s="4">
        <f t="shared" si="95"/>
        <v>2200000</v>
      </c>
    </row>
    <row r="2016" spans="1:18">
      <c r="A2016" s="1">
        <v>2</v>
      </c>
      <c r="B2016" s="1" t="str">
        <f>"قطعات و لوازم يدكي"</f>
        <v>قطعات و لوازم يدكي</v>
      </c>
      <c r="C2016" s="1">
        <v>120</v>
      </c>
      <c r="D2016" s="1" t="str">
        <f>"انبار قطعات و لوازم يدكي بشکه سازي اصفهان"</f>
        <v>انبار قطعات و لوازم يدكي بشکه سازي اصفهان</v>
      </c>
      <c r="E2016" s="1" t="str">
        <f>"4211700044"</f>
        <v>4211700044</v>
      </c>
      <c r="F2016" s="1" t="str">
        <f>"دنده گيربکس جوش اتومات"</f>
        <v>دنده گيربکس جوش اتومات</v>
      </c>
      <c r="G2016" s="1" t="str">
        <f>"عدد"</f>
        <v>عدد</v>
      </c>
      <c r="H2016" s="1">
        <v>0</v>
      </c>
      <c r="I2016" s="1">
        <v>0</v>
      </c>
      <c r="J2016" s="1">
        <v>4</v>
      </c>
      <c r="K2016" s="1">
        <v>10000000</v>
      </c>
      <c r="L2016" s="1">
        <v>0</v>
      </c>
      <c r="M2016" s="1">
        <v>0</v>
      </c>
      <c r="O2016" s="1">
        <v>97</v>
      </c>
      <c r="P2016" s="4">
        <f t="shared" si="93"/>
        <v>10000000</v>
      </c>
      <c r="Q2016" s="4">
        <f t="shared" si="94"/>
        <v>4</v>
      </c>
      <c r="R2016" s="4">
        <f t="shared" si="95"/>
        <v>2500000</v>
      </c>
    </row>
    <row r="2017" spans="1:18">
      <c r="A2017" s="1">
        <v>2</v>
      </c>
      <c r="B2017" s="1" t="str">
        <f>"قطعات و لوازم يدكي"</f>
        <v>قطعات و لوازم يدكي</v>
      </c>
      <c r="C2017" s="1">
        <v>120</v>
      </c>
      <c r="D2017" s="1" t="str">
        <f>"انبار قطعات و لوازم يدكي بشکه سازي اصفهان"</f>
        <v>انبار قطعات و لوازم يدكي بشکه سازي اصفهان</v>
      </c>
      <c r="E2017" s="1" t="str">
        <f>"4211700055"</f>
        <v>4211700055</v>
      </c>
      <c r="F2017" s="1" t="str">
        <f>"بلبيرينگ 51212"</f>
        <v>بلبيرينگ 51212</v>
      </c>
      <c r="G2017" s="1" t="str">
        <f>"عدد"</f>
        <v>عدد</v>
      </c>
      <c r="H2017" s="1">
        <v>0</v>
      </c>
      <c r="I2017" s="1">
        <v>0</v>
      </c>
      <c r="J2017" s="1">
        <v>10</v>
      </c>
      <c r="K2017" s="1">
        <v>1300000</v>
      </c>
      <c r="L2017" s="1">
        <v>0</v>
      </c>
      <c r="M2017" s="1">
        <v>0</v>
      </c>
      <c r="O2017" s="1">
        <v>97</v>
      </c>
      <c r="P2017" s="4">
        <f t="shared" si="93"/>
        <v>1300000</v>
      </c>
      <c r="Q2017" s="4">
        <f t="shared" si="94"/>
        <v>10</v>
      </c>
      <c r="R2017" s="4">
        <f t="shared" si="95"/>
        <v>130000</v>
      </c>
    </row>
    <row r="2018" spans="1:18">
      <c r="A2018" s="1">
        <v>2</v>
      </c>
      <c r="B2018" s="1" t="str">
        <f>"قطعات و لوازم يدكي"</f>
        <v>قطعات و لوازم يدكي</v>
      </c>
      <c r="C2018" s="1">
        <v>120</v>
      </c>
      <c r="D2018" s="1" t="str">
        <f>"انبار قطعات و لوازم يدكي بشکه سازي اصفهان"</f>
        <v>انبار قطعات و لوازم يدكي بشکه سازي اصفهان</v>
      </c>
      <c r="E2018" s="1" t="str">
        <f>"4211700063"</f>
        <v>4211700063</v>
      </c>
      <c r="F2018" s="1" t="str">
        <f>"بلبيرينگ 6003"</f>
        <v>بلبيرينگ 6003</v>
      </c>
      <c r="G2018" s="1" t="str">
        <f>"عدد"</f>
        <v>عدد</v>
      </c>
      <c r="H2018" s="1">
        <v>0</v>
      </c>
      <c r="I2018" s="1">
        <v>0</v>
      </c>
      <c r="J2018" s="1">
        <v>2</v>
      </c>
      <c r="K2018" s="1">
        <v>400000</v>
      </c>
      <c r="L2018" s="1">
        <v>0</v>
      </c>
      <c r="M2018" s="1">
        <v>0</v>
      </c>
      <c r="O2018" s="1">
        <v>97</v>
      </c>
      <c r="P2018" s="4">
        <f t="shared" si="93"/>
        <v>400000</v>
      </c>
      <c r="Q2018" s="4">
        <f t="shared" si="94"/>
        <v>2</v>
      </c>
      <c r="R2018" s="4">
        <f t="shared" si="95"/>
        <v>200000</v>
      </c>
    </row>
    <row r="2019" spans="1:18">
      <c r="A2019" s="1">
        <v>2</v>
      </c>
      <c r="B2019" s="1" t="str">
        <f>"قطعات و لوازم يدكي"</f>
        <v>قطعات و لوازم يدكي</v>
      </c>
      <c r="C2019" s="1">
        <v>120</v>
      </c>
      <c r="D2019" s="1" t="str">
        <f>"انبار قطعات و لوازم يدكي بشکه سازي اصفهان"</f>
        <v>انبار قطعات و لوازم يدكي بشکه سازي اصفهان</v>
      </c>
      <c r="E2019" s="1" t="str">
        <f>"4211700077"</f>
        <v>4211700077</v>
      </c>
      <c r="F2019" s="1" t="str">
        <f>"بلبرينگ 207-23"</f>
        <v>بلبرينگ 207-23</v>
      </c>
      <c r="G2019" s="1" t="str">
        <f>"عدد"</f>
        <v>عدد</v>
      </c>
      <c r="H2019" s="1">
        <v>0</v>
      </c>
      <c r="I2019" s="1">
        <v>0</v>
      </c>
      <c r="J2019" s="1">
        <v>1</v>
      </c>
      <c r="K2019" s="1">
        <v>200000</v>
      </c>
      <c r="L2019" s="1">
        <v>0</v>
      </c>
      <c r="M2019" s="1">
        <v>0</v>
      </c>
      <c r="O2019" s="1">
        <v>97</v>
      </c>
      <c r="P2019" s="4">
        <f t="shared" si="93"/>
        <v>200000</v>
      </c>
      <c r="Q2019" s="4">
        <f t="shared" si="94"/>
        <v>1</v>
      </c>
      <c r="R2019" s="4">
        <f t="shared" si="95"/>
        <v>200000</v>
      </c>
    </row>
    <row r="2020" spans="1:18">
      <c r="A2020" s="1">
        <v>2</v>
      </c>
      <c r="B2020" s="1" t="str">
        <f>"قطعات و لوازم يدكي"</f>
        <v>قطعات و لوازم يدكي</v>
      </c>
      <c r="C2020" s="1">
        <v>120</v>
      </c>
      <c r="D2020" s="1" t="str">
        <f>"انبار قطعات و لوازم يدكي بشکه سازي اصفهان"</f>
        <v>انبار قطعات و لوازم يدكي بشکه سازي اصفهان</v>
      </c>
      <c r="E2020" s="1" t="str">
        <f>"4211700101"</f>
        <v>4211700101</v>
      </c>
      <c r="F2020" s="1" t="str">
        <f>"غلطک هاي فرم کنگره لبه زن"</f>
        <v>غلطک هاي فرم کنگره لبه زن</v>
      </c>
      <c r="G2020" s="1" t="str">
        <f>"عدد"</f>
        <v>عدد</v>
      </c>
      <c r="H2020" s="1">
        <v>0</v>
      </c>
      <c r="I2020" s="1">
        <v>0</v>
      </c>
      <c r="J2020" s="1">
        <v>8</v>
      </c>
      <c r="K2020" s="1">
        <v>8000000</v>
      </c>
      <c r="L2020" s="1">
        <v>0</v>
      </c>
      <c r="M2020" s="1">
        <v>0</v>
      </c>
      <c r="O2020" s="1">
        <v>97</v>
      </c>
      <c r="P2020" s="4">
        <f t="shared" si="93"/>
        <v>8000000</v>
      </c>
      <c r="Q2020" s="4">
        <f t="shared" si="94"/>
        <v>8</v>
      </c>
      <c r="R2020" s="4">
        <f t="shared" si="95"/>
        <v>1000000</v>
      </c>
    </row>
    <row r="2021" spans="1:18">
      <c r="A2021" s="1">
        <v>2</v>
      </c>
      <c r="B2021" s="1" t="str">
        <f>"قطعات و لوازم يدكي"</f>
        <v>قطعات و لوازم يدكي</v>
      </c>
      <c r="C2021" s="1">
        <v>120</v>
      </c>
      <c r="D2021" s="1" t="str">
        <f>"انبار قطعات و لوازم يدكي بشکه سازي اصفهان"</f>
        <v>انبار قطعات و لوازم يدكي بشکه سازي اصفهان</v>
      </c>
      <c r="E2021" s="1" t="str">
        <f>"4211700109"</f>
        <v>4211700109</v>
      </c>
      <c r="F2021" s="1" t="str">
        <f>"سيلندر جک 100*100"</f>
        <v>سيلندر جک 100*100</v>
      </c>
      <c r="G2021" s="1" t="str">
        <f>"عدد"</f>
        <v>عدد</v>
      </c>
      <c r="H2021" s="1">
        <v>0</v>
      </c>
      <c r="I2021" s="1">
        <v>0</v>
      </c>
      <c r="J2021" s="1">
        <v>5</v>
      </c>
      <c r="K2021" s="1">
        <v>3000000</v>
      </c>
      <c r="L2021" s="1">
        <v>0</v>
      </c>
      <c r="M2021" s="1">
        <v>0</v>
      </c>
      <c r="O2021" s="1">
        <v>97</v>
      </c>
      <c r="P2021" s="4">
        <f t="shared" si="93"/>
        <v>3000000</v>
      </c>
      <c r="Q2021" s="4">
        <f t="shared" si="94"/>
        <v>5</v>
      </c>
      <c r="R2021" s="4">
        <f t="shared" si="95"/>
        <v>600000</v>
      </c>
    </row>
    <row r="2022" spans="1:18">
      <c r="A2022" s="1">
        <v>2</v>
      </c>
      <c r="B2022" s="1" t="str">
        <f>"قطعات و لوازم يدكي"</f>
        <v>قطعات و لوازم يدكي</v>
      </c>
      <c r="C2022" s="1">
        <v>120</v>
      </c>
      <c r="D2022" s="1" t="str">
        <f>"انبار قطعات و لوازم يدكي بشکه سازي اصفهان"</f>
        <v>انبار قطعات و لوازم يدكي بشکه سازي اصفهان</v>
      </c>
      <c r="E2022" s="1" t="str">
        <f>"4211700112"</f>
        <v>4211700112</v>
      </c>
      <c r="F2022" s="1" t="str">
        <f>"جک پنوماتيک 50*80"</f>
        <v>جک پنوماتيک 50*80</v>
      </c>
      <c r="G2022" s="1" t="str">
        <f>"عدد"</f>
        <v>عدد</v>
      </c>
      <c r="H2022" s="1">
        <v>0</v>
      </c>
      <c r="I2022" s="1">
        <v>0</v>
      </c>
      <c r="J2022" s="1">
        <v>2</v>
      </c>
      <c r="K2022" s="1">
        <v>4000000</v>
      </c>
      <c r="L2022" s="1">
        <v>0</v>
      </c>
      <c r="M2022" s="1">
        <v>0</v>
      </c>
      <c r="O2022" s="1">
        <v>97</v>
      </c>
      <c r="P2022" s="4">
        <f t="shared" si="93"/>
        <v>4000000</v>
      </c>
      <c r="Q2022" s="4">
        <f t="shared" si="94"/>
        <v>2</v>
      </c>
      <c r="R2022" s="4">
        <f t="shared" si="95"/>
        <v>2000000</v>
      </c>
    </row>
    <row r="2023" spans="1:18">
      <c r="A2023" s="1">
        <v>2</v>
      </c>
      <c r="B2023" s="1" t="str">
        <f>"قطعات و لوازم يدكي"</f>
        <v>قطعات و لوازم يدكي</v>
      </c>
      <c r="C2023" s="1">
        <v>120</v>
      </c>
      <c r="D2023" s="1" t="str">
        <f>"انبار قطعات و لوازم يدكي بشکه سازي اصفهان"</f>
        <v>انبار قطعات و لوازم يدكي بشکه سازي اصفهان</v>
      </c>
      <c r="E2023" s="1" t="str">
        <f>"4211700115"</f>
        <v>4211700115</v>
      </c>
      <c r="F2023" s="1" t="str">
        <f>"جک پنوماتيک 125*100"</f>
        <v>جک پنوماتيک 125*100</v>
      </c>
      <c r="G2023" s="1" t="str">
        <f>"عدد"</f>
        <v>عدد</v>
      </c>
      <c r="H2023" s="1">
        <v>0</v>
      </c>
      <c r="I2023" s="1">
        <v>0</v>
      </c>
      <c r="J2023" s="1">
        <v>2</v>
      </c>
      <c r="K2023" s="1">
        <v>5900000</v>
      </c>
      <c r="L2023" s="1">
        <v>0</v>
      </c>
      <c r="M2023" s="1">
        <v>0</v>
      </c>
      <c r="O2023" s="1">
        <v>97</v>
      </c>
      <c r="P2023" s="4">
        <f t="shared" si="93"/>
        <v>5900000</v>
      </c>
      <c r="Q2023" s="4">
        <f t="shared" si="94"/>
        <v>2</v>
      </c>
      <c r="R2023" s="4">
        <f t="shared" si="95"/>
        <v>2950000</v>
      </c>
    </row>
    <row r="2024" spans="1:18">
      <c r="A2024" s="1">
        <v>2</v>
      </c>
      <c r="B2024" s="1" t="str">
        <f>"قطعات و لوازم يدكي"</f>
        <v>قطعات و لوازم يدكي</v>
      </c>
      <c r="C2024" s="1">
        <v>120</v>
      </c>
      <c r="D2024" s="1" t="str">
        <f>"انبار قطعات و لوازم يدكي بشکه سازي اصفهان"</f>
        <v>انبار قطعات و لوازم يدكي بشکه سازي اصفهان</v>
      </c>
      <c r="E2024" s="1" t="str">
        <f>"4211700132"</f>
        <v>4211700132</v>
      </c>
      <c r="F2024" s="1" t="str">
        <f>"تسمه 9/5*1000"</f>
        <v>تسمه 9/5*1000</v>
      </c>
      <c r="G2024" s="1" t="str">
        <f>"عدد"</f>
        <v>عدد</v>
      </c>
      <c r="H2024" s="1">
        <v>0</v>
      </c>
      <c r="I2024" s="1">
        <v>0</v>
      </c>
      <c r="J2024" s="1">
        <v>1</v>
      </c>
      <c r="K2024" s="1">
        <v>160000</v>
      </c>
      <c r="L2024" s="1">
        <v>0</v>
      </c>
      <c r="M2024" s="1">
        <v>0</v>
      </c>
      <c r="O2024" s="1">
        <v>97</v>
      </c>
      <c r="P2024" s="4">
        <f t="shared" si="93"/>
        <v>160000</v>
      </c>
      <c r="Q2024" s="4">
        <f t="shared" si="94"/>
        <v>1</v>
      </c>
      <c r="R2024" s="4">
        <f t="shared" si="95"/>
        <v>160000</v>
      </c>
    </row>
    <row r="2025" spans="1:18">
      <c r="A2025" s="1">
        <v>2</v>
      </c>
      <c r="B2025" s="1" t="str">
        <f>"قطعات و لوازم يدكي"</f>
        <v>قطعات و لوازم يدكي</v>
      </c>
      <c r="C2025" s="1">
        <v>120</v>
      </c>
      <c r="D2025" s="1" t="str">
        <f>"انبار قطعات و لوازم يدكي بشکه سازي اصفهان"</f>
        <v>انبار قطعات و لوازم يدكي بشکه سازي اصفهان</v>
      </c>
      <c r="E2025" s="1" t="str">
        <f>"4211700145"</f>
        <v>4211700145</v>
      </c>
      <c r="F2025" s="1" t="str">
        <f>"بلبرينگ. 30211"</f>
        <v>بلبرينگ. 30211</v>
      </c>
      <c r="G2025" s="1" t="str">
        <f>"عدد"</f>
        <v>عدد</v>
      </c>
      <c r="H2025" s="1">
        <v>0</v>
      </c>
      <c r="I2025" s="1">
        <v>0</v>
      </c>
      <c r="J2025" s="1">
        <v>8</v>
      </c>
      <c r="K2025" s="1">
        <v>22400000</v>
      </c>
      <c r="L2025" s="1">
        <v>0</v>
      </c>
      <c r="M2025" s="1">
        <v>0</v>
      </c>
      <c r="O2025" s="1">
        <v>97</v>
      </c>
      <c r="P2025" s="4">
        <f t="shared" si="93"/>
        <v>22400000</v>
      </c>
      <c r="Q2025" s="4">
        <f t="shared" si="94"/>
        <v>8</v>
      </c>
      <c r="R2025" s="4">
        <f t="shared" si="95"/>
        <v>2800000</v>
      </c>
    </row>
    <row r="2026" spans="1:18" hidden="1">
      <c r="A2026" s="1">
        <v>2</v>
      </c>
      <c r="B2026" s="1" t="str">
        <f>"قطعات و لوازم يدكي"</f>
        <v>قطعات و لوازم يدكي</v>
      </c>
      <c r="C2026" s="1">
        <v>120</v>
      </c>
      <c r="D2026" s="1" t="str">
        <f>"انبار قطعات و لوازم يدكي بشکه سازي اصفهان"</f>
        <v>انبار قطعات و لوازم يدكي بشکه سازي اصفهان</v>
      </c>
      <c r="E2026" s="1" t="str">
        <f>"4211700150"</f>
        <v>4211700150</v>
      </c>
      <c r="F2026" s="1" t="str">
        <f>"بلبرينگ چرخ جلو تراکتور فرگوسن 285 بزرگ الماني"</f>
        <v>بلبرينگ چرخ جلو تراکتور فرگوسن 285 بزرگ الماني</v>
      </c>
      <c r="G2026" s="1" t="str">
        <f>"عدد"</f>
        <v>عدد</v>
      </c>
      <c r="H2026" s="1">
        <v>0</v>
      </c>
      <c r="I2026" s="1">
        <v>0</v>
      </c>
      <c r="J2026" s="1">
        <v>4</v>
      </c>
      <c r="K2026" s="1">
        <v>3520000</v>
      </c>
      <c r="L2026" s="1">
        <v>4</v>
      </c>
      <c r="M2026" s="1">
        <v>3520000</v>
      </c>
      <c r="O2026" s="1">
        <v>97</v>
      </c>
      <c r="P2026" s="1">
        <f t="shared" si="93"/>
        <v>0</v>
      </c>
      <c r="Q2026" s="1">
        <f t="shared" si="94"/>
        <v>0</v>
      </c>
      <c r="R2026" s="1" t="e">
        <f t="shared" si="95"/>
        <v>#DIV/0!</v>
      </c>
    </row>
    <row r="2027" spans="1:18">
      <c r="A2027" s="1">
        <v>2</v>
      </c>
      <c r="B2027" s="1" t="str">
        <f>"قطعات و لوازم يدكي"</f>
        <v>قطعات و لوازم يدكي</v>
      </c>
      <c r="C2027" s="1">
        <v>120</v>
      </c>
      <c r="D2027" s="1" t="str">
        <f>"انبار قطعات و لوازم يدكي بشکه سازي اصفهان"</f>
        <v>انبار قطعات و لوازم يدكي بشکه سازي اصفهان</v>
      </c>
      <c r="E2027" s="1" t="str">
        <f>"4211700153"</f>
        <v>4211700153</v>
      </c>
      <c r="F2027" s="1" t="str">
        <f>"واسطه 1/2 به 1/2 پيچ تو پيچ"</f>
        <v>واسطه 1/2 به 1/2 پيچ تو پيچ</v>
      </c>
      <c r="G2027" s="1" t="str">
        <f>"عدد"</f>
        <v>عدد</v>
      </c>
      <c r="H2027" s="1">
        <v>0</v>
      </c>
      <c r="I2027" s="1">
        <v>0</v>
      </c>
      <c r="J2027" s="1">
        <v>9</v>
      </c>
      <c r="K2027" s="1">
        <v>279000</v>
      </c>
      <c r="L2027" s="1">
        <v>0</v>
      </c>
      <c r="M2027" s="1">
        <v>0</v>
      </c>
      <c r="O2027" s="1">
        <v>97</v>
      </c>
      <c r="P2027" s="4">
        <f t="shared" si="93"/>
        <v>279000</v>
      </c>
      <c r="Q2027" s="4">
        <f t="shared" si="94"/>
        <v>9</v>
      </c>
      <c r="R2027" s="4">
        <f t="shared" si="95"/>
        <v>31000</v>
      </c>
    </row>
    <row r="2028" spans="1:18">
      <c r="A2028" s="1">
        <v>2</v>
      </c>
      <c r="B2028" s="1" t="str">
        <f>"قطعات و لوازم يدكي"</f>
        <v>قطعات و لوازم يدكي</v>
      </c>
      <c r="C2028" s="1">
        <v>120</v>
      </c>
      <c r="D2028" s="1" t="str">
        <f>"انبار قطعات و لوازم يدكي بشکه سازي اصفهان"</f>
        <v>انبار قطعات و لوازم يدكي بشکه سازي اصفهان</v>
      </c>
      <c r="E2028" s="1" t="str">
        <f>"4211700154"</f>
        <v>4211700154</v>
      </c>
      <c r="F2028" s="1" t="str">
        <f>"تبديل 8*10"</f>
        <v>تبديل 8*10</v>
      </c>
      <c r="G2028" s="1" t="str">
        <f>"عدد"</f>
        <v>عدد</v>
      </c>
      <c r="H2028" s="1">
        <v>0</v>
      </c>
      <c r="I2028" s="1">
        <v>0</v>
      </c>
      <c r="J2028" s="1">
        <v>12</v>
      </c>
      <c r="K2028" s="1">
        <v>6480000</v>
      </c>
      <c r="L2028" s="1">
        <v>0</v>
      </c>
      <c r="M2028" s="1">
        <v>0</v>
      </c>
      <c r="O2028" s="1">
        <v>97</v>
      </c>
      <c r="P2028" s="4">
        <f t="shared" si="93"/>
        <v>6480000</v>
      </c>
      <c r="Q2028" s="4">
        <f t="shared" si="94"/>
        <v>12</v>
      </c>
      <c r="R2028" s="4">
        <f t="shared" si="95"/>
        <v>540000</v>
      </c>
    </row>
    <row r="2029" spans="1:18">
      <c r="A2029" s="1">
        <v>2</v>
      </c>
      <c r="B2029" s="1" t="str">
        <f>"قطعات و لوازم يدكي"</f>
        <v>قطعات و لوازم يدكي</v>
      </c>
      <c r="C2029" s="1">
        <v>120</v>
      </c>
      <c r="D2029" s="1" t="str">
        <f>"انبار قطعات و لوازم يدكي بشکه سازي اصفهان"</f>
        <v>انبار قطعات و لوازم يدكي بشکه سازي اصفهان</v>
      </c>
      <c r="E2029" s="1" t="str">
        <f>"4211700163"</f>
        <v>4211700163</v>
      </c>
      <c r="F2029" s="1" t="str">
        <f>"زغال سنگ مربوط به دستگاه سنگ ميني"</f>
        <v>زغال سنگ مربوط به دستگاه سنگ ميني</v>
      </c>
      <c r="G2029" s="1" t="str">
        <f>"جفت"</f>
        <v>جفت</v>
      </c>
      <c r="H2029" s="1">
        <v>0</v>
      </c>
      <c r="I2029" s="1">
        <v>0</v>
      </c>
      <c r="J2029" s="1">
        <v>12</v>
      </c>
      <c r="K2029" s="1">
        <v>960000</v>
      </c>
      <c r="L2029" s="1">
        <v>1</v>
      </c>
      <c r="M2029" s="1">
        <v>80000</v>
      </c>
      <c r="O2029" s="1">
        <v>97</v>
      </c>
      <c r="P2029" s="4">
        <f t="shared" si="93"/>
        <v>880000</v>
      </c>
      <c r="Q2029" s="4">
        <f t="shared" si="94"/>
        <v>11</v>
      </c>
      <c r="R2029" s="4">
        <f t="shared" si="95"/>
        <v>80000</v>
      </c>
    </row>
    <row r="2030" spans="1:18">
      <c r="A2030" s="1">
        <v>2</v>
      </c>
      <c r="B2030" s="1" t="str">
        <f>"قطعات و لوازم يدكي"</f>
        <v>قطعات و لوازم يدكي</v>
      </c>
      <c r="C2030" s="1">
        <v>120</v>
      </c>
      <c r="D2030" s="1" t="str">
        <f>"انبار قطعات و لوازم يدكي بشکه سازي اصفهان"</f>
        <v>انبار قطعات و لوازم يدكي بشکه سازي اصفهان</v>
      </c>
      <c r="E2030" s="1" t="str">
        <f>"4211700179"</f>
        <v>4211700179</v>
      </c>
      <c r="F2030" s="1" t="str">
        <f>"تسمه B 80"</f>
        <v>تسمه B 80</v>
      </c>
      <c r="G2030" s="1" t="str">
        <f>"عدد"</f>
        <v>عدد</v>
      </c>
      <c r="H2030" s="1">
        <v>0</v>
      </c>
      <c r="I2030" s="1">
        <v>0</v>
      </c>
      <c r="J2030" s="1">
        <v>3</v>
      </c>
      <c r="K2030" s="1">
        <v>780000</v>
      </c>
      <c r="L2030" s="1">
        <v>0</v>
      </c>
      <c r="M2030" s="1">
        <v>0</v>
      </c>
      <c r="O2030" s="1">
        <v>97</v>
      </c>
      <c r="P2030" s="4">
        <f t="shared" si="93"/>
        <v>780000</v>
      </c>
      <c r="Q2030" s="4">
        <f t="shared" si="94"/>
        <v>3</v>
      </c>
      <c r="R2030" s="4">
        <f t="shared" si="95"/>
        <v>260000</v>
      </c>
    </row>
    <row r="2031" spans="1:18">
      <c r="A2031" s="1">
        <v>2</v>
      </c>
      <c r="B2031" s="1" t="str">
        <f>"قطعات و لوازم يدكي"</f>
        <v>قطعات و لوازم يدكي</v>
      </c>
      <c r="C2031" s="1">
        <v>120</v>
      </c>
      <c r="D2031" s="1" t="str">
        <f>"انبار قطعات و لوازم يدكي بشکه سازي اصفهان"</f>
        <v>انبار قطعات و لوازم يدكي بشکه سازي اصفهان</v>
      </c>
      <c r="E2031" s="1" t="str">
        <f>"4211700197"</f>
        <v>4211700197</v>
      </c>
      <c r="F2031" s="1" t="str">
        <f>"شافت چرخ زنجير کامواير  خط اتومات رنگ"</f>
        <v>شافت چرخ زنجير کامواير  خط اتومات رنگ</v>
      </c>
      <c r="G2031" s="1" t="str">
        <f>"عدد"</f>
        <v>عدد</v>
      </c>
      <c r="H2031" s="1">
        <v>0</v>
      </c>
      <c r="I2031" s="1">
        <v>0</v>
      </c>
      <c r="J2031" s="1">
        <v>44</v>
      </c>
      <c r="K2031" s="1">
        <v>6600000</v>
      </c>
      <c r="L2031" s="1">
        <v>0</v>
      </c>
      <c r="M2031" s="1">
        <v>0</v>
      </c>
      <c r="O2031" s="1">
        <v>97</v>
      </c>
      <c r="P2031" s="4">
        <f t="shared" si="93"/>
        <v>6600000</v>
      </c>
      <c r="Q2031" s="4">
        <f t="shared" si="94"/>
        <v>44</v>
      </c>
      <c r="R2031" s="4">
        <f t="shared" si="95"/>
        <v>150000</v>
      </c>
    </row>
    <row r="2032" spans="1:18">
      <c r="A2032" s="1">
        <v>2</v>
      </c>
      <c r="B2032" s="1" t="str">
        <f>"قطعات و لوازم يدكي"</f>
        <v>قطعات و لوازم يدكي</v>
      </c>
      <c r="C2032" s="1">
        <v>120</v>
      </c>
      <c r="D2032" s="1" t="str">
        <f>"انبار قطعات و لوازم يدكي بشکه سازي اصفهان"</f>
        <v>انبار قطعات و لوازم يدكي بشکه سازي اصفهان</v>
      </c>
      <c r="E2032" s="1" t="str">
        <f>"4211700198"</f>
        <v>4211700198</v>
      </c>
      <c r="F2032" s="1" t="str">
        <f>"شافت جک هيدروليک"</f>
        <v>شافت جک هيدروليک</v>
      </c>
      <c r="G2032" s="1" t="str">
        <f>"عدد"</f>
        <v>عدد</v>
      </c>
      <c r="H2032" s="1">
        <v>0</v>
      </c>
      <c r="I2032" s="1">
        <v>0</v>
      </c>
      <c r="J2032" s="1">
        <v>2</v>
      </c>
      <c r="K2032" s="1">
        <v>800000</v>
      </c>
      <c r="L2032" s="1">
        <v>0</v>
      </c>
      <c r="M2032" s="1">
        <v>0</v>
      </c>
      <c r="O2032" s="1">
        <v>97</v>
      </c>
      <c r="P2032" s="4">
        <f t="shared" si="93"/>
        <v>800000</v>
      </c>
      <c r="Q2032" s="4">
        <f t="shared" si="94"/>
        <v>2</v>
      </c>
      <c r="R2032" s="4">
        <f t="shared" si="95"/>
        <v>400000</v>
      </c>
    </row>
    <row r="2033" spans="1:18">
      <c r="A2033" s="1">
        <v>2</v>
      </c>
      <c r="B2033" s="1" t="str">
        <f>"قطعات و لوازم يدكي"</f>
        <v>قطعات و لوازم يدكي</v>
      </c>
      <c r="C2033" s="1">
        <v>120</v>
      </c>
      <c r="D2033" s="1" t="str">
        <f>"انبار قطعات و لوازم يدكي بشکه سازي اصفهان"</f>
        <v>انبار قطعات و لوازم يدكي بشکه سازي اصفهان</v>
      </c>
      <c r="E2033" s="1" t="str">
        <f>"4311700023"</f>
        <v>4311700023</v>
      </c>
      <c r="F2033" s="1" t="str">
        <f>"مته آهن سايز 12"</f>
        <v>مته آهن سايز 12</v>
      </c>
      <c r="G2033" s="1" t="str">
        <f>"عدد"</f>
        <v>عدد</v>
      </c>
      <c r="H2033" s="1">
        <v>0</v>
      </c>
      <c r="I2033" s="1">
        <v>0</v>
      </c>
      <c r="J2033" s="1">
        <v>16</v>
      </c>
      <c r="K2033" s="1">
        <v>480000</v>
      </c>
      <c r="L2033" s="1">
        <v>0</v>
      </c>
      <c r="M2033" s="1">
        <v>0</v>
      </c>
      <c r="O2033" s="1">
        <v>97</v>
      </c>
      <c r="P2033" s="4">
        <f t="shared" si="93"/>
        <v>480000</v>
      </c>
      <c r="Q2033" s="4">
        <f t="shared" si="94"/>
        <v>16</v>
      </c>
      <c r="R2033" s="4">
        <f t="shared" si="95"/>
        <v>30000</v>
      </c>
    </row>
    <row r="2034" spans="1:18">
      <c r="A2034" s="1">
        <v>2</v>
      </c>
      <c r="B2034" s="1" t="str">
        <f>"قطعات و لوازم يدكي"</f>
        <v>قطعات و لوازم يدكي</v>
      </c>
      <c r="C2034" s="1">
        <v>120</v>
      </c>
      <c r="D2034" s="1" t="str">
        <f>"انبار قطعات و لوازم يدكي بشکه سازي اصفهان"</f>
        <v>انبار قطعات و لوازم يدكي بشکه سازي اصفهان</v>
      </c>
      <c r="E2034" s="1" t="str">
        <f>"4311700057"</f>
        <v>4311700057</v>
      </c>
      <c r="F2034" s="1" t="str">
        <f>"بست گازي کوچک 2"</f>
        <v>بست گازي کوچک 2</v>
      </c>
      <c r="G2034" s="1" t="str">
        <f>"عدد"</f>
        <v>عدد</v>
      </c>
      <c r="H2034" s="1">
        <v>0</v>
      </c>
      <c r="I2034" s="1">
        <v>0</v>
      </c>
      <c r="J2034" s="1">
        <v>76</v>
      </c>
      <c r="K2034" s="1">
        <v>228000</v>
      </c>
      <c r="L2034" s="1">
        <v>2</v>
      </c>
      <c r="M2034" s="1">
        <v>6000</v>
      </c>
      <c r="O2034" s="1">
        <v>97</v>
      </c>
      <c r="P2034" s="4">
        <f t="shared" si="93"/>
        <v>222000</v>
      </c>
      <c r="Q2034" s="4">
        <f t="shared" si="94"/>
        <v>74</v>
      </c>
      <c r="R2034" s="4">
        <f t="shared" si="95"/>
        <v>3000</v>
      </c>
    </row>
    <row r="2035" spans="1:18">
      <c r="A2035" s="1">
        <v>2</v>
      </c>
      <c r="B2035" s="1" t="str">
        <f>"قطعات و لوازم يدكي"</f>
        <v>قطعات و لوازم يدكي</v>
      </c>
      <c r="C2035" s="1">
        <v>120</v>
      </c>
      <c r="D2035" s="1" t="str">
        <f>"انبار قطعات و لوازم يدكي بشکه سازي اصفهان"</f>
        <v>انبار قطعات و لوازم يدكي بشکه سازي اصفهان</v>
      </c>
      <c r="E2035" s="1" t="str">
        <f>"4311700059"</f>
        <v>4311700059</v>
      </c>
      <c r="F2035" s="1" t="str">
        <f>"بست گازي بزرگ"</f>
        <v>بست گازي بزرگ</v>
      </c>
      <c r="G2035" s="1" t="str">
        <f>"عدد"</f>
        <v>عدد</v>
      </c>
      <c r="H2035" s="1">
        <v>0</v>
      </c>
      <c r="I2035" s="1">
        <v>0</v>
      </c>
      <c r="J2035" s="1">
        <v>28</v>
      </c>
      <c r="K2035" s="1">
        <v>224000</v>
      </c>
      <c r="L2035" s="1">
        <v>6</v>
      </c>
      <c r="M2035" s="1">
        <v>48000</v>
      </c>
      <c r="O2035" s="1">
        <v>97</v>
      </c>
      <c r="P2035" s="4">
        <f t="shared" si="93"/>
        <v>176000</v>
      </c>
      <c r="Q2035" s="4">
        <f t="shared" si="94"/>
        <v>22</v>
      </c>
      <c r="R2035" s="4">
        <f t="shared" si="95"/>
        <v>8000</v>
      </c>
    </row>
    <row r="2036" spans="1:18">
      <c r="A2036" s="1">
        <v>2</v>
      </c>
      <c r="B2036" s="1" t="str">
        <f>"قطعات و لوازم يدكي"</f>
        <v>قطعات و لوازم يدكي</v>
      </c>
      <c r="C2036" s="1">
        <v>120</v>
      </c>
      <c r="D2036" s="1" t="str">
        <f>"انبار قطعات و لوازم يدكي بشکه سازي اصفهان"</f>
        <v>انبار قطعات و لوازم يدكي بشکه سازي اصفهان</v>
      </c>
      <c r="E2036" s="1" t="str">
        <f>"4311700060"</f>
        <v>4311700060</v>
      </c>
      <c r="F2036" s="1" t="str">
        <f>"اشپيل"</f>
        <v>اشپيل</v>
      </c>
      <c r="G2036" s="1" t="str">
        <f>"عدد"</f>
        <v>عدد</v>
      </c>
      <c r="H2036" s="1">
        <v>0</v>
      </c>
      <c r="I2036" s="1">
        <v>0</v>
      </c>
      <c r="J2036" s="1">
        <v>276</v>
      </c>
      <c r="K2036" s="1">
        <v>552000</v>
      </c>
      <c r="L2036" s="1">
        <v>0</v>
      </c>
      <c r="M2036" s="1">
        <v>0</v>
      </c>
      <c r="O2036" s="1">
        <v>97</v>
      </c>
      <c r="P2036" s="4">
        <f t="shared" si="93"/>
        <v>552000</v>
      </c>
      <c r="Q2036" s="4">
        <f t="shared" si="94"/>
        <v>276</v>
      </c>
      <c r="R2036" s="4">
        <f t="shared" si="95"/>
        <v>2000</v>
      </c>
    </row>
    <row r="2037" spans="1:18">
      <c r="A2037" s="1">
        <v>2</v>
      </c>
      <c r="B2037" s="1" t="str">
        <f>"قطعات و لوازم يدكي"</f>
        <v>قطعات و لوازم يدكي</v>
      </c>
      <c r="C2037" s="1">
        <v>120</v>
      </c>
      <c r="D2037" s="1" t="str">
        <f>"انبار قطعات و لوازم يدكي بشکه سازي اصفهان"</f>
        <v>انبار قطعات و لوازم يدكي بشکه سازي اصفهان</v>
      </c>
      <c r="E2037" s="1" t="str">
        <f>"4311700061"</f>
        <v>4311700061</v>
      </c>
      <c r="F2037" s="1" t="str">
        <f>"سري گريس پمپ"</f>
        <v>سري گريس پمپ</v>
      </c>
      <c r="G2037" s="1" t="str">
        <f>"عدد"</f>
        <v>عدد</v>
      </c>
      <c r="H2037" s="1">
        <v>0</v>
      </c>
      <c r="I2037" s="1">
        <v>0</v>
      </c>
      <c r="J2037" s="1">
        <v>2</v>
      </c>
      <c r="K2037" s="1">
        <v>10000</v>
      </c>
      <c r="L2037" s="1">
        <v>0</v>
      </c>
      <c r="M2037" s="1">
        <v>0</v>
      </c>
      <c r="O2037" s="1">
        <v>97</v>
      </c>
      <c r="P2037" s="4">
        <f t="shared" si="93"/>
        <v>10000</v>
      </c>
      <c r="Q2037" s="4">
        <f t="shared" si="94"/>
        <v>2</v>
      </c>
      <c r="R2037" s="4">
        <f t="shared" si="95"/>
        <v>5000</v>
      </c>
    </row>
    <row r="2038" spans="1:18">
      <c r="A2038" s="1">
        <v>2</v>
      </c>
      <c r="B2038" s="1" t="str">
        <f>"قطعات و لوازم يدكي"</f>
        <v>قطعات و لوازم يدكي</v>
      </c>
      <c r="C2038" s="1">
        <v>101</v>
      </c>
      <c r="D2038" s="1" t="str">
        <f>"انبار قطعات و لوازم يدكي اصفهان"</f>
        <v>انبار قطعات و لوازم يدكي اصفهان</v>
      </c>
      <c r="E2038" s="1" t="str">
        <f>"8178120142"</f>
        <v>8178120142</v>
      </c>
      <c r="F2038" s="1" t="str">
        <f>"واشر فنري  1/2"</f>
        <v>واشر فنري  1/2</v>
      </c>
      <c r="G2038" s="1" t="str">
        <f>"عدد"</f>
        <v>عدد</v>
      </c>
      <c r="H2038" s="1">
        <v>62</v>
      </c>
      <c r="I2038" s="1">
        <v>4960</v>
      </c>
      <c r="J2038" s="1">
        <v>0</v>
      </c>
      <c r="K2038" s="1">
        <v>0</v>
      </c>
      <c r="L2038" s="1">
        <v>0</v>
      </c>
      <c r="M2038" s="1">
        <v>0</v>
      </c>
      <c r="O2038" s="1">
        <v>97</v>
      </c>
      <c r="P2038" s="4">
        <f t="shared" si="93"/>
        <v>4960</v>
      </c>
      <c r="Q2038" s="4">
        <f t="shared" si="94"/>
        <v>62</v>
      </c>
      <c r="R2038" s="4">
        <f t="shared" si="95"/>
        <v>80</v>
      </c>
    </row>
    <row r="2039" spans="1:18">
      <c r="A2039" s="1">
        <v>2</v>
      </c>
      <c r="B2039" s="1" t="str">
        <f>"قطعات و لوازم يدكي"</f>
        <v>قطعات و لوازم يدكي</v>
      </c>
      <c r="C2039" s="1">
        <v>101</v>
      </c>
      <c r="D2039" s="1" t="str">
        <f>"انبار قطعات و لوازم يدكي اصفهان"</f>
        <v>انبار قطعات و لوازم يدكي اصفهان</v>
      </c>
      <c r="E2039" s="1" t="str">
        <f>"8178120262"</f>
        <v>8178120262</v>
      </c>
      <c r="F2039" s="1" t="s">
        <v>129</v>
      </c>
      <c r="G2039" s="1" t="str">
        <f>"عدد"</f>
        <v>عدد</v>
      </c>
      <c r="H2039" s="1">
        <v>100</v>
      </c>
      <c r="I2039" s="1">
        <v>160000</v>
      </c>
      <c r="J2039" s="1">
        <v>0</v>
      </c>
      <c r="K2039" s="1">
        <v>0</v>
      </c>
      <c r="L2039" s="1">
        <v>0</v>
      </c>
      <c r="M2039" s="1">
        <v>0</v>
      </c>
      <c r="O2039" s="1">
        <v>97</v>
      </c>
      <c r="P2039" s="4">
        <f t="shared" si="93"/>
        <v>160000</v>
      </c>
      <c r="Q2039" s="4">
        <f t="shared" si="94"/>
        <v>100</v>
      </c>
      <c r="R2039" s="4">
        <f t="shared" si="95"/>
        <v>1600</v>
      </c>
    </row>
    <row r="2040" spans="1:18">
      <c r="A2040" s="1">
        <v>2</v>
      </c>
      <c r="B2040" s="1" t="str">
        <f>"قطعات و لوازم يدكي"</f>
        <v>قطعات و لوازم يدكي</v>
      </c>
      <c r="C2040" s="1">
        <v>101</v>
      </c>
      <c r="D2040" s="1" t="str">
        <f>"انبار قطعات و لوازم يدكي اصفهان"</f>
        <v>انبار قطعات و لوازم يدكي اصفهان</v>
      </c>
      <c r="E2040" s="1" t="str">
        <f>"8178120282"</f>
        <v>8178120282</v>
      </c>
      <c r="F2040" s="1" t="s">
        <v>130</v>
      </c>
      <c r="G2040" s="1" t="str">
        <f>"عدد"</f>
        <v>عدد</v>
      </c>
      <c r="H2040" s="1">
        <v>99</v>
      </c>
      <c r="I2040" s="1">
        <v>173250</v>
      </c>
      <c r="J2040" s="1">
        <v>0</v>
      </c>
      <c r="K2040" s="1">
        <v>0</v>
      </c>
      <c r="L2040" s="1">
        <v>0</v>
      </c>
      <c r="M2040" s="1">
        <v>0</v>
      </c>
      <c r="O2040" s="1">
        <v>97</v>
      </c>
      <c r="P2040" s="4">
        <f t="shared" si="93"/>
        <v>173250</v>
      </c>
      <c r="Q2040" s="4">
        <f t="shared" si="94"/>
        <v>99</v>
      </c>
      <c r="R2040" s="4">
        <f t="shared" si="95"/>
        <v>1750</v>
      </c>
    </row>
    <row r="2041" spans="1:18">
      <c r="A2041" s="1">
        <v>2</v>
      </c>
      <c r="B2041" s="1" t="str">
        <f>"قطعات و لوازم يدكي"</f>
        <v>قطعات و لوازم يدكي</v>
      </c>
      <c r="C2041" s="1">
        <v>101</v>
      </c>
      <c r="D2041" s="1" t="str">
        <f>"انبار قطعات و لوازم يدكي اصفهان"</f>
        <v>انبار قطعات و لوازم يدكي اصفهان</v>
      </c>
      <c r="E2041" s="1" t="str">
        <f>"8178120302"</f>
        <v>8178120302</v>
      </c>
      <c r="F2041" s="1" t="s">
        <v>131</v>
      </c>
      <c r="G2041" s="1" t="str">
        <f>"عدد"</f>
        <v>عدد</v>
      </c>
      <c r="H2041" s="1">
        <v>100</v>
      </c>
      <c r="I2041" s="1">
        <v>190000</v>
      </c>
      <c r="J2041" s="1">
        <v>0</v>
      </c>
      <c r="K2041" s="1">
        <v>0</v>
      </c>
      <c r="L2041" s="1">
        <v>0</v>
      </c>
      <c r="M2041" s="1">
        <v>0</v>
      </c>
      <c r="O2041" s="1">
        <v>97</v>
      </c>
      <c r="P2041" s="4">
        <f t="shared" si="93"/>
        <v>190000</v>
      </c>
      <c r="Q2041" s="4">
        <f t="shared" si="94"/>
        <v>100</v>
      </c>
      <c r="R2041" s="4">
        <f t="shared" si="95"/>
        <v>1900</v>
      </c>
    </row>
    <row r="2042" spans="1:18" hidden="1">
      <c r="A2042" s="1">
        <v>2</v>
      </c>
      <c r="B2042" s="1" t="str">
        <f>"قطعات و لوازم يدكي"</f>
        <v>قطعات و لوازم يدكي</v>
      </c>
      <c r="C2042" s="1">
        <v>101</v>
      </c>
      <c r="D2042" s="1" t="str">
        <f>"انبار قطعات و لوازم يدكي اصفهان"</f>
        <v>انبار قطعات و لوازم يدكي اصفهان</v>
      </c>
      <c r="E2042" s="1" t="str">
        <f>"8300000052"</f>
        <v>8300000052</v>
      </c>
      <c r="F2042" s="1" t="str">
        <f>"ميکرو فيلتر 10661"</f>
        <v>ميکرو فيلتر 10661</v>
      </c>
      <c r="G2042" s="1" t="str">
        <f>"عدد"</f>
        <v>عدد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O2042" s="1">
        <v>97</v>
      </c>
      <c r="P2042" s="1">
        <f t="shared" si="93"/>
        <v>0</v>
      </c>
      <c r="Q2042" s="1">
        <f t="shared" si="94"/>
        <v>0</v>
      </c>
      <c r="R2042" s="1" t="e">
        <f t="shared" si="95"/>
        <v>#DIV/0!</v>
      </c>
    </row>
    <row r="2043" spans="1:18" hidden="1">
      <c r="A2043" s="1">
        <v>2</v>
      </c>
      <c r="B2043" s="1" t="str">
        <f>"قطعات و لوازم يدكي"</f>
        <v>قطعات و لوازم يدكي</v>
      </c>
      <c r="C2043" s="1">
        <v>101</v>
      </c>
      <c r="D2043" s="1" t="str">
        <f>"انبار قطعات و لوازم يدكي اصفهان"</f>
        <v>انبار قطعات و لوازم يدكي اصفهان</v>
      </c>
      <c r="E2043" s="1" t="str">
        <f>"8300000082"</f>
        <v>8300000082</v>
      </c>
      <c r="F2043" s="1" t="str">
        <f>"الکترو موتور 1/5 اسب 1400 دور"</f>
        <v>الکترو موتور 1/5 اسب 1400 دور</v>
      </c>
      <c r="G2043" s="1" t="str">
        <f>"دستگاه"</f>
        <v>دستگاه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O2043" s="1">
        <v>97</v>
      </c>
      <c r="P2043" s="1">
        <f t="shared" si="93"/>
        <v>0</v>
      </c>
      <c r="Q2043" s="1">
        <f t="shared" si="94"/>
        <v>0</v>
      </c>
      <c r="R2043" s="1" t="e">
        <f t="shared" si="95"/>
        <v>#DIV/0!</v>
      </c>
    </row>
    <row r="2044" spans="1:18" hidden="1">
      <c r="A2044" s="1">
        <v>2</v>
      </c>
      <c r="B2044" s="1" t="str">
        <f>"قطعات و لوازم يدكي"</f>
        <v>قطعات و لوازم يدكي</v>
      </c>
      <c r="C2044" s="1">
        <v>101</v>
      </c>
      <c r="D2044" s="1" t="str">
        <f>"انبار قطعات و لوازم يدكي اصفهان"</f>
        <v>انبار قطعات و لوازم يدكي اصفهان</v>
      </c>
      <c r="E2044" s="1" t="str">
        <f>"8300000092"</f>
        <v>8300000092</v>
      </c>
      <c r="F2044" s="1" t="str">
        <f>"پمپ GP-5 با شاسي کامل"</f>
        <v>پمپ GP-5 با شاسي کامل</v>
      </c>
      <c r="G2044" s="1" t="str">
        <f>"دستگاه"</f>
        <v>دستگاه</v>
      </c>
      <c r="H2044" s="1">
        <v>0</v>
      </c>
      <c r="I2044" s="1">
        <v>0</v>
      </c>
      <c r="J2044" s="1">
        <v>1</v>
      </c>
      <c r="K2044" s="1">
        <v>23000000</v>
      </c>
      <c r="L2044" s="1">
        <v>1</v>
      </c>
      <c r="M2044" s="1">
        <v>23000000</v>
      </c>
      <c r="O2044" s="1">
        <v>97</v>
      </c>
      <c r="P2044" s="1">
        <f t="shared" si="93"/>
        <v>0</v>
      </c>
      <c r="Q2044" s="1">
        <f t="shared" si="94"/>
        <v>0</v>
      </c>
      <c r="R2044" s="1" t="e">
        <f t="shared" si="95"/>
        <v>#DIV/0!</v>
      </c>
    </row>
    <row r="2045" spans="1:18">
      <c r="A2045" s="1">
        <v>2</v>
      </c>
      <c r="B2045" s="1" t="str">
        <f>"قطعات و لوازم يدكي"</f>
        <v>قطعات و لوازم يدكي</v>
      </c>
      <c r="C2045" s="1">
        <v>101</v>
      </c>
      <c r="D2045" s="1" t="str">
        <f>"انبار قطعات و لوازم يدكي اصفهان"</f>
        <v>انبار قطعات و لوازم يدكي اصفهان</v>
      </c>
      <c r="E2045" s="1" t="str">
        <f>"8301010022"</f>
        <v>8301010022</v>
      </c>
      <c r="F2045" s="1" t="str">
        <f>"صفحه سنگ 3 ميل بزرگ"</f>
        <v>صفحه سنگ 3 ميل بزرگ</v>
      </c>
      <c r="G2045" s="1" t="str">
        <f>"عدد"</f>
        <v>عدد</v>
      </c>
      <c r="H2045" s="1">
        <v>63</v>
      </c>
      <c r="I2045" s="1">
        <v>3055500</v>
      </c>
      <c r="J2045" s="1">
        <v>75</v>
      </c>
      <c r="K2045" s="1">
        <v>4275000</v>
      </c>
      <c r="L2045" s="1">
        <v>22</v>
      </c>
      <c r="M2045" s="1">
        <v>1168631</v>
      </c>
      <c r="O2045" s="1">
        <v>97</v>
      </c>
      <c r="P2045" s="4">
        <f t="shared" si="93"/>
        <v>6161869</v>
      </c>
      <c r="Q2045" s="4">
        <f t="shared" si="94"/>
        <v>116</v>
      </c>
      <c r="R2045" s="4">
        <f t="shared" si="95"/>
        <v>53119.560344827587</v>
      </c>
    </row>
    <row r="2046" spans="1:18" hidden="1">
      <c r="A2046" s="1">
        <v>2</v>
      </c>
      <c r="B2046" s="1" t="str">
        <f>"قطعات و لوازم يدكي"</f>
        <v>قطعات و لوازم يدكي</v>
      </c>
      <c r="C2046" s="1">
        <v>101</v>
      </c>
      <c r="D2046" s="1" t="str">
        <f>"انبار قطعات و لوازم يدكي اصفهان"</f>
        <v>انبار قطعات و لوازم يدكي اصفهان</v>
      </c>
      <c r="E2046" s="1" t="str">
        <f>"8301010192"</f>
        <v>8301010192</v>
      </c>
      <c r="F2046" s="1" t="str">
        <f>"فيلتر روغن ثانويه"</f>
        <v>فيلتر روغن ثانويه</v>
      </c>
      <c r="G2046" s="1" t="str">
        <f>"عدد"</f>
        <v>عدد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O2046" s="1">
        <v>97</v>
      </c>
      <c r="P2046" s="1">
        <f t="shared" si="93"/>
        <v>0</v>
      </c>
      <c r="Q2046" s="1">
        <f t="shared" si="94"/>
        <v>0</v>
      </c>
      <c r="R2046" s="1" t="e">
        <f t="shared" si="95"/>
        <v>#DIV/0!</v>
      </c>
    </row>
    <row r="2047" spans="1:18" hidden="1">
      <c r="A2047" s="1">
        <v>2</v>
      </c>
      <c r="B2047" s="1" t="str">
        <f>"قطعات و لوازم يدكي"</f>
        <v>قطعات و لوازم يدكي</v>
      </c>
      <c r="C2047" s="1">
        <v>101</v>
      </c>
      <c r="D2047" s="1" t="str">
        <f>"انبار قطعات و لوازم يدكي اصفهان"</f>
        <v>انبار قطعات و لوازم يدكي اصفهان</v>
      </c>
      <c r="E2047" s="1" t="str">
        <f>"8301020282"</f>
        <v>8301020282</v>
      </c>
      <c r="F2047" s="1" t="str">
        <f>"لاستيک جلو ليفتراک سه تني15*15*8"</f>
        <v>لاستيک جلو ليفتراک سه تني15*15*8</v>
      </c>
      <c r="G2047" s="1" t="str">
        <f>"جفت"</f>
        <v>جفت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O2047" s="1">
        <v>97</v>
      </c>
      <c r="P2047" s="1">
        <f t="shared" si="93"/>
        <v>0</v>
      </c>
      <c r="Q2047" s="1">
        <f t="shared" si="94"/>
        <v>0</v>
      </c>
      <c r="R2047" s="1" t="e">
        <f t="shared" si="95"/>
        <v>#DIV/0!</v>
      </c>
    </row>
    <row r="2048" spans="1:18">
      <c r="A2048" s="1">
        <v>2</v>
      </c>
      <c r="B2048" s="1" t="str">
        <f>"قطعات و لوازم يدكي"</f>
        <v>قطعات و لوازم يدكي</v>
      </c>
      <c r="C2048" s="1">
        <v>101</v>
      </c>
      <c r="D2048" s="1" t="str">
        <f>"انبار قطعات و لوازم يدكي اصفهان"</f>
        <v>انبار قطعات و لوازم يدكي اصفهان</v>
      </c>
      <c r="E2048" s="1" t="str">
        <f>"8521203112"</f>
        <v>8521203112</v>
      </c>
      <c r="F2048" s="1" t="str">
        <f>"گسکت سيم دار (مخصوص کوئل هاي مخازن)"</f>
        <v>گسکت سيم دار (مخصوص کوئل هاي مخازن)</v>
      </c>
      <c r="G2048" s="1" t="str">
        <f>"عدد"</f>
        <v>عدد</v>
      </c>
      <c r="H2048" s="1">
        <v>32</v>
      </c>
      <c r="I2048" s="1">
        <v>11520000</v>
      </c>
      <c r="J2048" s="1">
        <v>1</v>
      </c>
      <c r="K2048" s="1">
        <v>360000</v>
      </c>
      <c r="L2048" s="1">
        <v>2</v>
      </c>
      <c r="M2048" s="1">
        <v>720000</v>
      </c>
      <c r="O2048" s="1">
        <v>97</v>
      </c>
      <c r="P2048" s="4">
        <f t="shared" si="93"/>
        <v>11160000</v>
      </c>
      <c r="Q2048" s="4">
        <f t="shared" si="94"/>
        <v>31</v>
      </c>
      <c r="R2048" s="4">
        <f t="shared" si="95"/>
        <v>360000</v>
      </c>
    </row>
    <row r="2049" spans="1:18">
      <c r="A2049" s="1">
        <v>2</v>
      </c>
      <c r="B2049" s="1" t="str">
        <f>"قطعات و لوازم يدكي"</f>
        <v>قطعات و لوازم يدكي</v>
      </c>
      <c r="C2049" s="1">
        <v>101</v>
      </c>
      <c r="D2049" s="1" t="str">
        <f>"انبار قطعات و لوازم يدكي اصفهان"</f>
        <v>انبار قطعات و لوازم يدكي اصفهان</v>
      </c>
      <c r="E2049" s="1" t="str">
        <f>"8541201012"</f>
        <v>8541201012</v>
      </c>
      <c r="F2049" s="1" t="str">
        <f>"گسکت بانت ولو 2 اينچ کلاس 300"</f>
        <v>گسکت بانت ولو 2 اينچ کلاس 300</v>
      </c>
      <c r="G2049" s="1" t="str">
        <f>"عدد"</f>
        <v>عدد</v>
      </c>
      <c r="H2049" s="1">
        <v>8</v>
      </c>
      <c r="I2049" s="1">
        <v>2800000</v>
      </c>
      <c r="J2049" s="1">
        <v>0</v>
      </c>
      <c r="K2049" s="1">
        <v>0</v>
      </c>
      <c r="L2049" s="1">
        <v>0</v>
      </c>
      <c r="M2049" s="1">
        <v>0</v>
      </c>
      <c r="O2049" s="1">
        <v>97</v>
      </c>
      <c r="P2049" s="4">
        <f t="shared" si="93"/>
        <v>2800000</v>
      </c>
      <c r="Q2049" s="4">
        <f t="shared" si="94"/>
        <v>8</v>
      </c>
      <c r="R2049" s="4">
        <f t="shared" si="95"/>
        <v>350000</v>
      </c>
    </row>
    <row r="2050" spans="1:18">
      <c r="A2050" s="1">
        <v>2</v>
      </c>
      <c r="B2050" s="1" t="str">
        <f>"قطعات و لوازم يدكي"</f>
        <v>قطعات و لوازم يدكي</v>
      </c>
      <c r="C2050" s="1">
        <v>101</v>
      </c>
      <c r="D2050" s="1" t="str">
        <f>"انبار قطعات و لوازم يدكي اصفهان"</f>
        <v>انبار قطعات و لوازم يدكي اصفهان</v>
      </c>
      <c r="E2050" s="1" t="str">
        <f>"8541202122"</f>
        <v>8541202122</v>
      </c>
      <c r="F2050" s="1" t="s">
        <v>132</v>
      </c>
      <c r="G2050" s="1" t="str">
        <f>"عدد"</f>
        <v>عدد</v>
      </c>
      <c r="H2050" s="1">
        <v>8</v>
      </c>
      <c r="I2050" s="1">
        <v>176000</v>
      </c>
      <c r="J2050" s="1">
        <v>0</v>
      </c>
      <c r="K2050" s="1">
        <v>0</v>
      </c>
      <c r="L2050" s="1">
        <v>0</v>
      </c>
      <c r="M2050" s="1">
        <v>0</v>
      </c>
      <c r="O2050" s="1">
        <v>97</v>
      </c>
      <c r="P2050" s="4">
        <f t="shared" si="93"/>
        <v>176000</v>
      </c>
      <c r="Q2050" s="4">
        <f t="shared" si="94"/>
        <v>8</v>
      </c>
      <c r="R2050" s="4">
        <f t="shared" si="95"/>
        <v>22000</v>
      </c>
    </row>
    <row r="2051" spans="1:18">
      <c r="A2051" s="1">
        <v>2</v>
      </c>
      <c r="B2051" s="1" t="str">
        <f>"قطعات و لوازم يدكي"</f>
        <v>قطعات و لوازم يدكي</v>
      </c>
      <c r="C2051" s="1">
        <v>101</v>
      </c>
      <c r="D2051" s="1" t="str">
        <f>"انبار قطعات و لوازم يدكي اصفهان"</f>
        <v>انبار قطعات و لوازم يدكي اصفهان</v>
      </c>
      <c r="E2051" s="1" t="str">
        <f>"8541330282"</f>
        <v>8541330282</v>
      </c>
      <c r="F2051" s="1" t="s">
        <v>133</v>
      </c>
      <c r="G2051" s="1" t="str">
        <f>"عدد"</f>
        <v>عدد</v>
      </c>
      <c r="H2051" s="1">
        <v>111</v>
      </c>
      <c r="I2051" s="1">
        <v>3865159</v>
      </c>
      <c r="J2051" s="1">
        <v>235</v>
      </c>
      <c r="K2051" s="1">
        <v>35614575</v>
      </c>
      <c r="L2051" s="1">
        <v>74</v>
      </c>
      <c r="M2051" s="1">
        <v>5618330</v>
      </c>
      <c r="O2051" s="1">
        <v>97</v>
      </c>
      <c r="P2051" s="4">
        <f t="shared" ref="P2051:P2114" si="96">I2051+K2051-M2051</f>
        <v>33861404</v>
      </c>
      <c r="Q2051" s="4">
        <f t="shared" ref="Q2051:Q2114" si="97">H2051+J2051-L2051</f>
        <v>272</v>
      </c>
      <c r="R2051" s="4">
        <f t="shared" ref="R2051:R2114" si="98">P2051/Q2051</f>
        <v>124490.45588235294</v>
      </c>
    </row>
    <row r="2052" spans="1:18">
      <c r="A2052" s="1">
        <v>2</v>
      </c>
      <c r="B2052" s="1" t="str">
        <f>"قطعات و لوازم يدكي"</f>
        <v>قطعات و لوازم يدكي</v>
      </c>
      <c r="C2052" s="1">
        <v>101</v>
      </c>
      <c r="D2052" s="1" t="str">
        <f>"انبار قطعات و لوازم يدكي اصفهان"</f>
        <v>انبار قطعات و لوازم يدكي اصفهان</v>
      </c>
      <c r="E2052" s="1" t="str">
        <f>"8541331122"</f>
        <v>8541331122</v>
      </c>
      <c r="F2052" s="1" t="s">
        <v>134</v>
      </c>
      <c r="G2052" s="1" t="str">
        <f>"عدد"</f>
        <v>عدد</v>
      </c>
      <c r="H2052" s="1">
        <v>103</v>
      </c>
      <c r="I2052" s="1">
        <v>3321717</v>
      </c>
      <c r="J2052" s="1">
        <v>176</v>
      </c>
      <c r="K2052" s="1">
        <v>15000000</v>
      </c>
      <c r="L2052" s="1">
        <v>94</v>
      </c>
      <c r="M2052" s="1">
        <v>6978535</v>
      </c>
      <c r="O2052" s="1">
        <v>97</v>
      </c>
      <c r="P2052" s="4">
        <f t="shared" si="96"/>
        <v>11343182</v>
      </c>
      <c r="Q2052" s="4">
        <f t="shared" si="97"/>
        <v>185</v>
      </c>
      <c r="R2052" s="4">
        <f t="shared" si="98"/>
        <v>61314.497297297297</v>
      </c>
    </row>
    <row r="2053" spans="1:18">
      <c r="A2053" s="1">
        <v>2</v>
      </c>
      <c r="B2053" s="1" t="str">
        <f>"قطعات و لوازم يدكي"</f>
        <v>قطعات و لوازم يدكي</v>
      </c>
      <c r="C2053" s="1">
        <v>101</v>
      </c>
      <c r="D2053" s="1" t="str">
        <f>"انبار قطعات و لوازم يدكي اصفهان"</f>
        <v>انبار قطعات و لوازم يدكي اصفهان</v>
      </c>
      <c r="E2053" s="1" t="str">
        <f>"8541331142"</f>
        <v>8541331142</v>
      </c>
      <c r="F2053" s="1" t="s">
        <v>135</v>
      </c>
      <c r="G2053" s="1" t="str">
        <f>"عدد"</f>
        <v>عدد</v>
      </c>
      <c r="H2053" s="1">
        <v>124</v>
      </c>
      <c r="I2053" s="1">
        <v>3366368</v>
      </c>
      <c r="J2053" s="1">
        <v>254</v>
      </c>
      <c r="K2053" s="1">
        <v>20524000</v>
      </c>
      <c r="L2053" s="1">
        <v>120</v>
      </c>
      <c r="M2053" s="1">
        <v>8467744</v>
      </c>
      <c r="O2053" s="1">
        <v>97</v>
      </c>
      <c r="P2053" s="4">
        <f t="shared" si="96"/>
        <v>15422624</v>
      </c>
      <c r="Q2053" s="4">
        <f t="shared" si="97"/>
        <v>258</v>
      </c>
      <c r="R2053" s="4">
        <f t="shared" si="98"/>
        <v>59777.612403100778</v>
      </c>
    </row>
    <row r="2054" spans="1:18" hidden="1">
      <c r="A2054" s="1">
        <v>2</v>
      </c>
      <c r="B2054" s="1" t="str">
        <f>"قطعات و لوازم يدكي"</f>
        <v>قطعات و لوازم يدكي</v>
      </c>
      <c r="C2054" s="1">
        <v>101</v>
      </c>
      <c r="D2054" s="1" t="str">
        <f>"انبار قطعات و لوازم يدكي اصفهان"</f>
        <v>انبار قطعات و لوازم يدكي اصفهان</v>
      </c>
      <c r="E2054" s="1" t="str">
        <f>"8564010622"</f>
        <v>8564010622</v>
      </c>
      <c r="F2054" s="1" t="str">
        <f>"كلسيم سيليكات 1 اينچ(ايزوپايپ)"</f>
        <v>كلسيم سيليكات 1 اينچ(ايزوپايپ)</v>
      </c>
      <c r="G2054" s="1" t="str">
        <f>"متر"</f>
        <v>متر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O2054" s="1">
        <v>97</v>
      </c>
      <c r="P2054" s="1">
        <f t="shared" si="96"/>
        <v>0</v>
      </c>
      <c r="Q2054" s="1">
        <f t="shared" si="97"/>
        <v>0</v>
      </c>
      <c r="R2054" s="1" t="e">
        <f t="shared" si="98"/>
        <v>#DIV/0!</v>
      </c>
    </row>
    <row r="2055" spans="1:18" hidden="1">
      <c r="A2055" s="1">
        <v>2</v>
      </c>
      <c r="B2055" s="1" t="str">
        <f>"قطعات و لوازم يدكي"</f>
        <v>قطعات و لوازم يدكي</v>
      </c>
      <c r="C2055" s="1">
        <v>101</v>
      </c>
      <c r="D2055" s="1" t="str">
        <f>"انبار قطعات و لوازم يدكي اصفهان"</f>
        <v>انبار قطعات و لوازم يدكي اصفهان</v>
      </c>
      <c r="E2055" s="1" t="str">
        <f>"8574402032"</f>
        <v>8574402032</v>
      </c>
      <c r="F2055" s="1" t="str">
        <f>"تسمه استنلس استيل سايز 16mm*./5mm"</f>
        <v>تسمه استنلس استيل سايز 16mm*./5mm</v>
      </c>
      <c r="G2055" s="1" t="str">
        <f>"متر"</f>
        <v>متر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O2055" s="1">
        <v>97</v>
      </c>
      <c r="P2055" s="1">
        <f t="shared" si="96"/>
        <v>0</v>
      </c>
      <c r="Q2055" s="1">
        <f t="shared" si="97"/>
        <v>0</v>
      </c>
      <c r="R2055" s="1" t="e">
        <f t="shared" si="98"/>
        <v>#DIV/0!</v>
      </c>
    </row>
    <row r="2056" spans="1:18">
      <c r="A2056" s="1">
        <v>2</v>
      </c>
      <c r="B2056" s="1" t="str">
        <f>"قطعات و لوازم يدكي"</f>
        <v>قطعات و لوازم يدكي</v>
      </c>
      <c r="C2056" s="1">
        <v>101</v>
      </c>
      <c r="D2056" s="1" t="str">
        <f>"انبار قطعات و لوازم يدكي اصفهان"</f>
        <v>انبار قطعات و لوازم يدكي اصفهان</v>
      </c>
      <c r="E2056" s="1" t="str">
        <f>"8574402102"</f>
        <v>8574402102</v>
      </c>
      <c r="F2056" s="1" t="str">
        <f>"پيچ خودکار مخصوص عايق کاري 1*10"</f>
        <v>پيچ خودکار مخصوص عايق کاري 1*10</v>
      </c>
      <c r="G2056" s="1" t="str">
        <f>"عدد"</f>
        <v>عدد</v>
      </c>
      <c r="H2056" s="1">
        <v>2900</v>
      </c>
      <c r="I2056" s="1">
        <v>580000</v>
      </c>
      <c r="J2056" s="1">
        <v>0</v>
      </c>
      <c r="K2056" s="1">
        <v>0</v>
      </c>
      <c r="L2056" s="1">
        <v>0</v>
      </c>
      <c r="M2056" s="1">
        <v>0</v>
      </c>
      <c r="O2056" s="1">
        <v>97</v>
      </c>
      <c r="P2056" s="4">
        <f t="shared" si="96"/>
        <v>580000</v>
      </c>
      <c r="Q2056" s="4">
        <f t="shared" si="97"/>
        <v>2900</v>
      </c>
      <c r="R2056" s="4">
        <f t="shared" si="98"/>
        <v>200</v>
      </c>
    </row>
    <row r="2057" spans="1:18" hidden="1">
      <c r="A2057" s="1">
        <v>2</v>
      </c>
      <c r="B2057" s="1" t="str">
        <f>"قطعات و لوازم يدكي"</f>
        <v>قطعات و لوازم يدكي</v>
      </c>
      <c r="C2057" s="1">
        <v>101</v>
      </c>
      <c r="D2057" s="1" t="str">
        <f>"انبار قطعات و لوازم يدكي اصفهان"</f>
        <v>انبار قطعات و لوازم يدكي اصفهان</v>
      </c>
      <c r="E2057" s="1" t="str">
        <f>"8574402122"</f>
        <v>8574402122</v>
      </c>
      <c r="F2057" s="1" t="str">
        <f>"کليپس 13 استيل"</f>
        <v>کليپس 13 استيل</v>
      </c>
      <c r="G2057" s="1" t="str">
        <f>"عدد"</f>
        <v>عدد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O2057" s="1">
        <v>97</v>
      </c>
      <c r="P2057" s="1">
        <f t="shared" si="96"/>
        <v>0</v>
      </c>
      <c r="Q2057" s="1">
        <f t="shared" si="97"/>
        <v>0</v>
      </c>
      <c r="R2057" s="1" t="e">
        <f t="shared" si="98"/>
        <v>#DIV/0!</v>
      </c>
    </row>
    <row r="2058" spans="1:18" hidden="1">
      <c r="A2058" s="1">
        <v>2</v>
      </c>
      <c r="B2058" s="1" t="str">
        <f>"قطعات و لوازم يدكي"</f>
        <v>قطعات و لوازم يدكي</v>
      </c>
      <c r="C2058" s="1">
        <v>101</v>
      </c>
      <c r="D2058" s="1" t="str">
        <f>"انبار قطعات و لوازم يدكي اصفهان"</f>
        <v>انبار قطعات و لوازم يدكي اصفهان</v>
      </c>
      <c r="E2058" s="1" t="str">
        <f>"8574402172"</f>
        <v>8574402172</v>
      </c>
      <c r="F2058" s="1" t="str">
        <f>"ورق آلومينيوم صاف ضخامت 0/7mm"</f>
        <v>ورق آلومينيوم صاف ضخامت 0/7mm</v>
      </c>
      <c r="G2058" s="1" t="str">
        <f>"كيلوگرم"</f>
        <v>كيلوگرم</v>
      </c>
      <c r="H2058" s="1">
        <v>0</v>
      </c>
      <c r="I2058" s="1">
        <v>0</v>
      </c>
      <c r="J2058" s="1">
        <v>100</v>
      </c>
      <c r="K2058" s="1">
        <v>72300000</v>
      </c>
      <c r="L2058" s="1">
        <v>100</v>
      </c>
      <c r="M2058" s="1">
        <v>72300000</v>
      </c>
      <c r="O2058" s="1">
        <v>97</v>
      </c>
      <c r="P2058" s="1">
        <f t="shared" si="96"/>
        <v>0</v>
      </c>
      <c r="Q2058" s="1">
        <f t="shared" si="97"/>
        <v>0</v>
      </c>
      <c r="R2058" s="1" t="e">
        <f t="shared" si="98"/>
        <v>#DIV/0!</v>
      </c>
    </row>
    <row r="2059" spans="1:18" hidden="1">
      <c r="A2059" s="1">
        <v>2</v>
      </c>
      <c r="B2059" s="1" t="str">
        <f>"قطعات و لوازم يدكي"</f>
        <v>قطعات و لوازم يدكي</v>
      </c>
      <c r="C2059" s="1">
        <v>101</v>
      </c>
      <c r="D2059" s="1" t="str">
        <f>"انبار قطعات و لوازم يدكي اصفهان"</f>
        <v>انبار قطعات و لوازم يدكي اصفهان</v>
      </c>
      <c r="E2059" s="1" t="str">
        <f>"8901020082"</f>
        <v>8901020082</v>
      </c>
      <c r="F2059" s="1" t="str">
        <f>"ستون شيشه کروماتيگرافي"</f>
        <v>ستون شيشه کروماتيگرافي</v>
      </c>
      <c r="G2059" s="1" t="str">
        <f>"عدد"</f>
        <v>عدد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O2059" s="1">
        <v>97</v>
      </c>
      <c r="P2059" s="1">
        <f t="shared" si="96"/>
        <v>0</v>
      </c>
      <c r="Q2059" s="1">
        <f t="shared" si="97"/>
        <v>0</v>
      </c>
      <c r="R2059" s="1" t="e">
        <f t="shared" si="98"/>
        <v>#DIV/0!</v>
      </c>
    </row>
    <row r="2060" spans="1:18" hidden="1">
      <c r="A2060" s="1">
        <v>2</v>
      </c>
      <c r="B2060" s="1" t="str">
        <f>"قطعات و لوازم يدكي"</f>
        <v>قطعات و لوازم يدكي</v>
      </c>
      <c r="C2060" s="1">
        <v>101</v>
      </c>
      <c r="D2060" s="1" t="str">
        <f>"انبار قطعات و لوازم يدكي اصفهان"</f>
        <v>انبار قطعات و لوازم يدكي اصفهان</v>
      </c>
      <c r="E2060" s="1" t="str">
        <f>"9000000012"</f>
        <v>9000000012</v>
      </c>
      <c r="F2060" s="1" t="str">
        <f>"کروزه سراميک 30 ميلي سوراخ دار"</f>
        <v>کروزه سراميک 30 ميلي سوراخ دار</v>
      </c>
      <c r="G2060" s="1" t="str">
        <f>"عدد"</f>
        <v>عدد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O2060" s="1">
        <v>97</v>
      </c>
      <c r="P2060" s="1">
        <f t="shared" si="96"/>
        <v>0</v>
      </c>
      <c r="Q2060" s="1">
        <f t="shared" si="97"/>
        <v>0</v>
      </c>
      <c r="R2060" s="1" t="e">
        <f t="shared" si="98"/>
        <v>#DIV/0!</v>
      </c>
    </row>
    <row r="2061" spans="1:18" hidden="1">
      <c r="A2061" s="1">
        <v>2</v>
      </c>
      <c r="B2061" s="1" t="str">
        <f>"قطعات و لوازم يدكي"</f>
        <v>قطعات و لوازم يدكي</v>
      </c>
      <c r="C2061" s="1">
        <v>101</v>
      </c>
      <c r="D2061" s="1" t="str">
        <f>"انبار قطعات و لوازم يدكي اصفهان"</f>
        <v>انبار قطعات و لوازم يدكي اصفهان</v>
      </c>
      <c r="E2061" s="1" t="str">
        <f>"9000000032"</f>
        <v>9000000032</v>
      </c>
      <c r="F2061" s="1" t="str">
        <f>"دکانتور تفلون دار"</f>
        <v>دکانتور تفلون دار</v>
      </c>
      <c r="G2061" s="1" t="str">
        <f>"عدد"</f>
        <v>عدد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O2061" s="1">
        <v>97</v>
      </c>
      <c r="P2061" s="1">
        <f t="shared" si="96"/>
        <v>0</v>
      </c>
      <c r="Q2061" s="1">
        <f t="shared" si="97"/>
        <v>0</v>
      </c>
      <c r="R2061" s="1" t="e">
        <f t="shared" si="98"/>
        <v>#DIV/0!</v>
      </c>
    </row>
    <row r="2062" spans="1:18" hidden="1">
      <c r="A2062" s="1">
        <v>2</v>
      </c>
      <c r="B2062" s="1" t="str">
        <f>"قطعات و لوازم يدكي"</f>
        <v>قطعات و لوازم يدكي</v>
      </c>
      <c r="C2062" s="1">
        <v>101</v>
      </c>
      <c r="D2062" s="1" t="str">
        <f>"انبار قطعات و لوازم يدكي اصفهان"</f>
        <v>انبار قطعات و لوازم يدكي اصفهان</v>
      </c>
      <c r="E2062" s="1" t="str">
        <f>"9000000042"</f>
        <v>9000000042</v>
      </c>
      <c r="F2062" s="1" t="str">
        <f>"ارلن مسير مکش"</f>
        <v>ارلن مسير مکش</v>
      </c>
      <c r="G2062" s="1" t="str">
        <f>"عدد"</f>
        <v>عدد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O2062" s="1">
        <v>97</v>
      </c>
      <c r="P2062" s="1">
        <f t="shared" si="96"/>
        <v>0</v>
      </c>
      <c r="Q2062" s="1">
        <f t="shared" si="97"/>
        <v>0</v>
      </c>
      <c r="R2062" s="1" t="e">
        <f t="shared" si="98"/>
        <v>#DIV/0!</v>
      </c>
    </row>
    <row r="2063" spans="1:18" hidden="1">
      <c r="A2063" s="1">
        <v>2</v>
      </c>
      <c r="B2063" s="1" t="str">
        <f>"قطعات و لوازم يدكي"</f>
        <v>قطعات و لوازم يدكي</v>
      </c>
      <c r="C2063" s="1">
        <v>101</v>
      </c>
      <c r="D2063" s="1" t="str">
        <f>"انبار قطعات و لوازم يدكي اصفهان"</f>
        <v>انبار قطعات و لوازم يدكي اصفهان</v>
      </c>
      <c r="E2063" s="1" t="str">
        <f>"9000000062"</f>
        <v>9000000062</v>
      </c>
      <c r="F2063" s="1" t="str">
        <f>"پايه و ميله"</f>
        <v>پايه و ميله</v>
      </c>
      <c r="G2063" s="1" t="str">
        <f>"سري"</f>
        <v>سري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O2063" s="1">
        <v>97</v>
      </c>
      <c r="P2063" s="1">
        <f t="shared" si="96"/>
        <v>0</v>
      </c>
      <c r="Q2063" s="1">
        <f t="shared" si="97"/>
        <v>0</v>
      </c>
      <c r="R2063" s="1" t="e">
        <f t="shared" si="98"/>
        <v>#DIV/0!</v>
      </c>
    </row>
    <row r="2064" spans="1:18" hidden="1">
      <c r="A2064" s="1">
        <v>2</v>
      </c>
      <c r="B2064" s="1" t="str">
        <f>"قطعات و لوازم يدكي"</f>
        <v>قطعات و لوازم يدكي</v>
      </c>
      <c r="C2064" s="1">
        <v>101</v>
      </c>
      <c r="D2064" s="1" t="str">
        <f>"انبار قطعات و لوازم يدكي اصفهان"</f>
        <v>انبار قطعات و لوازم يدكي اصفهان</v>
      </c>
      <c r="E2064" s="1" t="str">
        <f>"9500000032"</f>
        <v>9500000032</v>
      </c>
      <c r="F2064" s="1" t="str">
        <f>"سه راه تبديلي جوشي 6*4 رده 40"</f>
        <v>سه راه تبديلي جوشي 6*4 رده 40</v>
      </c>
      <c r="G2064" s="1" t="str">
        <f>"عدد"</f>
        <v>عدد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O2064" s="1">
        <v>97</v>
      </c>
      <c r="P2064" s="1">
        <f t="shared" si="96"/>
        <v>0</v>
      </c>
      <c r="Q2064" s="1">
        <f t="shared" si="97"/>
        <v>0</v>
      </c>
      <c r="R2064" s="1" t="e">
        <f t="shared" si="98"/>
        <v>#DIV/0!</v>
      </c>
    </row>
    <row r="2065" spans="1:18" hidden="1">
      <c r="A2065" s="1">
        <v>2</v>
      </c>
      <c r="B2065" s="1" t="str">
        <f>"قطعات و لوازم يدكي"</f>
        <v>قطعات و لوازم يدكي</v>
      </c>
      <c r="C2065" s="1">
        <v>101</v>
      </c>
      <c r="D2065" s="1" t="str">
        <f>"انبار قطعات و لوازم يدكي اصفهان"</f>
        <v>انبار قطعات و لوازم يدكي اصفهان</v>
      </c>
      <c r="E2065" s="1" t="str">
        <f>"9500000062"</f>
        <v>9500000062</v>
      </c>
      <c r="F2065" s="1" t="str">
        <f>"گسکت فلزي 6 کلاس 150"</f>
        <v>گسکت فلزي 6 کلاس 150</v>
      </c>
      <c r="G2065" s="1" t="str">
        <f>"عدد"</f>
        <v>عدد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O2065" s="1">
        <v>97</v>
      </c>
      <c r="P2065" s="1">
        <f t="shared" si="96"/>
        <v>0</v>
      </c>
      <c r="Q2065" s="1">
        <f t="shared" si="97"/>
        <v>0</v>
      </c>
      <c r="R2065" s="1" t="e">
        <f t="shared" si="98"/>
        <v>#DIV/0!</v>
      </c>
    </row>
    <row r="2066" spans="1:18" hidden="1">
      <c r="A2066" s="1">
        <v>2</v>
      </c>
      <c r="B2066" s="1" t="str">
        <f>"قطعات و لوازم يدكي"</f>
        <v>قطعات و لوازم يدكي</v>
      </c>
      <c r="C2066" s="1">
        <v>101</v>
      </c>
      <c r="D2066" s="1" t="str">
        <f>"انبار قطعات و لوازم يدكي اصفهان"</f>
        <v>انبار قطعات و لوازم يدكي اصفهان</v>
      </c>
      <c r="E2066" s="1" t="str">
        <f>"9500000082"</f>
        <v>9500000082</v>
      </c>
      <c r="F2066" s="1" t="str">
        <f>"گيت ولو 6 کلاس 150"</f>
        <v>گيت ولو 6 کلاس 150</v>
      </c>
      <c r="G2066" s="1" t="str">
        <f>"عدد"</f>
        <v>عدد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O2066" s="1">
        <v>97</v>
      </c>
      <c r="P2066" s="1">
        <f t="shared" si="96"/>
        <v>0</v>
      </c>
      <c r="Q2066" s="1">
        <f t="shared" si="97"/>
        <v>0</v>
      </c>
      <c r="R2066" s="1" t="e">
        <f t="shared" si="98"/>
        <v>#DIV/0!</v>
      </c>
    </row>
    <row r="2067" spans="1:18" hidden="1">
      <c r="A2067" s="1">
        <v>2</v>
      </c>
      <c r="B2067" s="1" t="str">
        <f>"قطعات و لوازم يدكي"</f>
        <v>قطعات و لوازم يدكي</v>
      </c>
      <c r="C2067" s="1">
        <v>101</v>
      </c>
      <c r="D2067" s="1" t="str">
        <f>"انبار قطعات و لوازم يدكي اصفهان"</f>
        <v>انبار قطعات و لوازم يدكي اصفهان</v>
      </c>
      <c r="E2067" s="1" t="str">
        <f>"9500000212"</f>
        <v>9500000212</v>
      </c>
      <c r="F2067" s="1" t="str">
        <f>"زانو جوشي 8 رده 40"</f>
        <v>زانو جوشي 8 رده 40</v>
      </c>
      <c r="G2067" s="1" t="str">
        <f>"عدد"</f>
        <v>عدد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O2067" s="1">
        <v>97</v>
      </c>
      <c r="P2067" s="1">
        <f t="shared" si="96"/>
        <v>0</v>
      </c>
      <c r="Q2067" s="1">
        <f t="shared" si="97"/>
        <v>0</v>
      </c>
      <c r="R2067" s="1" t="e">
        <f t="shared" si="98"/>
        <v>#DIV/0!</v>
      </c>
    </row>
    <row r="2068" spans="1:18">
      <c r="A2068" s="1">
        <v>2</v>
      </c>
      <c r="B2068" s="1" t="str">
        <f>"قطعات و لوازم يدكي"</f>
        <v>قطعات و لوازم يدكي</v>
      </c>
      <c r="C2068" s="1">
        <v>120</v>
      </c>
      <c r="D2068" s="1" t="str">
        <f>"انبار قطعات و لوازم يدكي بشکه سازي اصفهان"</f>
        <v>انبار قطعات و لوازم يدكي بشکه سازي اصفهان</v>
      </c>
      <c r="E2068" s="1" t="str">
        <f>"4111700020"</f>
        <v>4111700020</v>
      </c>
      <c r="F2068" s="1" t="str">
        <f>"جا استارتي"</f>
        <v>جا استارتي</v>
      </c>
      <c r="G2068" s="1" t="str">
        <f>"عدد"</f>
        <v>عدد</v>
      </c>
      <c r="H2068" s="1">
        <v>0</v>
      </c>
      <c r="I2068" s="1">
        <v>0</v>
      </c>
      <c r="J2068" s="1">
        <v>10</v>
      </c>
      <c r="K2068" s="1">
        <v>60000</v>
      </c>
      <c r="L2068" s="1">
        <v>1</v>
      </c>
      <c r="M2068" s="1">
        <v>6000</v>
      </c>
      <c r="O2068" s="1">
        <v>97</v>
      </c>
      <c r="P2068" s="4">
        <f t="shared" si="96"/>
        <v>54000</v>
      </c>
      <c r="Q2068" s="4">
        <f t="shared" si="97"/>
        <v>9</v>
      </c>
      <c r="R2068" s="4">
        <f t="shared" si="98"/>
        <v>6000</v>
      </c>
    </row>
    <row r="2069" spans="1:18">
      <c r="A2069" s="1">
        <v>2</v>
      </c>
      <c r="B2069" s="1" t="str">
        <f>"قطعات و لوازم يدكي"</f>
        <v>قطعات و لوازم يدكي</v>
      </c>
      <c r="C2069" s="1">
        <v>120</v>
      </c>
      <c r="D2069" s="1" t="str">
        <f>"انبار قطعات و لوازم يدكي بشکه سازي اصفهان"</f>
        <v>انبار قطعات و لوازم يدكي بشکه سازي اصفهان</v>
      </c>
      <c r="E2069" s="1" t="str">
        <f>"4111700027"</f>
        <v>4111700027</v>
      </c>
      <c r="F2069" s="1" t="str">
        <f>"چراغ کوچک تراکتور"</f>
        <v>چراغ کوچک تراکتور</v>
      </c>
      <c r="G2069" s="1" t="str">
        <f>"عدد"</f>
        <v>عدد</v>
      </c>
      <c r="H2069" s="1">
        <v>0</v>
      </c>
      <c r="I2069" s="1">
        <v>0</v>
      </c>
      <c r="J2069" s="1">
        <v>2</v>
      </c>
      <c r="K2069" s="1">
        <v>400000</v>
      </c>
      <c r="L2069" s="1">
        <v>0</v>
      </c>
      <c r="M2069" s="1">
        <v>0</v>
      </c>
      <c r="O2069" s="1">
        <v>97</v>
      </c>
      <c r="P2069" s="4">
        <f t="shared" si="96"/>
        <v>400000</v>
      </c>
      <c r="Q2069" s="4">
        <f t="shared" si="97"/>
        <v>2</v>
      </c>
      <c r="R2069" s="4">
        <f t="shared" si="98"/>
        <v>200000</v>
      </c>
    </row>
    <row r="2070" spans="1:18">
      <c r="A2070" s="1">
        <v>2</v>
      </c>
      <c r="B2070" s="1" t="str">
        <f>"قطعات و لوازم يدكي"</f>
        <v>قطعات و لوازم يدكي</v>
      </c>
      <c r="C2070" s="1">
        <v>120</v>
      </c>
      <c r="D2070" s="1" t="str">
        <f>"انبار قطعات و لوازم يدكي بشکه سازي اصفهان"</f>
        <v>انبار قطعات و لوازم يدكي بشکه سازي اصفهان</v>
      </c>
      <c r="E2070" s="1" t="str">
        <f>"4111700031"</f>
        <v>4111700031</v>
      </c>
      <c r="F2070" s="1" t="str">
        <f>"اتوماتيک برق ليفتراک"</f>
        <v>اتوماتيک برق ليفتراک</v>
      </c>
      <c r="G2070" s="1" t="str">
        <f>"عدد"</f>
        <v>عدد</v>
      </c>
      <c r="H2070" s="1">
        <v>0</v>
      </c>
      <c r="I2070" s="1">
        <v>0</v>
      </c>
      <c r="J2070" s="1">
        <v>6</v>
      </c>
      <c r="K2070" s="1">
        <v>300000</v>
      </c>
      <c r="L2070" s="1">
        <v>0</v>
      </c>
      <c r="M2070" s="1">
        <v>0</v>
      </c>
      <c r="O2070" s="1">
        <v>97</v>
      </c>
      <c r="P2070" s="4">
        <f t="shared" si="96"/>
        <v>300000</v>
      </c>
      <c r="Q2070" s="4">
        <f t="shared" si="97"/>
        <v>6</v>
      </c>
      <c r="R2070" s="4">
        <f t="shared" si="98"/>
        <v>50000</v>
      </c>
    </row>
    <row r="2071" spans="1:18">
      <c r="A2071" s="1">
        <v>2</v>
      </c>
      <c r="B2071" s="1" t="str">
        <f>"قطعات و لوازم يدكي"</f>
        <v>قطعات و لوازم يدكي</v>
      </c>
      <c r="C2071" s="1">
        <v>120</v>
      </c>
      <c r="D2071" s="1" t="str">
        <f>"انبار قطعات و لوازم يدكي بشکه سازي اصفهان"</f>
        <v>انبار قطعات و لوازم يدكي بشکه سازي اصفهان</v>
      </c>
      <c r="E2071" s="1" t="str">
        <f>"4111700034"</f>
        <v>4111700034</v>
      </c>
      <c r="F2071" s="1" t="str">
        <f>"کليد 1و2 صنعتي 3 فاز"</f>
        <v>کليد 1و2 صنعتي 3 فاز</v>
      </c>
      <c r="G2071" s="1" t="str">
        <f>"عدد"</f>
        <v>عدد</v>
      </c>
      <c r="H2071" s="1">
        <v>0</v>
      </c>
      <c r="I2071" s="1">
        <v>0</v>
      </c>
      <c r="J2071" s="1">
        <v>1</v>
      </c>
      <c r="K2071" s="1">
        <v>20000</v>
      </c>
      <c r="L2071" s="1">
        <v>0</v>
      </c>
      <c r="M2071" s="1">
        <v>0</v>
      </c>
      <c r="O2071" s="1">
        <v>97</v>
      </c>
      <c r="P2071" s="4">
        <f t="shared" si="96"/>
        <v>20000</v>
      </c>
      <c r="Q2071" s="4">
        <f t="shared" si="97"/>
        <v>1</v>
      </c>
      <c r="R2071" s="4">
        <f t="shared" si="98"/>
        <v>20000</v>
      </c>
    </row>
    <row r="2072" spans="1:18">
      <c r="A2072" s="1">
        <v>2</v>
      </c>
      <c r="B2072" s="1" t="str">
        <f>"قطعات و لوازم يدكي"</f>
        <v>قطعات و لوازم يدكي</v>
      </c>
      <c r="C2072" s="1">
        <v>120</v>
      </c>
      <c r="D2072" s="1" t="str">
        <f>"انبار قطعات و لوازم يدكي بشکه سازي اصفهان"</f>
        <v>انبار قطعات و لوازم يدكي بشکه سازي اصفهان</v>
      </c>
      <c r="E2072" s="1" t="str">
        <f>"4111700045"</f>
        <v>4111700045</v>
      </c>
      <c r="F2072" s="1" t="str">
        <f>"رله و پايه 12 تيغه"</f>
        <v>رله و پايه 12 تيغه</v>
      </c>
      <c r="G2072" s="1" t="str">
        <f>"عدد"</f>
        <v>عدد</v>
      </c>
      <c r="H2072" s="1">
        <v>0</v>
      </c>
      <c r="I2072" s="1">
        <v>0</v>
      </c>
      <c r="J2072" s="1">
        <v>2</v>
      </c>
      <c r="K2072" s="1">
        <v>1100000</v>
      </c>
      <c r="L2072" s="1">
        <v>0</v>
      </c>
      <c r="M2072" s="1">
        <v>0</v>
      </c>
      <c r="O2072" s="1">
        <v>97</v>
      </c>
      <c r="P2072" s="4">
        <f t="shared" si="96"/>
        <v>1100000</v>
      </c>
      <c r="Q2072" s="4">
        <f t="shared" si="97"/>
        <v>2</v>
      </c>
      <c r="R2072" s="4">
        <f t="shared" si="98"/>
        <v>550000</v>
      </c>
    </row>
    <row r="2073" spans="1:18">
      <c r="A2073" s="1">
        <v>2</v>
      </c>
      <c r="B2073" s="1" t="str">
        <f>"قطعات و لوازم يدكي"</f>
        <v>قطعات و لوازم يدكي</v>
      </c>
      <c r="C2073" s="1">
        <v>120</v>
      </c>
      <c r="D2073" s="1" t="str">
        <f>"انبار قطعات و لوازم يدكي بشکه سازي اصفهان"</f>
        <v>انبار قطعات و لوازم يدكي بشکه سازي اصفهان</v>
      </c>
      <c r="E2073" s="1" t="str">
        <f>"4111700055"</f>
        <v>4111700055</v>
      </c>
      <c r="F2073" s="1" t="str">
        <f>"سه راهي برق بي سيم"</f>
        <v>سه راهي برق بي سيم</v>
      </c>
      <c r="G2073" s="1" t="str">
        <f>"عدد"</f>
        <v>عدد</v>
      </c>
      <c r="H2073" s="1">
        <v>0</v>
      </c>
      <c r="I2073" s="1">
        <v>0</v>
      </c>
      <c r="J2073" s="1">
        <v>5</v>
      </c>
      <c r="K2073" s="1">
        <v>500000</v>
      </c>
      <c r="L2073" s="1">
        <v>0</v>
      </c>
      <c r="M2073" s="1">
        <v>0</v>
      </c>
      <c r="O2073" s="1">
        <v>97</v>
      </c>
      <c r="P2073" s="4">
        <f t="shared" si="96"/>
        <v>500000</v>
      </c>
      <c r="Q2073" s="4">
        <f t="shared" si="97"/>
        <v>5</v>
      </c>
      <c r="R2073" s="4">
        <f t="shared" si="98"/>
        <v>100000</v>
      </c>
    </row>
    <row r="2074" spans="1:18" hidden="1">
      <c r="A2074" s="1">
        <v>6</v>
      </c>
      <c r="B2074" s="1" t="str">
        <f>"موجودي ملزومات اداري"</f>
        <v>موجودي ملزومات اداري</v>
      </c>
      <c r="C2074" s="1">
        <v>110</v>
      </c>
      <c r="D2074" s="1" t="str">
        <f>"ملزومات اداري اصفهان"</f>
        <v>ملزومات اداري اصفهان</v>
      </c>
      <c r="E2074" s="1" t="str">
        <f>"0000011622"</f>
        <v>0000011622</v>
      </c>
      <c r="F2074" s="1" t="str">
        <f>"سوزن دوخت كوچك"</f>
        <v>سوزن دوخت كوچك</v>
      </c>
      <c r="G2074" s="1" t="str">
        <f>"عدد"</f>
        <v>عدد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O2074" s="1">
        <v>97</v>
      </c>
      <c r="P2074" s="1">
        <f t="shared" si="96"/>
        <v>0</v>
      </c>
      <c r="Q2074" s="1">
        <f t="shared" si="97"/>
        <v>0</v>
      </c>
      <c r="R2074" s="1" t="e">
        <f t="shared" si="98"/>
        <v>#DIV/0!</v>
      </c>
    </row>
    <row r="2075" spans="1:18">
      <c r="A2075" s="1">
        <v>6</v>
      </c>
      <c r="B2075" s="1" t="str">
        <f>"موجودي ملزومات اداري"</f>
        <v>موجودي ملزومات اداري</v>
      </c>
      <c r="C2075" s="1">
        <v>110</v>
      </c>
      <c r="D2075" s="1" t="str">
        <f>"ملزومات اداري اصفهان"</f>
        <v>ملزومات اداري اصفهان</v>
      </c>
      <c r="E2075" s="1" t="str">
        <f>"0000011782"</f>
        <v>0000011782</v>
      </c>
      <c r="F2075" s="1" t="str">
        <f>"استامپ"</f>
        <v>استامپ</v>
      </c>
      <c r="G2075" s="1" t="str">
        <f>"عدد"</f>
        <v>عدد</v>
      </c>
      <c r="H2075" s="1">
        <v>15</v>
      </c>
      <c r="I2075" s="1">
        <v>314250</v>
      </c>
      <c r="J2075" s="1">
        <v>10</v>
      </c>
      <c r="K2075" s="1">
        <v>310000</v>
      </c>
      <c r="L2075" s="1">
        <v>15</v>
      </c>
      <c r="M2075" s="1">
        <v>374550</v>
      </c>
      <c r="O2075" s="1">
        <v>97</v>
      </c>
      <c r="P2075" s="4">
        <f t="shared" si="96"/>
        <v>249700</v>
      </c>
      <c r="Q2075" s="4">
        <f t="shared" si="97"/>
        <v>10</v>
      </c>
      <c r="R2075" s="4">
        <f t="shared" si="98"/>
        <v>24970</v>
      </c>
    </row>
    <row r="2076" spans="1:18">
      <c r="A2076" s="1">
        <v>6</v>
      </c>
      <c r="B2076" s="1" t="str">
        <f>"موجودي ملزومات اداري"</f>
        <v>موجودي ملزومات اداري</v>
      </c>
      <c r="C2076" s="1">
        <v>110</v>
      </c>
      <c r="D2076" s="1" t="str">
        <f>"ملزومات اداري اصفهان"</f>
        <v>ملزومات اداري اصفهان</v>
      </c>
      <c r="E2076" s="1" t="str">
        <f>"0000011802"</f>
        <v>0000011802</v>
      </c>
      <c r="F2076" s="1" t="str">
        <f>"جا سوزني"</f>
        <v>جا سوزني</v>
      </c>
      <c r="G2076" s="1" t="str">
        <f>"عدد"</f>
        <v>عدد</v>
      </c>
      <c r="H2076" s="1">
        <v>20</v>
      </c>
      <c r="I2076" s="1">
        <v>260000</v>
      </c>
      <c r="J2076" s="1">
        <v>0</v>
      </c>
      <c r="K2076" s="1">
        <v>0</v>
      </c>
      <c r="L2076" s="1">
        <v>1</v>
      </c>
      <c r="M2076" s="1">
        <v>13000</v>
      </c>
      <c r="O2076" s="1">
        <v>97</v>
      </c>
      <c r="P2076" s="4">
        <f t="shared" si="96"/>
        <v>247000</v>
      </c>
      <c r="Q2076" s="4">
        <f t="shared" si="97"/>
        <v>19</v>
      </c>
      <c r="R2076" s="4">
        <f t="shared" si="98"/>
        <v>13000</v>
      </c>
    </row>
    <row r="2077" spans="1:18" hidden="1">
      <c r="A2077" s="1">
        <v>6</v>
      </c>
      <c r="B2077" s="1" t="str">
        <f>"موجودي ملزومات اداري"</f>
        <v>موجودي ملزومات اداري</v>
      </c>
      <c r="C2077" s="1">
        <v>110</v>
      </c>
      <c r="D2077" s="1" t="str">
        <f>"ملزومات اداري اصفهان"</f>
        <v>ملزومات اداري اصفهان</v>
      </c>
      <c r="E2077" s="1" t="str">
        <f>"0000011842"</f>
        <v>0000011842</v>
      </c>
      <c r="F2077" s="1" t="str">
        <f>"ست روميزي 7 تکه"</f>
        <v>ست روميزي 7 تکه</v>
      </c>
      <c r="G2077" s="1" t="str">
        <f>"عدد"</f>
        <v>عدد</v>
      </c>
      <c r="H2077" s="1">
        <v>0</v>
      </c>
      <c r="I2077" s="1">
        <v>0</v>
      </c>
      <c r="J2077" s="1">
        <v>5</v>
      </c>
      <c r="K2077" s="1">
        <v>10750000</v>
      </c>
      <c r="L2077" s="1">
        <v>5</v>
      </c>
      <c r="M2077" s="1">
        <v>10750000</v>
      </c>
      <c r="O2077" s="1">
        <v>97</v>
      </c>
      <c r="P2077" s="1">
        <f t="shared" si="96"/>
        <v>0</v>
      </c>
      <c r="Q2077" s="1">
        <f t="shared" si="97"/>
        <v>0</v>
      </c>
      <c r="R2077" s="1" t="e">
        <f t="shared" si="98"/>
        <v>#DIV/0!</v>
      </c>
    </row>
    <row r="2078" spans="1:18" hidden="1">
      <c r="A2078" s="1">
        <v>6</v>
      </c>
      <c r="B2078" s="1" t="str">
        <f>"موجودي ملزومات اداري"</f>
        <v>موجودي ملزومات اداري</v>
      </c>
      <c r="C2078" s="1">
        <v>110</v>
      </c>
      <c r="D2078" s="1" t="str">
        <f>"ملزومات اداري اصفهان"</f>
        <v>ملزومات اداري اصفهان</v>
      </c>
      <c r="E2078" s="1" t="str">
        <f>"0000017352"</f>
        <v>0000017352</v>
      </c>
      <c r="F2078" s="1" t="str">
        <f>"جوهر نمك"</f>
        <v>جوهر نمك</v>
      </c>
      <c r="G2078" s="1" t="str">
        <f>"ليتر"</f>
        <v>ليتر</v>
      </c>
      <c r="H2078" s="1">
        <v>71</v>
      </c>
      <c r="I2078" s="1">
        <v>1217831</v>
      </c>
      <c r="J2078" s="1">
        <v>310</v>
      </c>
      <c r="K2078" s="1">
        <v>8925000</v>
      </c>
      <c r="L2078" s="1">
        <v>381</v>
      </c>
      <c r="M2078" s="1">
        <v>10142831</v>
      </c>
      <c r="O2078" s="1">
        <v>97</v>
      </c>
      <c r="P2078" s="1">
        <f t="shared" si="96"/>
        <v>0</v>
      </c>
      <c r="Q2078" s="1">
        <f t="shared" si="97"/>
        <v>0</v>
      </c>
      <c r="R2078" s="1" t="e">
        <f t="shared" si="98"/>
        <v>#DIV/0!</v>
      </c>
    </row>
    <row r="2079" spans="1:18">
      <c r="A2079" s="1">
        <v>6</v>
      </c>
      <c r="B2079" s="1" t="str">
        <f>"موجودي ملزومات اداري"</f>
        <v>موجودي ملزومات اداري</v>
      </c>
      <c r="C2079" s="1">
        <v>110</v>
      </c>
      <c r="D2079" s="1" t="str">
        <f>"ملزومات اداري اصفهان"</f>
        <v>ملزومات اداري اصفهان</v>
      </c>
      <c r="E2079" s="1" t="str">
        <f>"0000017382"</f>
        <v>0000017382</v>
      </c>
      <c r="F2079" s="1" t="str">
        <f>"پودر كف شوي رخشا"</f>
        <v>پودر كف شوي رخشا</v>
      </c>
      <c r="G2079" s="1" t="str">
        <f>"عدد"</f>
        <v>عدد</v>
      </c>
      <c r="H2079" s="1">
        <v>46</v>
      </c>
      <c r="I2079" s="1">
        <v>575000</v>
      </c>
      <c r="J2079" s="1">
        <v>70</v>
      </c>
      <c r="K2079" s="1">
        <v>1250000</v>
      </c>
      <c r="L2079" s="1">
        <v>95</v>
      </c>
      <c r="M2079" s="1">
        <v>1448661</v>
      </c>
      <c r="O2079" s="1">
        <v>97</v>
      </c>
      <c r="P2079" s="4">
        <f t="shared" si="96"/>
        <v>376339</v>
      </c>
      <c r="Q2079" s="4">
        <f t="shared" si="97"/>
        <v>21</v>
      </c>
      <c r="R2079" s="4">
        <f t="shared" si="98"/>
        <v>17920.904761904763</v>
      </c>
    </row>
    <row r="2080" spans="1:18" hidden="1">
      <c r="A2080" s="1">
        <v>6</v>
      </c>
      <c r="B2080" s="1" t="str">
        <f>"موجودي ملزومات اداري"</f>
        <v>موجودي ملزومات اداري</v>
      </c>
      <c r="C2080" s="1">
        <v>110</v>
      </c>
      <c r="D2080" s="1" t="str">
        <f>"ملزومات اداري اصفهان"</f>
        <v>ملزومات اداري اصفهان</v>
      </c>
      <c r="E2080" s="1" t="str">
        <f>"0000020122"</f>
        <v>0000020122</v>
      </c>
      <c r="F2080" s="1" t="str">
        <f>"كلاه دوچرخه سواري"</f>
        <v>كلاه دوچرخه سواري</v>
      </c>
      <c r="G2080" s="1" t="str">
        <f>"عدد"</f>
        <v>عدد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O2080" s="1">
        <v>97</v>
      </c>
      <c r="P2080" s="1">
        <f t="shared" si="96"/>
        <v>0</v>
      </c>
      <c r="Q2080" s="1">
        <f t="shared" si="97"/>
        <v>0</v>
      </c>
      <c r="R2080" s="1" t="e">
        <f t="shared" si="98"/>
        <v>#DIV/0!</v>
      </c>
    </row>
    <row r="2081" spans="1:18" hidden="1">
      <c r="A2081" s="1">
        <v>6</v>
      </c>
      <c r="B2081" s="1" t="str">
        <f>"موجودي ملزومات اداري"</f>
        <v>موجودي ملزومات اداري</v>
      </c>
      <c r="C2081" s="1">
        <v>110</v>
      </c>
      <c r="D2081" s="1" t="str">
        <f>"ملزومات اداري اصفهان"</f>
        <v>ملزومات اداري اصفهان</v>
      </c>
      <c r="E2081" s="1" t="str">
        <f>"0000020172"</f>
        <v>0000020172</v>
      </c>
      <c r="F2081" s="1" t="str">
        <f>"باراني"</f>
        <v>باراني</v>
      </c>
      <c r="G2081" s="1" t="str">
        <f>"عدد"</f>
        <v>عدد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O2081" s="1">
        <v>97</v>
      </c>
      <c r="P2081" s="1">
        <f t="shared" si="96"/>
        <v>0</v>
      </c>
      <c r="Q2081" s="1">
        <f t="shared" si="97"/>
        <v>0</v>
      </c>
      <c r="R2081" s="1" t="e">
        <f t="shared" si="98"/>
        <v>#DIV/0!</v>
      </c>
    </row>
    <row r="2082" spans="1:18">
      <c r="A2082" s="1">
        <v>6</v>
      </c>
      <c r="B2082" s="1" t="str">
        <f>"موجودي ملزومات اداري"</f>
        <v>موجودي ملزومات اداري</v>
      </c>
      <c r="C2082" s="1">
        <v>110</v>
      </c>
      <c r="D2082" s="1" t="str">
        <f>"ملزومات اداري اصفهان"</f>
        <v>ملزومات اداري اصفهان</v>
      </c>
      <c r="E2082" s="1" t="str">
        <f>"0000020312"</f>
        <v>0000020312</v>
      </c>
      <c r="F2082" s="1" t="str">
        <f>"پا بند چرمي"</f>
        <v>پا بند چرمي</v>
      </c>
      <c r="G2082" s="1" t="str">
        <f>"عدد"</f>
        <v>عدد</v>
      </c>
      <c r="H2082" s="1">
        <v>3</v>
      </c>
      <c r="I2082" s="1">
        <v>570000</v>
      </c>
      <c r="J2082" s="1">
        <v>0</v>
      </c>
      <c r="K2082" s="1">
        <v>0</v>
      </c>
      <c r="L2082" s="1">
        <v>0</v>
      </c>
      <c r="M2082" s="1">
        <v>0</v>
      </c>
      <c r="O2082" s="1">
        <v>97</v>
      </c>
      <c r="P2082" s="4">
        <f t="shared" si="96"/>
        <v>570000</v>
      </c>
      <c r="Q2082" s="4">
        <f t="shared" si="97"/>
        <v>3</v>
      </c>
      <c r="R2082" s="4">
        <f t="shared" si="98"/>
        <v>190000</v>
      </c>
    </row>
    <row r="2083" spans="1:18" hidden="1">
      <c r="A2083" s="1">
        <v>6</v>
      </c>
      <c r="B2083" s="1" t="str">
        <f>"موجودي ملزومات اداري"</f>
        <v>موجودي ملزومات اداري</v>
      </c>
      <c r="C2083" s="1">
        <v>110</v>
      </c>
      <c r="D2083" s="1" t="str">
        <f>"ملزومات اداري اصفهان"</f>
        <v>ملزومات اداري اصفهان</v>
      </c>
      <c r="E2083" s="1" t="str">
        <f>"0000020342"</f>
        <v>0000020342</v>
      </c>
      <c r="F2083" s="1" t="str">
        <f>"عينک جوشکاري"</f>
        <v>عينک جوشکاري</v>
      </c>
      <c r="G2083" s="1" t="str">
        <f>"عدد"</f>
        <v>عدد</v>
      </c>
      <c r="H2083" s="1">
        <v>1</v>
      </c>
      <c r="I2083" s="1">
        <v>145000</v>
      </c>
      <c r="J2083" s="1">
        <v>0</v>
      </c>
      <c r="K2083" s="1">
        <v>0</v>
      </c>
      <c r="L2083" s="1">
        <v>1</v>
      </c>
      <c r="M2083" s="1">
        <v>145000</v>
      </c>
      <c r="O2083" s="1">
        <v>97</v>
      </c>
      <c r="P2083" s="1">
        <f t="shared" si="96"/>
        <v>0</v>
      </c>
      <c r="Q2083" s="1">
        <f t="shared" si="97"/>
        <v>0</v>
      </c>
      <c r="R2083" s="1" t="e">
        <f t="shared" si="98"/>
        <v>#DIV/0!</v>
      </c>
    </row>
    <row r="2084" spans="1:18" hidden="1">
      <c r="A2084" s="1">
        <v>6</v>
      </c>
      <c r="B2084" s="1" t="str">
        <f>"موجودي ملزومات اداري"</f>
        <v>موجودي ملزومات اداري</v>
      </c>
      <c r="C2084" s="1">
        <v>110</v>
      </c>
      <c r="D2084" s="1" t="str">
        <f>"ملزومات اداري اصفهان"</f>
        <v>ملزومات اداري اصفهان</v>
      </c>
      <c r="E2084" s="1" t="str">
        <f>"1501020382"</f>
        <v>1501020382</v>
      </c>
      <c r="F2084" s="1" t="str">
        <f>"هولوگرام"</f>
        <v>هولوگرام</v>
      </c>
      <c r="G2084" s="1" t="str">
        <f>"عدد"</f>
        <v>عدد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O2084" s="1">
        <v>97</v>
      </c>
      <c r="P2084" s="1">
        <f t="shared" si="96"/>
        <v>0</v>
      </c>
      <c r="Q2084" s="1">
        <f t="shared" si="97"/>
        <v>0</v>
      </c>
      <c r="R2084" s="1" t="e">
        <f t="shared" si="98"/>
        <v>#DIV/0!</v>
      </c>
    </row>
    <row r="2085" spans="1:18">
      <c r="A2085" s="1">
        <v>6</v>
      </c>
      <c r="B2085" s="1" t="str">
        <f>"موجودي ملزومات اداري"</f>
        <v>موجودي ملزومات اداري</v>
      </c>
      <c r="C2085" s="1">
        <v>110</v>
      </c>
      <c r="D2085" s="1" t="str">
        <f>"ملزومات اداري اصفهان"</f>
        <v>ملزومات اداري اصفهان</v>
      </c>
      <c r="E2085" s="1" t="str">
        <f>"1501020642"</f>
        <v>1501020642</v>
      </c>
      <c r="F2085" s="1" t="str">
        <f>"پروانه خروج دائم"</f>
        <v>پروانه خروج دائم</v>
      </c>
      <c r="G2085" s="1" t="str">
        <f>"پد"</f>
        <v>پد</v>
      </c>
      <c r="H2085" s="1">
        <v>76</v>
      </c>
      <c r="I2085" s="1">
        <v>8968000</v>
      </c>
      <c r="J2085" s="1">
        <v>0</v>
      </c>
      <c r="K2085" s="1">
        <v>0</v>
      </c>
      <c r="L2085" s="1">
        <v>7</v>
      </c>
      <c r="M2085" s="1">
        <v>826000</v>
      </c>
      <c r="O2085" s="1">
        <v>97</v>
      </c>
      <c r="P2085" s="4">
        <f t="shared" si="96"/>
        <v>8142000</v>
      </c>
      <c r="Q2085" s="4">
        <f t="shared" si="97"/>
        <v>69</v>
      </c>
      <c r="R2085" s="4">
        <f t="shared" si="98"/>
        <v>118000</v>
      </c>
    </row>
    <row r="2086" spans="1:18" hidden="1">
      <c r="A2086" s="1">
        <v>6</v>
      </c>
      <c r="B2086" s="1" t="str">
        <f>"موجودي ملزومات اداري"</f>
        <v>موجودي ملزومات اداري</v>
      </c>
      <c r="C2086" s="1">
        <v>110</v>
      </c>
      <c r="D2086" s="1" t="str">
        <f>"ملزومات اداري اصفهان"</f>
        <v>ملزومات اداري اصفهان</v>
      </c>
      <c r="E2086" s="1" t="str">
        <f>"1501020812"</f>
        <v>1501020812</v>
      </c>
      <c r="F2086" s="1" t="str">
        <f>"پلاک استيل 15*21"</f>
        <v>پلاک استيل 15*21</v>
      </c>
      <c r="G2086" s="1" t="str">
        <f>"عدد"</f>
        <v>عدد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O2086" s="1">
        <v>97</v>
      </c>
      <c r="P2086" s="1">
        <f t="shared" si="96"/>
        <v>0</v>
      </c>
      <c r="Q2086" s="1">
        <f t="shared" si="97"/>
        <v>0</v>
      </c>
      <c r="R2086" s="1" t="e">
        <f t="shared" si="98"/>
        <v>#DIV/0!</v>
      </c>
    </row>
    <row r="2087" spans="1:18">
      <c r="A2087" s="1">
        <v>6</v>
      </c>
      <c r="B2087" s="1" t="str">
        <f>"موجودي ملزومات اداري"</f>
        <v>موجودي ملزومات اداري</v>
      </c>
      <c r="C2087" s="1">
        <v>110</v>
      </c>
      <c r="D2087" s="1" t="str">
        <f>"ملزومات اداري اصفهان"</f>
        <v>ملزومات اداري اصفهان</v>
      </c>
      <c r="E2087" s="1" t="str">
        <f>"1501021032"</f>
        <v>1501021032</v>
      </c>
      <c r="F2087" s="1" t="str">
        <f>"کفش پرسنلي"</f>
        <v>کفش پرسنلي</v>
      </c>
      <c r="G2087" s="1" t="str">
        <f>"جفت"</f>
        <v>جفت</v>
      </c>
      <c r="H2087" s="1">
        <v>7</v>
      </c>
      <c r="I2087" s="1">
        <v>9126670</v>
      </c>
      <c r="J2087" s="1">
        <v>28</v>
      </c>
      <c r="K2087" s="1">
        <v>42000000</v>
      </c>
      <c r="L2087" s="1">
        <v>30</v>
      </c>
      <c r="M2087" s="1">
        <v>43822860</v>
      </c>
      <c r="O2087" s="1">
        <v>97</v>
      </c>
      <c r="P2087" s="4">
        <f t="shared" si="96"/>
        <v>7303810</v>
      </c>
      <c r="Q2087" s="4">
        <f t="shared" si="97"/>
        <v>5</v>
      </c>
      <c r="R2087" s="4">
        <f t="shared" si="98"/>
        <v>1460762</v>
      </c>
    </row>
    <row r="2088" spans="1:18">
      <c r="A2088" s="1">
        <v>6</v>
      </c>
      <c r="B2088" s="1" t="str">
        <f>"موجودي ملزومات اداري"</f>
        <v>موجودي ملزومات اداري</v>
      </c>
      <c r="C2088" s="1">
        <v>110</v>
      </c>
      <c r="D2088" s="1" t="str">
        <f>"ملزومات اداري اصفهان"</f>
        <v>ملزومات اداري اصفهان</v>
      </c>
      <c r="E2088" s="1" t="str">
        <f>"1501021052"</f>
        <v>1501021052</v>
      </c>
      <c r="F2088" s="1" t="str">
        <f>"جغجغه کامل مخصوص يراق کلاه ايمني"</f>
        <v>جغجغه کامل مخصوص يراق کلاه ايمني</v>
      </c>
      <c r="G2088" s="1" t="str">
        <f>"عدد"</f>
        <v>عدد</v>
      </c>
      <c r="H2088" s="1">
        <v>9</v>
      </c>
      <c r="I2088" s="1">
        <v>342000</v>
      </c>
      <c r="J2088" s="1">
        <v>0</v>
      </c>
      <c r="K2088" s="1">
        <v>0</v>
      </c>
      <c r="L2088" s="1">
        <v>0</v>
      </c>
      <c r="M2088" s="1">
        <v>0</v>
      </c>
      <c r="O2088" s="1">
        <v>97</v>
      </c>
      <c r="P2088" s="4">
        <f t="shared" si="96"/>
        <v>342000</v>
      </c>
      <c r="Q2088" s="4">
        <f t="shared" si="97"/>
        <v>9</v>
      </c>
      <c r="R2088" s="4">
        <f t="shared" si="98"/>
        <v>38000</v>
      </c>
    </row>
    <row r="2089" spans="1:18">
      <c r="A2089" s="1">
        <v>6</v>
      </c>
      <c r="B2089" s="1" t="str">
        <f>"موجودي ملزومات اداري"</f>
        <v>موجودي ملزومات اداري</v>
      </c>
      <c r="C2089" s="1">
        <v>110</v>
      </c>
      <c r="D2089" s="1" t="str">
        <f>"ملزومات اداري اصفهان"</f>
        <v>ملزومات اداري اصفهان</v>
      </c>
      <c r="E2089" s="1" t="str">
        <f>"1501021192"</f>
        <v>1501021192</v>
      </c>
      <c r="F2089" s="1" t="str">
        <f>"تيغ کاتر"</f>
        <v>تيغ کاتر</v>
      </c>
      <c r="G2089" s="1" t="str">
        <f>"بسته"</f>
        <v>بسته</v>
      </c>
      <c r="H2089" s="1">
        <v>10</v>
      </c>
      <c r="I2089" s="1">
        <v>900000</v>
      </c>
      <c r="J2089" s="1">
        <v>0</v>
      </c>
      <c r="K2089" s="1">
        <v>0</v>
      </c>
      <c r="L2089" s="1">
        <v>2</v>
      </c>
      <c r="M2089" s="1">
        <v>180000</v>
      </c>
      <c r="O2089" s="1">
        <v>97</v>
      </c>
      <c r="P2089" s="4">
        <f t="shared" si="96"/>
        <v>720000</v>
      </c>
      <c r="Q2089" s="4">
        <f t="shared" si="97"/>
        <v>8</v>
      </c>
      <c r="R2089" s="4">
        <f t="shared" si="98"/>
        <v>90000</v>
      </c>
    </row>
    <row r="2090" spans="1:18" hidden="1">
      <c r="A2090" s="1">
        <v>6</v>
      </c>
      <c r="B2090" s="1" t="str">
        <f>"موجودي ملزومات اداري"</f>
        <v>موجودي ملزومات اداري</v>
      </c>
      <c r="C2090" s="1">
        <v>110</v>
      </c>
      <c r="D2090" s="1" t="str">
        <f>"ملزومات اداري اصفهان"</f>
        <v>ملزومات اداري اصفهان</v>
      </c>
      <c r="E2090" s="1" t="str">
        <f>"1501021262"</f>
        <v>1501021262</v>
      </c>
      <c r="F2090" s="1" t="str">
        <f>"مخزن آب سرد کن"</f>
        <v>مخزن آب سرد کن</v>
      </c>
      <c r="G2090" s="1" t="str">
        <f>"عدد"</f>
        <v>عدد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O2090" s="1">
        <v>97</v>
      </c>
      <c r="P2090" s="1">
        <f t="shared" si="96"/>
        <v>0</v>
      </c>
      <c r="Q2090" s="1">
        <f t="shared" si="97"/>
        <v>0</v>
      </c>
      <c r="R2090" s="1" t="e">
        <f t="shared" si="98"/>
        <v>#DIV/0!</v>
      </c>
    </row>
    <row r="2091" spans="1:18">
      <c r="A2091" s="1">
        <v>6</v>
      </c>
      <c r="B2091" s="1" t="str">
        <f>"موجودي ملزومات اداري"</f>
        <v>موجودي ملزومات اداري</v>
      </c>
      <c r="C2091" s="1">
        <v>110</v>
      </c>
      <c r="D2091" s="1" t="str">
        <f>"ملزومات اداري اصفهان"</f>
        <v>ملزومات اداري اصفهان</v>
      </c>
      <c r="E2091" s="1" t="str">
        <f>"1501021292"</f>
        <v>1501021292</v>
      </c>
      <c r="F2091" s="1" t="str">
        <f>"گاز فندک"</f>
        <v>گاز فندک</v>
      </c>
      <c r="G2091" s="1" t="str">
        <f>"عدد"</f>
        <v>عدد</v>
      </c>
      <c r="H2091" s="1">
        <v>11</v>
      </c>
      <c r="I2091" s="1">
        <v>132917</v>
      </c>
      <c r="J2091" s="1">
        <v>0</v>
      </c>
      <c r="K2091" s="1">
        <v>0</v>
      </c>
      <c r="L2091" s="1">
        <v>1</v>
      </c>
      <c r="M2091" s="1">
        <v>12083</v>
      </c>
      <c r="O2091" s="1">
        <v>97</v>
      </c>
      <c r="P2091" s="4">
        <f t="shared" si="96"/>
        <v>120834</v>
      </c>
      <c r="Q2091" s="4">
        <f t="shared" si="97"/>
        <v>10</v>
      </c>
      <c r="R2091" s="4">
        <f t="shared" si="98"/>
        <v>12083.4</v>
      </c>
    </row>
    <row r="2092" spans="1:18">
      <c r="A2092" s="1">
        <v>6</v>
      </c>
      <c r="B2092" s="1" t="str">
        <f>"موجودي ملزومات اداري"</f>
        <v>موجودي ملزومات اداري</v>
      </c>
      <c r="C2092" s="1">
        <v>110</v>
      </c>
      <c r="D2092" s="1" t="str">
        <f>"ملزومات اداري اصفهان"</f>
        <v>ملزومات اداري اصفهان</v>
      </c>
      <c r="E2092" s="1" t="str">
        <f>"1501021432"</f>
        <v>1501021432</v>
      </c>
      <c r="F2092" s="1" t="str">
        <f>"مجوز حفاري و گودبرداري"</f>
        <v>مجوز حفاري و گودبرداري</v>
      </c>
      <c r="G2092" s="1" t="str">
        <f>"پد"</f>
        <v>پد</v>
      </c>
      <c r="H2092" s="1">
        <v>0</v>
      </c>
      <c r="I2092" s="1">
        <v>0</v>
      </c>
      <c r="J2092" s="1">
        <v>20</v>
      </c>
      <c r="K2092" s="1">
        <v>2900000</v>
      </c>
      <c r="L2092" s="1">
        <v>0</v>
      </c>
      <c r="M2092" s="1">
        <v>0</v>
      </c>
      <c r="O2092" s="1">
        <v>97</v>
      </c>
      <c r="P2092" s="4">
        <f t="shared" si="96"/>
        <v>2900000</v>
      </c>
      <c r="Q2092" s="4">
        <f t="shared" si="97"/>
        <v>20</v>
      </c>
      <c r="R2092" s="4">
        <f t="shared" si="98"/>
        <v>145000</v>
      </c>
    </row>
    <row r="2093" spans="1:18" hidden="1">
      <c r="A2093" s="1">
        <v>6</v>
      </c>
      <c r="B2093" s="1" t="str">
        <f>"موجودي ملزومات اداري"</f>
        <v>موجودي ملزومات اداري</v>
      </c>
      <c r="C2093" s="1">
        <v>110</v>
      </c>
      <c r="D2093" s="1" t="str">
        <f>"ملزومات اداري اصفهان"</f>
        <v>ملزومات اداري اصفهان</v>
      </c>
      <c r="E2093" s="1" t="str">
        <f>"1502030032"</f>
        <v>1502030032</v>
      </c>
      <c r="F2093" s="1" t="str">
        <f>"ترموستات يخچال"</f>
        <v>ترموستات يخچال</v>
      </c>
      <c r="G2093" s="1" t="str">
        <f>"عدد"</f>
        <v>عدد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O2093" s="1">
        <v>97</v>
      </c>
      <c r="P2093" s="1">
        <f t="shared" si="96"/>
        <v>0</v>
      </c>
      <c r="Q2093" s="1">
        <f t="shared" si="97"/>
        <v>0</v>
      </c>
      <c r="R2093" s="1" t="e">
        <f t="shared" si="98"/>
        <v>#DIV/0!</v>
      </c>
    </row>
    <row r="2094" spans="1:18" hidden="1">
      <c r="A2094" s="1">
        <v>6</v>
      </c>
      <c r="B2094" s="1" t="str">
        <f>"موجودي ملزومات اداري"</f>
        <v>موجودي ملزومات اداري</v>
      </c>
      <c r="C2094" s="1">
        <v>110</v>
      </c>
      <c r="D2094" s="1" t="str">
        <f>"ملزومات اداري اصفهان"</f>
        <v>ملزومات اداري اصفهان</v>
      </c>
      <c r="E2094" s="1" t="str">
        <f>"1502030042"</f>
        <v>1502030042</v>
      </c>
      <c r="F2094" s="1" t="str">
        <f>"جرم گير کيسه اي"</f>
        <v>جرم گير کيسه اي</v>
      </c>
      <c r="G2094" s="1" t="str">
        <f>"عدد"</f>
        <v>عدد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O2094" s="1">
        <v>97</v>
      </c>
      <c r="P2094" s="1">
        <f t="shared" si="96"/>
        <v>0</v>
      </c>
      <c r="Q2094" s="1">
        <f t="shared" si="97"/>
        <v>0</v>
      </c>
      <c r="R2094" s="1" t="e">
        <f t="shared" si="98"/>
        <v>#DIV/0!</v>
      </c>
    </row>
    <row r="2095" spans="1:18" hidden="1">
      <c r="A2095" s="1">
        <v>6</v>
      </c>
      <c r="B2095" s="1" t="str">
        <f>"موجودي ملزومات اداري"</f>
        <v>موجودي ملزومات اداري</v>
      </c>
      <c r="C2095" s="1">
        <v>110</v>
      </c>
      <c r="D2095" s="1" t="str">
        <f>"ملزومات اداري اصفهان"</f>
        <v>ملزومات اداري اصفهان</v>
      </c>
      <c r="E2095" s="1" t="str">
        <f>"1502030062"</f>
        <v>1502030062</v>
      </c>
      <c r="F2095" s="1" t="str">
        <f>"پيچ گوشتي"</f>
        <v>پيچ گوشتي</v>
      </c>
      <c r="G2095" s="1" t="str">
        <f>"عدد"</f>
        <v>عدد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O2095" s="1">
        <v>97</v>
      </c>
      <c r="P2095" s="1">
        <f t="shared" si="96"/>
        <v>0</v>
      </c>
      <c r="Q2095" s="1">
        <f t="shared" si="97"/>
        <v>0</v>
      </c>
      <c r="R2095" s="1" t="e">
        <f t="shared" si="98"/>
        <v>#DIV/0!</v>
      </c>
    </row>
    <row r="2096" spans="1:18" hidden="1">
      <c r="A2096" s="1">
        <v>6</v>
      </c>
      <c r="B2096" s="1" t="str">
        <f>"موجودي ملزومات اداري"</f>
        <v>موجودي ملزومات اداري</v>
      </c>
      <c r="C2096" s="1">
        <v>110</v>
      </c>
      <c r="D2096" s="1" t="str">
        <f>"ملزومات اداري اصفهان"</f>
        <v>ملزومات اداري اصفهان</v>
      </c>
      <c r="E2096" s="1" t="str">
        <f>"1502030102"</f>
        <v>1502030102</v>
      </c>
      <c r="F2096" s="1" t="str">
        <f>"belzona 111"</f>
        <v>belzona 111</v>
      </c>
      <c r="G2096" s="1" t="str">
        <f>"عدد"</f>
        <v>عدد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O2096" s="1">
        <v>97</v>
      </c>
      <c r="P2096" s="1">
        <f t="shared" si="96"/>
        <v>0</v>
      </c>
      <c r="Q2096" s="1">
        <f t="shared" si="97"/>
        <v>0</v>
      </c>
      <c r="R2096" s="1" t="e">
        <f t="shared" si="98"/>
        <v>#DIV/0!</v>
      </c>
    </row>
    <row r="2097" spans="1:18">
      <c r="A2097" s="1">
        <v>6</v>
      </c>
      <c r="B2097" s="1" t="str">
        <f>"موجودي ملزومات اداري"</f>
        <v>موجودي ملزومات اداري</v>
      </c>
      <c r="C2097" s="1">
        <v>110</v>
      </c>
      <c r="D2097" s="1" t="str">
        <f>"ملزومات اداري اصفهان"</f>
        <v>ملزومات اداري اصفهان</v>
      </c>
      <c r="E2097" s="1" t="str">
        <f>"1502030412"</f>
        <v>1502030412</v>
      </c>
      <c r="F2097" s="1" t="str">
        <f>"دستکش محافظ برق کلاس 3"</f>
        <v>دستکش محافظ برق کلاس 3</v>
      </c>
      <c r="G2097" s="1" t="str">
        <f>"جفت"</f>
        <v>جفت</v>
      </c>
      <c r="H2097" s="1">
        <v>2</v>
      </c>
      <c r="I2097" s="1">
        <v>3600000</v>
      </c>
      <c r="J2097" s="1">
        <v>0</v>
      </c>
      <c r="K2097" s="1">
        <v>0</v>
      </c>
      <c r="L2097" s="1">
        <v>0</v>
      </c>
      <c r="M2097" s="1">
        <v>0</v>
      </c>
      <c r="O2097" s="1">
        <v>97</v>
      </c>
      <c r="P2097" s="4">
        <f t="shared" si="96"/>
        <v>3600000</v>
      </c>
      <c r="Q2097" s="4">
        <f t="shared" si="97"/>
        <v>2</v>
      </c>
      <c r="R2097" s="4">
        <f t="shared" si="98"/>
        <v>1800000</v>
      </c>
    </row>
    <row r="2098" spans="1:18" hidden="1">
      <c r="A2098" s="1">
        <v>6</v>
      </c>
      <c r="B2098" s="1" t="str">
        <f>"موجودي ملزومات اداري"</f>
        <v>موجودي ملزومات اداري</v>
      </c>
      <c r="C2098" s="1">
        <v>110</v>
      </c>
      <c r="D2098" s="1" t="str">
        <f>"ملزومات اداري اصفهان"</f>
        <v>ملزومات اداري اصفهان</v>
      </c>
      <c r="E2098" s="1" t="str">
        <f>"1502030452"</f>
        <v>1502030452</v>
      </c>
      <c r="F2098" s="1" t="str">
        <f>"يک سر تخت رينگي 17"</f>
        <v>يک سر تخت رينگي 17</v>
      </c>
      <c r="G2098" s="1" t="str">
        <f>"عدد"</f>
        <v>عدد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O2098" s="1">
        <v>97</v>
      </c>
      <c r="P2098" s="1">
        <f t="shared" si="96"/>
        <v>0</v>
      </c>
      <c r="Q2098" s="1">
        <f t="shared" si="97"/>
        <v>0</v>
      </c>
      <c r="R2098" s="1" t="e">
        <f t="shared" si="98"/>
        <v>#DIV/0!</v>
      </c>
    </row>
    <row r="2099" spans="1:18" hidden="1">
      <c r="A2099" s="1">
        <v>6</v>
      </c>
      <c r="B2099" s="1" t="str">
        <f>"موجودي ملزومات اداري"</f>
        <v>موجودي ملزومات اداري</v>
      </c>
      <c r="C2099" s="1">
        <v>110</v>
      </c>
      <c r="D2099" s="1" t="str">
        <f>"ملزومات اداري اصفهان"</f>
        <v>ملزومات اداري اصفهان</v>
      </c>
      <c r="E2099" s="1" t="str">
        <f>"1502030522"</f>
        <v>1502030522</v>
      </c>
      <c r="F2099" s="1" t="str">
        <f>"آچار آلن 3.4.5.6.7"</f>
        <v>آچار آلن 3.4.5.6.7</v>
      </c>
      <c r="G2099" s="1" t="str">
        <f>"عدد"</f>
        <v>عدد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O2099" s="1">
        <v>97</v>
      </c>
      <c r="P2099" s="1">
        <f t="shared" si="96"/>
        <v>0</v>
      </c>
      <c r="Q2099" s="1">
        <f t="shared" si="97"/>
        <v>0</v>
      </c>
      <c r="R2099" s="1" t="e">
        <f t="shared" si="98"/>
        <v>#DIV/0!</v>
      </c>
    </row>
    <row r="2100" spans="1:18" hidden="1">
      <c r="A2100" s="1">
        <v>6</v>
      </c>
      <c r="B2100" s="1" t="str">
        <f>"موجودي ملزومات اداري"</f>
        <v>موجودي ملزومات اداري</v>
      </c>
      <c r="C2100" s="1">
        <v>110</v>
      </c>
      <c r="D2100" s="1" t="str">
        <f>"ملزومات اداري اصفهان"</f>
        <v>ملزومات اداري اصفهان</v>
      </c>
      <c r="E2100" s="1" t="str">
        <f>"1502030532"</f>
        <v>1502030532</v>
      </c>
      <c r="F2100" s="1" t="str">
        <f>"فازمتر"</f>
        <v>فازمتر</v>
      </c>
      <c r="G2100" s="1" t="str">
        <f>"عدد"</f>
        <v>عدد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O2100" s="1">
        <v>97</v>
      </c>
      <c r="P2100" s="1">
        <f t="shared" si="96"/>
        <v>0</v>
      </c>
      <c r="Q2100" s="1">
        <f t="shared" si="97"/>
        <v>0</v>
      </c>
      <c r="R2100" s="1" t="e">
        <f t="shared" si="98"/>
        <v>#DIV/0!</v>
      </c>
    </row>
    <row r="2101" spans="1:18" hidden="1">
      <c r="A2101" s="1">
        <v>6</v>
      </c>
      <c r="B2101" s="1" t="str">
        <f>"موجودي ملزومات اداري"</f>
        <v>موجودي ملزومات اداري</v>
      </c>
      <c r="C2101" s="1">
        <v>110</v>
      </c>
      <c r="D2101" s="1" t="str">
        <f>"ملزومات اداري اصفهان"</f>
        <v>ملزومات اداري اصفهان</v>
      </c>
      <c r="E2101" s="1" t="str">
        <f>"1502030602"</f>
        <v>1502030602</v>
      </c>
      <c r="F2101" s="1" t="str">
        <f>"ترافيک رويه سفيد"</f>
        <v>ترافيک رويه سفيد</v>
      </c>
      <c r="G2101" s="1" t="str">
        <f>"كيلوگرم"</f>
        <v>كيلوگرم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O2101" s="1">
        <v>97</v>
      </c>
      <c r="P2101" s="1">
        <f t="shared" si="96"/>
        <v>0</v>
      </c>
      <c r="Q2101" s="1">
        <f t="shared" si="97"/>
        <v>0</v>
      </c>
      <c r="R2101" s="1" t="e">
        <f t="shared" si="98"/>
        <v>#DIV/0!</v>
      </c>
    </row>
    <row r="2102" spans="1:18" hidden="1">
      <c r="A2102" s="1">
        <v>6</v>
      </c>
      <c r="B2102" s="1" t="str">
        <f>"موجودي ملزومات اداري"</f>
        <v>موجودي ملزومات اداري</v>
      </c>
      <c r="C2102" s="1">
        <v>110</v>
      </c>
      <c r="D2102" s="1" t="str">
        <f>"ملزومات اداري اصفهان"</f>
        <v>ملزومات اداري اصفهان</v>
      </c>
      <c r="E2102" s="1" t="str">
        <f>"1502030682"</f>
        <v>1502030682</v>
      </c>
      <c r="F2102" s="1" t="str">
        <f>"شير اطمينان آبگرمکن"</f>
        <v>شير اطمينان آبگرمکن</v>
      </c>
      <c r="G2102" s="1" t="str">
        <f>"عدد"</f>
        <v>عدد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O2102" s="1">
        <v>97</v>
      </c>
      <c r="P2102" s="1">
        <f t="shared" si="96"/>
        <v>0</v>
      </c>
      <c r="Q2102" s="1">
        <f t="shared" si="97"/>
        <v>0</v>
      </c>
      <c r="R2102" s="1" t="e">
        <f t="shared" si="98"/>
        <v>#DIV/0!</v>
      </c>
    </row>
    <row r="2103" spans="1:18" hidden="1">
      <c r="A2103" s="1">
        <v>6</v>
      </c>
      <c r="B2103" s="1" t="str">
        <f>"موجودي ملزومات اداري"</f>
        <v>موجودي ملزومات اداري</v>
      </c>
      <c r="C2103" s="1">
        <v>110</v>
      </c>
      <c r="D2103" s="1" t="str">
        <f>"ملزومات اداري اصفهان"</f>
        <v>ملزومات اداري اصفهان</v>
      </c>
      <c r="E2103" s="1" t="str">
        <f>"1502030692"</f>
        <v>1502030692</v>
      </c>
      <c r="F2103" s="1" t="str">
        <f>"قفل و دستگيره"</f>
        <v>قفل و دستگيره</v>
      </c>
      <c r="G2103" s="1" t="str">
        <f>"ST"</f>
        <v>ST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O2103" s="1">
        <v>97</v>
      </c>
      <c r="P2103" s="1">
        <f t="shared" si="96"/>
        <v>0</v>
      </c>
      <c r="Q2103" s="1">
        <f t="shared" si="97"/>
        <v>0</v>
      </c>
      <c r="R2103" s="1" t="e">
        <f t="shared" si="98"/>
        <v>#DIV/0!</v>
      </c>
    </row>
    <row r="2104" spans="1:18">
      <c r="A2104" s="1">
        <v>6</v>
      </c>
      <c r="B2104" s="1" t="str">
        <f>"موجودي ملزومات اداري"</f>
        <v>موجودي ملزومات اداري</v>
      </c>
      <c r="C2104" s="1">
        <v>110</v>
      </c>
      <c r="D2104" s="1" t="str">
        <f>"ملزومات اداري اصفهان"</f>
        <v>ملزومات اداري اصفهان</v>
      </c>
      <c r="E2104" s="1" t="str">
        <f>"1502030832"</f>
        <v>1502030832</v>
      </c>
      <c r="F2104" s="1" t="str">
        <f>"شابلون (کليشه)کلمه ورودي و خروجي و فلش"</f>
        <v>شابلون (کليشه)کلمه ورودي و خروجي و فلش</v>
      </c>
      <c r="G2104" s="1" t="str">
        <f>"عدد"</f>
        <v>عدد</v>
      </c>
      <c r="H2104" s="1">
        <v>0</v>
      </c>
      <c r="I2104" s="1">
        <v>0</v>
      </c>
      <c r="J2104" s="1">
        <v>3</v>
      </c>
      <c r="K2104" s="1">
        <v>1800000</v>
      </c>
      <c r="L2104" s="1">
        <v>0</v>
      </c>
      <c r="M2104" s="1">
        <v>0</v>
      </c>
      <c r="O2104" s="1">
        <v>97</v>
      </c>
      <c r="P2104" s="4">
        <f t="shared" si="96"/>
        <v>1800000</v>
      </c>
      <c r="Q2104" s="4">
        <f t="shared" si="97"/>
        <v>3</v>
      </c>
      <c r="R2104" s="4">
        <f t="shared" si="98"/>
        <v>600000</v>
      </c>
    </row>
    <row r="2105" spans="1:18" hidden="1">
      <c r="A2105" s="1">
        <v>6</v>
      </c>
      <c r="B2105" s="1" t="str">
        <f>"موجودي ملزومات اداري"</f>
        <v>موجودي ملزومات اداري</v>
      </c>
      <c r="C2105" s="1">
        <v>110</v>
      </c>
      <c r="D2105" s="1" t="str">
        <f>"ملزومات اداري اصفهان"</f>
        <v>ملزومات اداري اصفهان</v>
      </c>
      <c r="E2105" s="1" t="str">
        <f>"1502030842"</f>
        <v>1502030842</v>
      </c>
      <c r="F2105" s="1" t="str">
        <f>"توپي حديده 3/4 کامل"</f>
        <v>توپي حديده 3/4 کامل</v>
      </c>
      <c r="G2105" s="1" t="str">
        <f>"عدد"</f>
        <v>عدد</v>
      </c>
      <c r="H2105" s="1">
        <v>0</v>
      </c>
      <c r="I2105" s="1">
        <v>0</v>
      </c>
      <c r="J2105" s="1">
        <v>1</v>
      </c>
      <c r="K2105" s="1">
        <v>700000</v>
      </c>
      <c r="L2105" s="1">
        <v>1</v>
      </c>
      <c r="M2105" s="1">
        <v>700000</v>
      </c>
      <c r="O2105" s="1">
        <v>97</v>
      </c>
      <c r="P2105" s="1">
        <f t="shared" si="96"/>
        <v>0</v>
      </c>
      <c r="Q2105" s="1">
        <f t="shared" si="97"/>
        <v>0</v>
      </c>
      <c r="R2105" s="1" t="e">
        <f t="shared" si="98"/>
        <v>#DIV/0!</v>
      </c>
    </row>
    <row r="2106" spans="1:18" hidden="1">
      <c r="A2106" s="1">
        <v>6</v>
      </c>
      <c r="B2106" s="1" t="str">
        <f>"موجودي ملزومات اداري"</f>
        <v>موجودي ملزومات اداري</v>
      </c>
      <c r="C2106" s="1">
        <v>110</v>
      </c>
      <c r="D2106" s="1" t="str">
        <f>"ملزومات اداري اصفهان"</f>
        <v>ملزومات اداري اصفهان</v>
      </c>
      <c r="E2106" s="1" t="str">
        <f>"1502030852"</f>
        <v>1502030852</v>
      </c>
      <c r="F2106" s="1" t="str">
        <f>"HHD 1tr western"</f>
        <v>HHD 1tr western</v>
      </c>
      <c r="G2106" s="1" t="str">
        <f>"عدد"</f>
        <v>عدد</v>
      </c>
      <c r="H2106" s="1">
        <v>0</v>
      </c>
      <c r="I2106" s="1">
        <v>0</v>
      </c>
      <c r="J2106" s="1">
        <v>5</v>
      </c>
      <c r="K2106" s="1">
        <v>13550000</v>
      </c>
      <c r="L2106" s="1">
        <v>5</v>
      </c>
      <c r="M2106" s="1">
        <v>13550000</v>
      </c>
      <c r="O2106" s="1">
        <v>97</v>
      </c>
      <c r="P2106" s="1">
        <f t="shared" si="96"/>
        <v>0</v>
      </c>
      <c r="Q2106" s="1">
        <f t="shared" si="97"/>
        <v>0</v>
      </c>
      <c r="R2106" s="1" t="e">
        <f t="shared" si="98"/>
        <v>#DIV/0!</v>
      </c>
    </row>
    <row r="2107" spans="1:18" hidden="1">
      <c r="A2107" s="1">
        <v>6</v>
      </c>
      <c r="B2107" s="1" t="str">
        <f>"موجودي ملزومات اداري"</f>
        <v>موجودي ملزومات اداري</v>
      </c>
      <c r="C2107" s="1">
        <v>110</v>
      </c>
      <c r="D2107" s="1" t="str">
        <f>"ملزومات اداري اصفهان"</f>
        <v>ملزومات اداري اصفهان</v>
      </c>
      <c r="E2107" s="1" t="str">
        <f>"1502030872"</f>
        <v>1502030872</v>
      </c>
      <c r="F2107" s="1" t="str">
        <f>"چاي قرمز 500 گرمي"</f>
        <v>چاي قرمز 500 گرمي</v>
      </c>
      <c r="G2107" s="1" t="str">
        <f>"كيلوگرم"</f>
        <v>كيلوگرم</v>
      </c>
      <c r="H2107" s="1">
        <v>0</v>
      </c>
      <c r="I2107" s="1">
        <v>0</v>
      </c>
      <c r="J2107" s="1">
        <v>260</v>
      </c>
      <c r="K2107" s="1">
        <v>93600000</v>
      </c>
      <c r="L2107" s="1">
        <v>260</v>
      </c>
      <c r="M2107" s="1">
        <v>93600000</v>
      </c>
      <c r="O2107" s="1">
        <v>97</v>
      </c>
      <c r="P2107" s="1">
        <f t="shared" si="96"/>
        <v>0</v>
      </c>
      <c r="Q2107" s="1">
        <f t="shared" si="97"/>
        <v>0</v>
      </c>
      <c r="R2107" s="1" t="e">
        <f t="shared" si="98"/>
        <v>#DIV/0!</v>
      </c>
    </row>
    <row r="2108" spans="1:18" hidden="1">
      <c r="A2108" s="1">
        <v>6</v>
      </c>
      <c r="B2108" s="1" t="str">
        <f>"موجودي ملزومات اداري"</f>
        <v>موجودي ملزومات اداري</v>
      </c>
      <c r="C2108" s="1">
        <v>110</v>
      </c>
      <c r="D2108" s="1" t="str">
        <f>"ملزومات اداري اصفهان"</f>
        <v>ملزومات اداري اصفهان</v>
      </c>
      <c r="E2108" s="1" t="str">
        <f>"1502030942"</f>
        <v>1502030942</v>
      </c>
      <c r="F2108" s="1" t="str">
        <f>"تشک مهمان"</f>
        <v>تشک مهمان</v>
      </c>
      <c r="G2108" s="1" t="str">
        <f>"عدد"</f>
        <v>عدد</v>
      </c>
      <c r="H2108" s="1">
        <v>0</v>
      </c>
      <c r="I2108" s="1">
        <v>0</v>
      </c>
      <c r="J2108" s="1">
        <v>24</v>
      </c>
      <c r="K2108" s="1">
        <v>20160000</v>
      </c>
      <c r="L2108" s="1">
        <v>24</v>
      </c>
      <c r="M2108" s="1">
        <v>20160000</v>
      </c>
      <c r="O2108" s="1">
        <v>97</v>
      </c>
      <c r="P2108" s="1">
        <f t="shared" si="96"/>
        <v>0</v>
      </c>
      <c r="Q2108" s="1">
        <f t="shared" si="97"/>
        <v>0</v>
      </c>
      <c r="R2108" s="1" t="e">
        <f t="shared" si="98"/>
        <v>#DIV/0!</v>
      </c>
    </row>
    <row r="2109" spans="1:18" hidden="1">
      <c r="A2109" s="1">
        <v>6</v>
      </c>
      <c r="B2109" s="1" t="str">
        <f>"موجودي ملزومات اداري"</f>
        <v>موجودي ملزومات اداري</v>
      </c>
      <c r="C2109" s="1">
        <v>110</v>
      </c>
      <c r="D2109" s="1" t="str">
        <f>"ملزومات اداري اصفهان"</f>
        <v>ملزومات اداري اصفهان</v>
      </c>
      <c r="E2109" s="1" t="str">
        <f>"1502031042"</f>
        <v>1502031042</v>
      </c>
      <c r="F2109" s="1" t="str">
        <f>"تسمه کولر آبي"</f>
        <v>تسمه کولر آبي</v>
      </c>
      <c r="G2109" s="1" t="str">
        <f>"عدد"</f>
        <v>عدد</v>
      </c>
      <c r="H2109" s="1">
        <v>0</v>
      </c>
      <c r="I2109" s="1">
        <v>0</v>
      </c>
      <c r="J2109" s="1">
        <v>8</v>
      </c>
      <c r="K2109" s="1">
        <v>1040000</v>
      </c>
      <c r="L2109" s="1">
        <v>8</v>
      </c>
      <c r="M2109" s="1">
        <v>1040000</v>
      </c>
      <c r="O2109" s="1">
        <v>97</v>
      </c>
      <c r="P2109" s="1">
        <f t="shared" si="96"/>
        <v>0</v>
      </c>
      <c r="Q2109" s="1">
        <f t="shared" si="97"/>
        <v>0</v>
      </c>
      <c r="R2109" s="1" t="e">
        <f t="shared" si="98"/>
        <v>#DIV/0!</v>
      </c>
    </row>
    <row r="2110" spans="1:18" hidden="1">
      <c r="A2110" s="1">
        <v>6</v>
      </c>
      <c r="B2110" s="1" t="str">
        <f>"موجودي ملزومات اداري"</f>
        <v>موجودي ملزومات اداري</v>
      </c>
      <c r="C2110" s="1">
        <v>205</v>
      </c>
      <c r="D2110" s="1" t="str">
        <f>"انبار قطعات و لوازم يدكي بندرعباس"</f>
        <v>انبار قطعات و لوازم يدكي بندرعباس</v>
      </c>
      <c r="E2110" s="1" t="str">
        <f>"0000009049"</f>
        <v>0000009049</v>
      </c>
      <c r="F2110" s="1" t="str">
        <f>"کفش"</f>
        <v>کفش</v>
      </c>
      <c r="G2110" s="1" t="str">
        <f>"جفت"</f>
        <v>جفت</v>
      </c>
      <c r="H2110" s="1">
        <v>0</v>
      </c>
      <c r="I2110" s="1">
        <v>0</v>
      </c>
      <c r="J2110" s="1">
        <v>5</v>
      </c>
      <c r="K2110" s="1">
        <v>7000000</v>
      </c>
      <c r="L2110" s="1">
        <v>5</v>
      </c>
      <c r="M2110" s="1">
        <v>7000000</v>
      </c>
      <c r="O2110" s="1">
        <v>97</v>
      </c>
      <c r="P2110" s="1">
        <f t="shared" si="96"/>
        <v>0</v>
      </c>
      <c r="Q2110" s="1">
        <f t="shared" si="97"/>
        <v>0</v>
      </c>
      <c r="R2110" s="1" t="e">
        <f t="shared" si="98"/>
        <v>#DIV/0!</v>
      </c>
    </row>
    <row r="2111" spans="1:18">
      <c r="A2111" s="1">
        <v>6</v>
      </c>
      <c r="B2111" s="1" t="str">
        <f>"موجودي ملزومات اداري"</f>
        <v>موجودي ملزومات اداري</v>
      </c>
      <c r="C2111" s="1">
        <v>205</v>
      </c>
      <c r="D2111" s="1" t="str">
        <f>"انبار قطعات و لوازم يدكي بندرعباس"</f>
        <v>انبار قطعات و لوازم يدكي بندرعباس</v>
      </c>
      <c r="E2111" s="1" t="str">
        <f>"0000052342"</f>
        <v>0000052342</v>
      </c>
      <c r="F2111" s="1" t="str">
        <f>"قيچي باغباني"</f>
        <v>قيچي باغباني</v>
      </c>
      <c r="G2111" s="1" t="str">
        <f>"عدد"</f>
        <v>عدد</v>
      </c>
      <c r="H2111" s="1">
        <v>0</v>
      </c>
      <c r="I2111" s="1">
        <v>0</v>
      </c>
      <c r="J2111" s="1">
        <v>1</v>
      </c>
      <c r="K2111" s="1">
        <v>1350000</v>
      </c>
      <c r="L2111" s="1">
        <v>0</v>
      </c>
      <c r="M2111" s="1">
        <v>0</v>
      </c>
      <c r="O2111" s="1">
        <v>97</v>
      </c>
      <c r="P2111" s="4">
        <f t="shared" si="96"/>
        <v>1350000</v>
      </c>
      <c r="Q2111" s="4">
        <f t="shared" si="97"/>
        <v>1</v>
      </c>
      <c r="R2111" s="4">
        <f t="shared" si="98"/>
        <v>1350000</v>
      </c>
    </row>
    <row r="2112" spans="1:18">
      <c r="A2112" s="1">
        <v>6</v>
      </c>
      <c r="B2112" s="1" t="str">
        <f>"موجودي ملزومات اداري"</f>
        <v>موجودي ملزومات اداري</v>
      </c>
      <c r="C2112" s="1">
        <v>205</v>
      </c>
      <c r="D2112" s="1" t="str">
        <f>"انبار قطعات و لوازم يدكي بندرعباس"</f>
        <v>انبار قطعات و لوازم يدكي بندرعباس</v>
      </c>
      <c r="E2112" s="1" t="str">
        <f>"0000058512"</f>
        <v>0000058512</v>
      </c>
      <c r="F2112" s="1" t="str">
        <f>"شيشه"</f>
        <v>شيشه</v>
      </c>
      <c r="G2112" s="1" t="str">
        <f>"عدد"</f>
        <v>عدد</v>
      </c>
      <c r="H2112" s="1">
        <v>0</v>
      </c>
      <c r="I2112" s="1">
        <v>0</v>
      </c>
      <c r="J2112" s="1">
        <v>1</v>
      </c>
      <c r="K2112" s="1">
        <v>360000</v>
      </c>
      <c r="L2112" s="1">
        <v>0</v>
      </c>
      <c r="M2112" s="1">
        <v>0</v>
      </c>
      <c r="O2112" s="1">
        <v>97</v>
      </c>
      <c r="P2112" s="4">
        <f t="shared" si="96"/>
        <v>360000</v>
      </c>
      <c r="Q2112" s="4">
        <f t="shared" si="97"/>
        <v>1</v>
      </c>
      <c r="R2112" s="4">
        <f t="shared" si="98"/>
        <v>360000</v>
      </c>
    </row>
    <row r="2113" spans="1:18">
      <c r="A2113" s="1">
        <v>2</v>
      </c>
      <c r="B2113" s="1" t="str">
        <f>"قطعات و لوازم يدكي"</f>
        <v>قطعات و لوازم يدكي</v>
      </c>
      <c r="C2113" s="1">
        <v>120</v>
      </c>
      <c r="D2113" s="1" t="str">
        <f>"انبار قطعات و لوازم يدكي بشکه سازي اصفهان"</f>
        <v>انبار قطعات و لوازم يدكي بشکه سازي اصفهان</v>
      </c>
      <c r="E2113" s="1" t="str">
        <f>"4111700058"</f>
        <v>4111700058</v>
      </c>
      <c r="F2113" s="1" t="str">
        <f>"شارژ 12 ولت دريل شارژي"</f>
        <v>شارژ 12 ولت دريل شارژي</v>
      </c>
      <c r="G2113" s="1" t="str">
        <f>"عدد"</f>
        <v>عدد</v>
      </c>
      <c r="H2113" s="1">
        <v>0</v>
      </c>
      <c r="I2113" s="1">
        <v>0</v>
      </c>
      <c r="J2113" s="1">
        <v>2</v>
      </c>
      <c r="K2113" s="1">
        <v>2900000</v>
      </c>
      <c r="L2113" s="1">
        <v>0</v>
      </c>
      <c r="M2113" s="1">
        <v>0</v>
      </c>
      <c r="O2113" s="1">
        <v>97</v>
      </c>
      <c r="P2113" s="4">
        <f t="shared" si="96"/>
        <v>2900000</v>
      </c>
      <c r="Q2113" s="4">
        <f t="shared" si="97"/>
        <v>2</v>
      </c>
      <c r="R2113" s="4">
        <f t="shared" si="98"/>
        <v>1450000</v>
      </c>
    </row>
    <row r="2114" spans="1:18">
      <c r="A2114" s="1">
        <v>2</v>
      </c>
      <c r="B2114" s="1" t="str">
        <f>"قطعات و لوازم يدكي"</f>
        <v>قطعات و لوازم يدكي</v>
      </c>
      <c r="C2114" s="1">
        <v>120</v>
      </c>
      <c r="D2114" s="1" t="str">
        <f>"انبار قطعات و لوازم يدكي بشکه سازي اصفهان"</f>
        <v>انبار قطعات و لوازم يدكي بشکه سازي اصفهان</v>
      </c>
      <c r="E2114" s="1" t="str">
        <f>"4111700085"</f>
        <v>4111700085</v>
      </c>
      <c r="F2114" s="1" t="str">
        <f>"چراغ سقفي"</f>
        <v>چراغ سقفي</v>
      </c>
      <c r="G2114" s="1" t="str">
        <f>"عدد"</f>
        <v>عدد</v>
      </c>
      <c r="H2114" s="1">
        <v>0</v>
      </c>
      <c r="I2114" s="1">
        <v>0</v>
      </c>
      <c r="J2114" s="1">
        <v>2</v>
      </c>
      <c r="K2114" s="1">
        <v>500000</v>
      </c>
      <c r="L2114" s="1">
        <v>0</v>
      </c>
      <c r="M2114" s="1">
        <v>0</v>
      </c>
      <c r="O2114" s="1">
        <v>97</v>
      </c>
      <c r="P2114" s="4">
        <f t="shared" si="96"/>
        <v>500000</v>
      </c>
      <c r="Q2114" s="4">
        <f t="shared" si="97"/>
        <v>2</v>
      </c>
      <c r="R2114" s="4">
        <f t="shared" si="98"/>
        <v>250000</v>
      </c>
    </row>
    <row r="2115" spans="1:18">
      <c r="A2115" s="1">
        <v>2</v>
      </c>
      <c r="B2115" s="1" t="str">
        <f>"قطعات و لوازم يدكي"</f>
        <v>قطعات و لوازم يدكي</v>
      </c>
      <c r="C2115" s="1">
        <v>120</v>
      </c>
      <c r="D2115" s="1" t="str">
        <f>"انبار قطعات و لوازم يدكي بشکه سازي اصفهان"</f>
        <v>انبار قطعات و لوازم يدكي بشکه سازي اصفهان</v>
      </c>
      <c r="E2115" s="1" t="str">
        <f>"4111700094"</f>
        <v>4111700094</v>
      </c>
      <c r="F2115" s="1" t="str">
        <f>"فيوز دو پايه"</f>
        <v>فيوز دو پايه</v>
      </c>
      <c r="G2115" s="1" t="str">
        <f>"عدد"</f>
        <v>عدد</v>
      </c>
      <c r="H2115" s="1">
        <v>0</v>
      </c>
      <c r="I2115" s="1">
        <v>0</v>
      </c>
      <c r="J2115" s="1">
        <v>15</v>
      </c>
      <c r="K2115" s="1">
        <v>450000</v>
      </c>
      <c r="L2115" s="1">
        <v>0</v>
      </c>
      <c r="M2115" s="1">
        <v>0</v>
      </c>
      <c r="O2115" s="1">
        <v>97</v>
      </c>
      <c r="P2115" s="4">
        <f t="shared" ref="P2115:P2178" si="99">I2115+K2115-M2115</f>
        <v>450000</v>
      </c>
      <c r="Q2115" s="4">
        <f t="shared" ref="Q2115:Q2178" si="100">H2115+J2115-L2115</f>
        <v>15</v>
      </c>
      <c r="R2115" s="4">
        <f t="shared" ref="R2115:R2178" si="101">P2115/Q2115</f>
        <v>30000</v>
      </c>
    </row>
    <row r="2116" spans="1:18">
      <c r="A2116" s="1">
        <v>2</v>
      </c>
      <c r="B2116" s="1" t="str">
        <f>"قطعات و لوازم يدكي"</f>
        <v>قطعات و لوازم يدكي</v>
      </c>
      <c r="C2116" s="1">
        <v>120</v>
      </c>
      <c r="D2116" s="1" t="str">
        <f>"انبار قطعات و لوازم يدكي بشکه سازي اصفهان"</f>
        <v>انبار قطعات و لوازم يدكي بشکه سازي اصفهان</v>
      </c>
      <c r="E2116" s="1" t="str">
        <f>"4111700105"</f>
        <v>4111700105</v>
      </c>
      <c r="F2116" s="1" t="str">
        <f>"بوش باتون ساده"</f>
        <v>بوش باتون ساده</v>
      </c>
      <c r="G2116" s="1" t="str">
        <f>"عدد"</f>
        <v>عدد</v>
      </c>
      <c r="H2116" s="1">
        <v>0</v>
      </c>
      <c r="I2116" s="1">
        <v>0</v>
      </c>
      <c r="J2116" s="1">
        <v>10</v>
      </c>
      <c r="K2116" s="1">
        <v>550000</v>
      </c>
      <c r="L2116" s="1">
        <v>0</v>
      </c>
      <c r="M2116" s="1">
        <v>0</v>
      </c>
      <c r="O2116" s="1">
        <v>97</v>
      </c>
      <c r="P2116" s="4">
        <f t="shared" si="99"/>
        <v>550000</v>
      </c>
      <c r="Q2116" s="4">
        <f t="shared" si="100"/>
        <v>10</v>
      </c>
      <c r="R2116" s="4">
        <f t="shared" si="101"/>
        <v>55000</v>
      </c>
    </row>
    <row r="2117" spans="1:18" hidden="1">
      <c r="A2117" s="1">
        <v>2</v>
      </c>
      <c r="B2117" s="1" t="str">
        <f>"قطعات و لوازم يدكي"</f>
        <v>قطعات و لوازم يدكي</v>
      </c>
      <c r="C2117" s="1">
        <v>120</v>
      </c>
      <c r="D2117" s="1" t="str">
        <f>"انبار قطعات و لوازم يدكي بشکه سازي اصفهان"</f>
        <v>انبار قطعات و لوازم يدكي بشکه سازي اصفهان</v>
      </c>
      <c r="E2117" s="1" t="str">
        <f>"4111700126"</f>
        <v>4111700126</v>
      </c>
      <c r="F2117" s="1" t="str">
        <f>"ميني سنگ 220 ولت"</f>
        <v>ميني سنگ 220 ولت</v>
      </c>
      <c r="G2117" s="1" t="str">
        <f>"دستگاه"</f>
        <v>دستگاه</v>
      </c>
      <c r="H2117" s="1">
        <v>0</v>
      </c>
      <c r="I2117" s="1">
        <v>0</v>
      </c>
      <c r="J2117" s="1">
        <v>2</v>
      </c>
      <c r="K2117" s="1">
        <v>15120000</v>
      </c>
      <c r="L2117" s="1">
        <v>2</v>
      </c>
      <c r="M2117" s="1">
        <v>15120000</v>
      </c>
      <c r="O2117" s="1">
        <v>97</v>
      </c>
      <c r="P2117" s="1">
        <f t="shared" si="99"/>
        <v>0</v>
      </c>
      <c r="Q2117" s="1">
        <f t="shared" si="100"/>
        <v>0</v>
      </c>
      <c r="R2117" s="1" t="e">
        <f t="shared" si="101"/>
        <v>#DIV/0!</v>
      </c>
    </row>
    <row r="2118" spans="1:18">
      <c r="A2118" s="1">
        <v>2</v>
      </c>
      <c r="B2118" s="1" t="str">
        <f>"قطعات و لوازم يدكي"</f>
        <v>قطعات و لوازم يدكي</v>
      </c>
      <c r="C2118" s="1">
        <v>120</v>
      </c>
      <c r="D2118" s="1" t="str">
        <f>"انبار قطعات و لوازم يدكي بشکه سازي اصفهان"</f>
        <v>انبار قطعات و لوازم يدكي بشکه سازي اصفهان</v>
      </c>
      <c r="E2118" s="1" t="str">
        <f>"4211700003"</f>
        <v>4211700003</v>
      </c>
      <c r="F2118" s="1" t="str">
        <f>"فيلتر هواي ليفتراک (داخلي و بيروني)"</f>
        <v>فيلتر هواي ليفتراک (داخلي و بيروني)</v>
      </c>
      <c r="G2118" s="1" t="str">
        <f>"عدد"</f>
        <v>عدد</v>
      </c>
      <c r="H2118" s="1">
        <v>0</v>
      </c>
      <c r="I2118" s="1">
        <v>0</v>
      </c>
      <c r="J2118" s="1">
        <v>1</v>
      </c>
      <c r="K2118" s="1">
        <v>400000</v>
      </c>
      <c r="L2118" s="1">
        <v>0</v>
      </c>
      <c r="M2118" s="1">
        <v>0</v>
      </c>
      <c r="O2118" s="1">
        <v>97</v>
      </c>
      <c r="P2118" s="4">
        <f t="shared" si="99"/>
        <v>400000</v>
      </c>
      <c r="Q2118" s="4">
        <f t="shared" si="100"/>
        <v>1</v>
      </c>
      <c r="R2118" s="4">
        <f t="shared" si="101"/>
        <v>400000</v>
      </c>
    </row>
    <row r="2119" spans="1:18">
      <c r="A2119" s="1">
        <v>2</v>
      </c>
      <c r="B2119" s="1" t="str">
        <f>"قطعات و لوازم يدكي"</f>
        <v>قطعات و لوازم يدكي</v>
      </c>
      <c r="C2119" s="1">
        <v>120</v>
      </c>
      <c r="D2119" s="1" t="str">
        <f>"انبار قطعات و لوازم يدكي بشکه سازي اصفهان"</f>
        <v>انبار قطعات و لوازم يدكي بشکه سازي اصفهان</v>
      </c>
      <c r="E2119" s="1" t="str">
        <f>"4211700006"</f>
        <v>4211700006</v>
      </c>
      <c r="F2119" s="1" t="str">
        <f>"فيلتر گازوئيل روماني تراکتور"</f>
        <v>فيلتر گازوئيل روماني تراکتور</v>
      </c>
      <c r="G2119" s="1" t="str">
        <f>"عدد"</f>
        <v>عدد</v>
      </c>
      <c r="H2119" s="1">
        <v>0</v>
      </c>
      <c r="I2119" s="1">
        <v>0</v>
      </c>
      <c r="J2119" s="1">
        <v>8</v>
      </c>
      <c r="K2119" s="1">
        <v>3200000</v>
      </c>
      <c r="L2119" s="1">
        <v>1</v>
      </c>
      <c r="M2119" s="1">
        <v>400000</v>
      </c>
      <c r="O2119" s="1">
        <v>97</v>
      </c>
      <c r="P2119" s="4">
        <f t="shared" si="99"/>
        <v>2800000</v>
      </c>
      <c r="Q2119" s="4">
        <f t="shared" si="100"/>
        <v>7</v>
      </c>
      <c r="R2119" s="4">
        <f t="shared" si="101"/>
        <v>400000</v>
      </c>
    </row>
    <row r="2120" spans="1:18">
      <c r="A2120" s="1">
        <v>2</v>
      </c>
      <c r="B2120" s="1" t="str">
        <f>"قطعات و لوازم يدكي"</f>
        <v>قطعات و لوازم يدكي</v>
      </c>
      <c r="C2120" s="1">
        <v>120</v>
      </c>
      <c r="D2120" s="1" t="str">
        <f>"انبار قطعات و لوازم يدكي بشکه سازي اصفهان"</f>
        <v>انبار قطعات و لوازم يدكي بشکه سازي اصفهان</v>
      </c>
      <c r="E2120" s="1" t="str">
        <f>"4211700016"</f>
        <v>4211700016</v>
      </c>
      <c r="F2120" s="1" t="str">
        <f>"لاستيک و تيوپ ليفتراک 3 تن جلو 15*15*8"</f>
        <v>لاستيک و تيوپ ليفتراک 3 تن جلو 15*15*8</v>
      </c>
      <c r="G2120" s="1" t="str">
        <f>"حلقه"</f>
        <v>حلقه</v>
      </c>
      <c r="H2120" s="1">
        <v>0</v>
      </c>
      <c r="I2120" s="1">
        <v>0</v>
      </c>
      <c r="J2120" s="1">
        <v>12</v>
      </c>
      <c r="K2120" s="1">
        <v>112800000</v>
      </c>
      <c r="L2120" s="1">
        <v>8</v>
      </c>
      <c r="M2120" s="1">
        <v>75200000</v>
      </c>
      <c r="O2120" s="1">
        <v>97</v>
      </c>
      <c r="P2120" s="4">
        <f t="shared" si="99"/>
        <v>37600000</v>
      </c>
      <c r="Q2120" s="4">
        <f t="shared" si="100"/>
        <v>4</v>
      </c>
      <c r="R2120" s="4">
        <f t="shared" si="101"/>
        <v>9400000</v>
      </c>
    </row>
    <row r="2121" spans="1:18">
      <c r="A2121" s="1">
        <v>2</v>
      </c>
      <c r="B2121" s="1" t="str">
        <f>"قطعات و لوازم يدكي"</f>
        <v>قطعات و لوازم يدكي</v>
      </c>
      <c r="C2121" s="1">
        <v>120</v>
      </c>
      <c r="D2121" s="1" t="str">
        <f>"انبار قطعات و لوازم يدكي بشکه سازي اصفهان"</f>
        <v>انبار قطعات و لوازم يدكي بشکه سازي اصفهان</v>
      </c>
      <c r="E2121" s="1" t="str">
        <f>"4211700033"</f>
        <v>4211700033</v>
      </c>
      <c r="F2121" s="1" t="str">
        <f>"فنر قرمز 240*760 ميليمتر"</f>
        <v>فنر قرمز 240*760 ميليمتر</v>
      </c>
      <c r="G2121" s="1" t="str">
        <f>"عدد"</f>
        <v>عدد</v>
      </c>
      <c r="H2121" s="1">
        <v>0</v>
      </c>
      <c r="I2121" s="1">
        <v>0</v>
      </c>
      <c r="J2121" s="1">
        <v>4</v>
      </c>
      <c r="K2121" s="1">
        <v>500000</v>
      </c>
      <c r="L2121" s="1">
        <v>0</v>
      </c>
      <c r="M2121" s="1">
        <v>0</v>
      </c>
      <c r="O2121" s="1">
        <v>97</v>
      </c>
      <c r="P2121" s="4">
        <f t="shared" si="99"/>
        <v>500000</v>
      </c>
      <c r="Q2121" s="4">
        <f t="shared" si="100"/>
        <v>4</v>
      </c>
      <c r="R2121" s="4">
        <f t="shared" si="101"/>
        <v>125000</v>
      </c>
    </row>
    <row r="2122" spans="1:18">
      <c r="A2122" s="1">
        <v>2</v>
      </c>
      <c r="B2122" s="1" t="str">
        <f>"قطعات و لوازم يدكي"</f>
        <v>قطعات و لوازم يدكي</v>
      </c>
      <c r="C2122" s="1">
        <v>120</v>
      </c>
      <c r="D2122" s="1" t="str">
        <f>"انبار قطعات و لوازم يدكي بشکه سازي اصفهان"</f>
        <v>انبار قطعات و لوازم يدكي بشکه سازي اصفهان</v>
      </c>
      <c r="E2122" s="1" t="str">
        <f>"4211700039"</f>
        <v>4211700039</v>
      </c>
      <c r="F2122" s="1" t="str">
        <f>"شگل جرثقيل سايز هاي مختلف"</f>
        <v>شگل جرثقيل سايز هاي مختلف</v>
      </c>
      <c r="G2122" s="1" t="str">
        <f>"عدد"</f>
        <v>عدد</v>
      </c>
      <c r="H2122" s="1">
        <v>0</v>
      </c>
      <c r="I2122" s="1">
        <v>0</v>
      </c>
      <c r="J2122" s="1">
        <v>4</v>
      </c>
      <c r="K2122" s="1">
        <v>8000000</v>
      </c>
      <c r="L2122" s="1">
        <v>0</v>
      </c>
      <c r="M2122" s="1">
        <v>0</v>
      </c>
      <c r="O2122" s="1">
        <v>97</v>
      </c>
      <c r="P2122" s="4">
        <f t="shared" si="99"/>
        <v>8000000</v>
      </c>
      <c r="Q2122" s="4">
        <f t="shared" si="100"/>
        <v>4</v>
      </c>
      <c r="R2122" s="4">
        <f t="shared" si="101"/>
        <v>2000000</v>
      </c>
    </row>
    <row r="2123" spans="1:18">
      <c r="A2123" s="1">
        <v>2</v>
      </c>
      <c r="B2123" s="1" t="str">
        <f>"قطعات و لوازم يدكي"</f>
        <v>قطعات و لوازم يدكي</v>
      </c>
      <c r="C2123" s="1">
        <v>120</v>
      </c>
      <c r="D2123" s="1" t="str">
        <f>"انبار قطعات و لوازم يدكي بشکه سازي اصفهان"</f>
        <v>انبار قطعات و لوازم يدكي بشکه سازي اصفهان</v>
      </c>
      <c r="E2123" s="1" t="str">
        <f>"4211700050"</f>
        <v>4211700050</v>
      </c>
      <c r="F2123" s="1" t="str">
        <f>"بلبيرينگ 32206"</f>
        <v>بلبيرينگ 32206</v>
      </c>
      <c r="G2123" s="1" t="str">
        <f>"عدد"</f>
        <v>عدد</v>
      </c>
      <c r="H2123" s="1">
        <v>0</v>
      </c>
      <c r="I2123" s="1">
        <v>0</v>
      </c>
      <c r="J2123" s="1">
        <v>3</v>
      </c>
      <c r="K2123" s="1">
        <v>600000</v>
      </c>
      <c r="L2123" s="1">
        <v>0</v>
      </c>
      <c r="M2123" s="1">
        <v>0</v>
      </c>
      <c r="O2123" s="1">
        <v>97</v>
      </c>
      <c r="P2123" s="4">
        <f t="shared" si="99"/>
        <v>600000</v>
      </c>
      <c r="Q2123" s="4">
        <f t="shared" si="100"/>
        <v>3</v>
      </c>
      <c r="R2123" s="4">
        <f t="shared" si="101"/>
        <v>200000</v>
      </c>
    </row>
    <row r="2124" spans="1:18">
      <c r="A2124" s="1">
        <v>2</v>
      </c>
      <c r="B2124" s="1" t="str">
        <f>"قطعات و لوازم يدكي"</f>
        <v>قطعات و لوازم يدكي</v>
      </c>
      <c r="C2124" s="1">
        <v>120</v>
      </c>
      <c r="D2124" s="1" t="str">
        <f>"انبار قطعات و لوازم يدكي بشکه سازي اصفهان"</f>
        <v>انبار قطعات و لوازم يدكي بشکه سازي اصفهان</v>
      </c>
      <c r="E2124" s="1" t="str">
        <f>"4211700053"</f>
        <v>4211700053</v>
      </c>
      <c r="F2124" s="1" t="str">
        <f>"بلبيرينگ 6011"</f>
        <v>بلبيرينگ 6011</v>
      </c>
      <c r="G2124" s="1" t="str">
        <f>"عدد"</f>
        <v>عدد</v>
      </c>
      <c r="H2124" s="1">
        <v>0</v>
      </c>
      <c r="I2124" s="1">
        <v>0</v>
      </c>
      <c r="J2124" s="1">
        <v>2</v>
      </c>
      <c r="K2124" s="1">
        <v>580000</v>
      </c>
      <c r="L2124" s="1">
        <v>0</v>
      </c>
      <c r="M2124" s="1">
        <v>0</v>
      </c>
      <c r="O2124" s="1">
        <v>97</v>
      </c>
      <c r="P2124" s="4">
        <f t="shared" si="99"/>
        <v>580000</v>
      </c>
      <c r="Q2124" s="4">
        <f t="shared" si="100"/>
        <v>2</v>
      </c>
      <c r="R2124" s="4">
        <f t="shared" si="101"/>
        <v>290000</v>
      </c>
    </row>
    <row r="2125" spans="1:18">
      <c r="A2125" s="1">
        <v>2</v>
      </c>
      <c r="B2125" s="1" t="str">
        <f>"قطعات و لوازم يدكي"</f>
        <v>قطعات و لوازم يدكي</v>
      </c>
      <c r="C2125" s="1">
        <v>120</v>
      </c>
      <c r="D2125" s="1" t="str">
        <f>"انبار قطعات و لوازم يدكي بشکه سازي اصفهان"</f>
        <v>انبار قطعات و لوازم يدكي بشکه سازي اصفهان</v>
      </c>
      <c r="E2125" s="1" t="str">
        <f>"4211700054"</f>
        <v>4211700054</v>
      </c>
      <c r="F2125" s="1" t="str">
        <f>"بلبيرينگ 6207"</f>
        <v>بلبيرينگ 6207</v>
      </c>
      <c r="G2125" s="1" t="str">
        <f>"عدد"</f>
        <v>عدد</v>
      </c>
      <c r="H2125" s="1">
        <v>0</v>
      </c>
      <c r="I2125" s="1">
        <v>0</v>
      </c>
      <c r="J2125" s="1">
        <v>7</v>
      </c>
      <c r="K2125" s="1">
        <v>1295000</v>
      </c>
      <c r="L2125" s="1">
        <v>0</v>
      </c>
      <c r="M2125" s="1">
        <v>0</v>
      </c>
      <c r="O2125" s="1">
        <v>97</v>
      </c>
      <c r="P2125" s="4">
        <f t="shared" si="99"/>
        <v>1295000</v>
      </c>
      <c r="Q2125" s="4">
        <f t="shared" si="100"/>
        <v>7</v>
      </c>
      <c r="R2125" s="4">
        <f t="shared" si="101"/>
        <v>185000</v>
      </c>
    </row>
    <row r="2126" spans="1:18">
      <c r="A2126" s="1">
        <v>2</v>
      </c>
      <c r="B2126" s="1" t="str">
        <f>"قطعات و لوازم يدكي"</f>
        <v>قطعات و لوازم يدكي</v>
      </c>
      <c r="C2126" s="1">
        <v>120</v>
      </c>
      <c r="D2126" s="1" t="str">
        <f>"انبار قطعات و لوازم يدكي بشکه سازي اصفهان"</f>
        <v>انبار قطعات و لوازم يدكي بشکه سازي اصفهان</v>
      </c>
      <c r="E2126" s="1" t="str">
        <f>"4211700056"</f>
        <v>4211700056</v>
      </c>
      <c r="F2126" s="1" t="str">
        <f>"بلبيرينگ 6007"</f>
        <v>بلبيرينگ 6007</v>
      </c>
      <c r="G2126" s="1" t="str">
        <f>"عدد"</f>
        <v>عدد</v>
      </c>
      <c r="H2126" s="1">
        <v>0</v>
      </c>
      <c r="I2126" s="1">
        <v>0</v>
      </c>
      <c r="J2126" s="1">
        <v>3</v>
      </c>
      <c r="K2126" s="1">
        <v>600000</v>
      </c>
      <c r="L2126" s="1">
        <v>0</v>
      </c>
      <c r="M2126" s="1">
        <v>0</v>
      </c>
      <c r="O2126" s="1">
        <v>97</v>
      </c>
      <c r="P2126" s="4">
        <f t="shared" si="99"/>
        <v>600000</v>
      </c>
      <c r="Q2126" s="4">
        <f t="shared" si="100"/>
        <v>3</v>
      </c>
      <c r="R2126" s="4">
        <f t="shared" si="101"/>
        <v>200000</v>
      </c>
    </row>
    <row r="2127" spans="1:18">
      <c r="A2127" s="1">
        <v>2</v>
      </c>
      <c r="B2127" s="1" t="str">
        <f>"قطعات و لوازم يدكي"</f>
        <v>قطعات و لوازم يدكي</v>
      </c>
      <c r="C2127" s="1">
        <v>120</v>
      </c>
      <c r="D2127" s="1" t="str">
        <f>"انبار قطعات و لوازم يدكي بشکه سازي اصفهان"</f>
        <v>انبار قطعات و لوازم يدكي بشکه سازي اصفهان</v>
      </c>
      <c r="E2127" s="1" t="str">
        <f>"4211700057"</f>
        <v>4211700057</v>
      </c>
      <c r="F2127" s="1" t="str">
        <f>"بلبيرينگ پرس 160 تن"</f>
        <v>بلبيرينگ پرس 160 تن</v>
      </c>
      <c r="G2127" s="1" t="str">
        <f>"عدد"</f>
        <v>عدد</v>
      </c>
      <c r="H2127" s="1">
        <v>0</v>
      </c>
      <c r="I2127" s="1">
        <v>0</v>
      </c>
      <c r="J2127" s="1">
        <v>4</v>
      </c>
      <c r="K2127" s="1">
        <v>800000</v>
      </c>
      <c r="L2127" s="1">
        <v>0</v>
      </c>
      <c r="M2127" s="1">
        <v>0</v>
      </c>
      <c r="O2127" s="1">
        <v>97</v>
      </c>
      <c r="P2127" s="4">
        <f t="shared" si="99"/>
        <v>800000</v>
      </c>
      <c r="Q2127" s="4">
        <f t="shared" si="100"/>
        <v>4</v>
      </c>
      <c r="R2127" s="4">
        <f t="shared" si="101"/>
        <v>200000</v>
      </c>
    </row>
    <row r="2128" spans="1:18">
      <c r="A2128" s="1">
        <v>2</v>
      </c>
      <c r="B2128" s="1" t="str">
        <f>"قطعات و لوازم يدكي"</f>
        <v>قطعات و لوازم يدكي</v>
      </c>
      <c r="C2128" s="1">
        <v>120</v>
      </c>
      <c r="D2128" s="1" t="str">
        <f>"انبار قطعات و لوازم يدكي بشکه سازي اصفهان"</f>
        <v>انبار قطعات و لوازم يدكي بشکه سازي اصفهان</v>
      </c>
      <c r="E2128" s="1" t="str">
        <f>"4211700058"</f>
        <v>4211700058</v>
      </c>
      <c r="F2128" s="1" t="str">
        <f>"بلبيرينگ 6206"</f>
        <v>بلبيرينگ 6206</v>
      </c>
      <c r="G2128" s="1" t="str">
        <f>"عدد"</f>
        <v>عدد</v>
      </c>
      <c r="H2128" s="1">
        <v>0</v>
      </c>
      <c r="I2128" s="1">
        <v>0</v>
      </c>
      <c r="J2128" s="1">
        <v>4</v>
      </c>
      <c r="K2128" s="1">
        <v>800000</v>
      </c>
      <c r="L2128" s="1">
        <v>1</v>
      </c>
      <c r="M2128" s="1">
        <v>200000</v>
      </c>
      <c r="O2128" s="1">
        <v>97</v>
      </c>
      <c r="P2128" s="4">
        <f t="shared" si="99"/>
        <v>600000</v>
      </c>
      <c r="Q2128" s="4">
        <f t="shared" si="100"/>
        <v>3</v>
      </c>
      <c r="R2128" s="4">
        <f t="shared" si="101"/>
        <v>200000</v>
      </c>
    </row>
    <row r="2129" spans="1:18">
      <c r="A2129" s="1">
        <v>2</v>
      </c>
      <c r="B2129" s="1" t="str">
        <f>"قطعات و لوازم يدكي"</f>
        <v>قطعات و لوازم يدكي</v>
      </c>
      <c r="C2129" s="1">
        <v>120</v>
      </c>
      <c r="D2129" s="1" t="str">
        <f>"انبار قطعات و لوازم يدكي بشکه سازي اصفهان"</f>
        <v>انبار قطعات و لوازم يدكي بشکه سازي اصفهان</v>
      </c>
      <c r="E2129" s="1" t="str">
        <f>"4211700061"</f>
        <v>4211700061</v>
      </c>
      <c r="F2129" s="1" t="str">
        <f>"بلبيرينگ 6014"</f>
        <v>بلبيرينگ 6014</v>
      </c>
      <c r="G2129" s="1" t="str">
        <f>"عدد"</f>
        <v>عدد</v>
      </c>
      <c r="H2129" s="1">
        <v>0</v>
      </c>
      <c r="I2129" s="1">
        <v>0</v>
      </c>
      <c r="J2129" s="1">
        <v>2</v>
      </c>
      <c r="K2129" s="1">
        <v>400000</v>
      </c>
      <c r="L2129" s="1">
        <v>0</v>
      </c>
      <c r="M2129" s="1">
        <v>0</v>
      </c>
      <c r="O2129" s="1">
        <v>97</v>
      </c>
      <c r="P2129" s="4">
        <f t="shared" si="99"/>
        <v>400000</v>
      </c>
      <c r="Q2129" s="4">
        <f t="shared" si="100"/>
        <v>2</v>
      </c>
      <c r="R2129" s="4">
        <f t="shared" si="101"/>
        <v>200000</v>
      </c>
    </row>
    <row r="2130" spans="1:18">
      <c r="A2130" s="1">
        <v>2</v>
      </c>
      <c r="B2130" s="1" t="str">
        <f>"قطعات و لوازم يدكي"</f>
        <v>قطعات و لوازم يدكي</v>
      </c>
      <c r="C2130" s="1">
        <v>120</v>
      </c>
      <c r="D2130" s="1" t="str">
        <f>"انبار قطعات و لوازم يدكي بشکه سازي اصفهان"</f>
        <v>انبار قطعات و لوازم يدكي بشکه سازي اصفهان</v>
      </c>
      <c r="E2130" s="1" t="str">
        <f>"4211700072"</f>
        <v>4211700072</v>
      </c>
      <c r="F2130" s="1" t="str">
        <f>"بلبرينگ 6202/16"</f>
        <v>بلبرينگ 6202/16</v>
      </c>
      <c r="G2130" s="1" t="str">
        <f>"عدد"</f>
        <v>عدد</v>
      </c>
      <c r="H2130" s="1">
        <v>0</v>
      </c>
      <c r="I2130" s="1">
        <v>0</v>
      </c>
      <c r="J2130" s="1">
        <v>7</v>
      </c>
      <c r="K2130" s="1">
        <v>1400000</v>
      </c>
      <c r="L2130" s="1">
        <v>0</v>
      </c>
      <c r="M2130" s="1">
        <v>0</v>
      </c>
      <c r="O2130" s="1">
        <v>97</v>
      </c>
      <c r="P2130" s="4">
        <f t="shared" si="99"/>
        <v>1400000</v>
      </c>
      <c r="Q2130" s="4">
        <f t="shared" si="100"/>
        <v>7</v>
      </c>
      <c r="R2130" s="4">
        <f t="shared" si="101"/>
        <v>200000</v>
      </c>
    </row>
    <row r="2131" spans="1:18">
      <c r="A2131" s="1">
        <v>2</v>
      </c>
      <c r="B2131" s="1" t="str">
        <f>"قطعات و لوازم يدكي"</f>
        <v>قطعات و لوازم يدكي</v>
      </c>
      <c r="C2131" s="1">
        <v>120</v>
      </c>
      <c r="D2131" s="1" t="str">
        <f>"انبار قطعات و لوازم يدكي بشکه سازي اصفهان"</f>
        <v>انبار قطعات و لوازم يدكي بشکه سازي اصفهان</v>
      </c>
      <c r="E2131" s="1" t="str">
        <f>"4211700106"</f>
        <v>4211700106</v>
      </c>
      <c r="F2131" s="1" t="str">
        <f>"هزار خار تفلوني اتومات"</f>
        <v>هزار خار تفلوني اتومات</v>
      </c>
      <c r="G2131" s="1" t="str">
        <f>"عدد"</f>
        <v>عدد</v>
      </c>
      <c r="H2131" s="1">
        <v>0</v>
      </c>
      <c r="I2131" s="1">
        <v>0</v>
      </c>
      <c r="J2131" s="1">
        <v>3</v>
      </c>
      <c r="K2131" s="1">
        <v>600000</v>
      </c>
      <c r="L2131" s="1">
        <v>0</v>
      </c>
      <c r="M2131" s="1">
        <v>0</v>
      </c>
      <c r="O2131" s="1">
        <v>97</v>
      </c>
      <c r="P2131" s="4">
        <f t="shared" si="99"/>
        <v>600000</v>
      </c>
      <c r="Q2131" s="4">
        <f t="shared" si="100"/>
        <v>3</v>
      </c>
      <c r="R2131" s="4">
        <f t="shared" si="101"/>
        <v>200000</v>
      </c>
    </row>
    <row r="2132" spans="1:18">
      <c r="A2132" s="1">
        <v>2</v>
      </c>
      <c r="B2132" s="1" t="str">
        <f>"قطعات و لوازم يدكي"</f>
        <v>قطعات و لوازم يدكي</v>
      </c>
      <c r="C2132" s="1">
        <v>120</v>
      </c>
      <c r="D2132" s="1" t="str">
        <f>"انبار قطعات و لوازم يدكي بشکه سازي اصفهان"</f>
        <v>انبار قطعات و لوازم يدكي بشکه سازي اصفهان</v>
      </c>
      <c r="E2132" s="1" t="str">
        <f>"4211700107"</f>
        <v>4211700107</v>
      </c>
      <c r="F2132" s="1" t="str">
        <f>"سيلندر جک 100*80"</f>
        <v>سيلندر جک 100*80</v>
      </c>
      <c r="G2132" s="1" t="str">
        <f>"عدد"</f>
        <v>عدد</v>
      </c>
      <c r="H2132" s="1">
        <v>0</v>
      </c>
      <c r="I2132" s="1">
        <v>0</v>
      </c>
      <c r="J2132" s="1">
        <v>2</v>
      </c>
      <c r="K2132" s="1">
        <v>1000000</v>
      </c>
      <c r="L2132" s="1">
        <v>0</v>
      </c>
      <c r="M2132" s="1">
        <v>0</v>
      </c>
      <c r="O2132" s="1">
        <v>97</v>
      </c>
      <c r="P2132" s="4">
        <f t="shared" si="99"/>
        <v>1000000</v>
      </c>
      <c r="Q2132" s="4">
        <f t="shared" si="100"/>
        <v>2</v>
      </c>
      <c r="R2132" s="4">
        <f t="shared" si="101"/>
        <v>500000</v>
      </c>
    </row>
    <row r="2133" spans="1:18">
      <c r="A2133" s="1">
        <v>2</v>
      </c>
      <c r="B2133" s="1" t="str">
        <f>"قطعات و لوازم يدكي"</f>
        <v>قطعات و لوازم يدكي</v>
      </c>
      <c r="C2133" s="1">
        <v>120</v>
      </c>
      <c r="D2133" s="1" t="str">
        <f>"انبار قطعات و لوازم يدكي بشکه سازي اصفهان"</f>
        <v>انبار قطعات و لوازم يدكي بشکه سازي اصفهان</v>
      </c>
      <c r="E2133" s="1" t="str">
        <f>"4211700116"</f>
        <v>4211700116</v>
      </c>
      <c r="F2133" s="1" t="str">
        <f>"جک پنوماتيک 100-25-50"</f>
        <v>جک پنوماتيک 100-25-50</v>
      </c>
      <c r="G2133" s="1" t="str">
        <f>"عدد"</f>
        <v>عدد</v>
      </c>
      <c r="H2133" s="1">
        <v>0</v>
      </c>
      <c r="I2133" s="1">
        <v>0</v>
      </c>
      <c r="J2133" s="1">
        <v>1</v>
      </c>
      <c r="K2133" s="1">
        <v>1150000</v>
      </c>
      <c r="L2133" s="1">
        <v>0</v>
      </c>
      <c r="M2133" s="1">
        <v>0</v>
      </c>
      <c r="O2133" s="1">
        <v>97</v>
      </c>
      <c r="P2133" s="4">
        <f t="shared" si="99"/>
        <v>1150000</v>
      </c>
      <c r="Q2133" s="4">
        <f t="shared" si="100"/>
        <v>1</v>
      </c>
      <c r="R2133" s="4">
        <f t="shared" si="101"/>
        <v>1150000</v>
      </c>
    </row>
    <row r="2134" spans="1:18">
      <c r="A2134" s="1">
        <v>2</v>
      </c>
      <c r="B2134" s="1" t="str">
        <f>"قطعات و لوازم يدكي"</f>
        <v>قطعات و لوازم يدكي</v>
      </c>
      <c r="C2134" s="1">
        <v>120</v>
      </c>
      <c r="D2134" s="1" t="str">
        <f>"انبار قطعات و لوازم يدكي بشکه سازي اصفهان"</f>
        <v>انبار قطعات و لوازم يدكي بشکه سازي اصفهان</v>
      </c>
      <c r="E2134" s="1" t="str">
        <f>"4211700131"</f>
        <v>4211700131</v>
      </c>
      <c r="F2134" s="1" t="str">
        <f>"تسمه B33"</f>
        <v>تسمه B33</v>
      </c>
      <c r="G2134" s="1" t="str">
        <f>"عدد"</f>
        <v>عدد</v>
      </c>
      <c r="H2134" s="1">
        <v>0</v>
      </c>
      <c r="I2134" s="1">
        <v>0</v>
      </c>
      <c r="J2134" s="1">
        <v>5</v>
      </c>
      <c r="K2134" s="1">
        <v>800000</v>
      </c>
      <c r="L2134" s="1">
        <v>0</v>
      </c>
      <c r="M2134" s="1">
        <v>0</v>
      </c>
      <c r="O2134" s="1">
        <v>97</v>
      </c>
      <c r="P2134" s="4">
        <f t="shared" si="99"/>
        <v>800000</v>
      </c>
      <c r="Q2134" s="4">
        <f t="shared" si="100"/>
        <v>5</v>
      </c>
      <c r="R2134" s="4">
        <f t="shared" si="101"/>
        <v>160000</v>
      </c>
    </row>
    <row r="2135" spans="1:18">
      <c r="A2135" s="1">
        <v>2</v>
      </c>
      <c r="B2135" s="1" t="str">
        <f>"قطعات و لوازم يدكي"</f>
        <v>قطعات و لوازم يدكي</v>
      </c>
      <c r="C2135" s="1">
        <v>120</v>
      </c>
      <c r="D2135" s="1" t="str">
        <f>"انبار قطعات و لوازم يدكي بشکه سازي اصفهان"</f>
        <v>انبار قطعات و لوازم يدكي بشکه سازي اصفهان</v>
      </c>
      <c r="E2135" s="1" t="str">
        <f>"4211700139"</f>
        <v>4211700139</v>
      </c>
      <c r="F2135" s="1" t="str">
        <f>"شافت آج زن جوش اتومات"</f>
        <v>شافت آج زن جوش اتومات</v>
      </c>
      <c r="G2135" s="1" t="str">
        <f>"عدد"</f>
        <v>عدد</v>
      </c>
      <c r="H2135" s="1">
        <v>0</v>
      </c>
      <c r="I2135" s="1">
        <v>0</v>
      </c>
      <c r="J2135" s="1">
        <v>2</v>
      </c>
      <c r="K2135" s="1">
        <v>2000000</v>
      </c>
      <c r="L2135" s="1">
        <v>0</v>
      </c>
      <c r="M2135" s="1">
        <v>0</v>
      </c>
      <c r="O2135" s="1">
        <v>97</v>
      </c>
      <c r="P2135" s="4">
        <f t="shared" si="99"/>
        <v>2000000</v>
      </c>
      <c r="Q2135" s="4">
        <f t="shared" si="100"/>
        <v>2</v>
      </c>
      <c r="R2135" s="4">
        <f t="shared" si="101"/>
        <v>1000000</v>
      </c>
    </row>
    <row r="2136" spans="1:18">
      <c r="A2136" s="1">
        <v>2</v>
      </c>
      <c r="B2136" s="1" t="str">
        <f>"قطعات و لوازم يدكي"</f>
        <v>قطعات و لوازم يدكي</v>
      </c>
      <c r="C2136" s="1">
        <v>120</v>
      </c>
      <c r="D2136" s="1" t="str">
        <f>"انبار قطعات و لوازم يدكي بشکه سازي اصفهان"</f>
        <v>انبار قطعات و لوازم يدكي بشکه سازي اصفهان</v>
      </c>
      <c r="E2136" s="1" t="str">
        <f>"4211700143"</f>
        <v>4211700143</v>
      </c>
      <c r="F2136" s="1" t="str">
        <f>"کاسه نمد چرخ جلو تراکتور 285"</f>
        <v>کاسه نمد چرخ جلو تراکتور 285</v>
      </c>
      <c r="G2136" s="1" t="str">
        <f>"عدد"</f>
        <v>عدد</v>
      </c>
      <c r="H2136" s="1">
        <v>0</v>
      </c>
      <c r="I2136" s="1">
        <v>0</v>
      </c>
      <c r="J2136" s="1">
        <v>5</v>
      </c>
      <c r="K2136" s="1">
        <v>600000</v>
      </c>
      <c r="L2136" s="1">
        <v>0</v>
      </c>
      <c r="M2136" s="1">
        <v>0</v>
      </c>
      <c r="O2136" s="1">
        <v>97</v>
      </c>
      <c r="P2136" s="4">
        <f t="shared" si="99"/>
        <v>600000</v>
      </c>
      <c r="Q2136" s="4">
        <f t="shared" si="100"/>
        <v>5</v>
      </c>
      <c r="R2136" s="4">
        <f t="shared" si="101"/>
        <v>120000</v>
      </c>
    </row>
    <row r="2137" spans="1:18">
      <c r="A2137" s="1">
        <v>2</v>
      </c>
      <c r="B2137" s="1" t="str">
        <f>"قطعات و لوازم يدكي"</f>
        <v>قطعات و لوازم يدكي</v>
      </c>
      <c r="C2137" s="1">
        <v>120</v>
      </c>
      <c r="D2137" s="1" t="str">
        <f>"انبار قطعات و لوازم يدكي بشکه سازي اصفهان"</f>
        <v>انبار قطعات و لوازم يدكي بشکه سازي اصفهان</v>
      </c>
      <c r="E2137" s="1" t="str">
        <f>"4211700144"</f>
        <v>4211700144</v>
      </c>
      <c r="F2137" s="1" t="str">
        <f>"بلبرينگ 6208"</f>
        <v>بلبرينگ 6208</v>
      </c>
      <c r="G2137" s="1" t="str">
        <f>"عدد"</f>
        <v>عدد</v>
      </c>
      <c r="H2137" s="1">
        <v>0</v>
      </c>
      <c r="I2137" s="1">
        <v>0</v>
      </c>
      <c r="J2137" s="1">
        <v>8</v>
      </c>
      <c r="K2137" s="1">
        <v>13600000</v>
      </c>
      <c r="L2137" s="1">
        <v>0</v>
      </c>
      <c r="M2137" s="1">
        <v>0</v>
      </c>
      <c r="O2137" s="1">
        <v>97</v>
      </c>
      <c r="P2137" s="4">
        <f t="shared" si="99"/>
        <v>13600000</v>
      </c>
      <c r="Q2137" s="4">
        <f t="shared" si="100"/>
        <v>8</v>
      </c>
      <c r="R2137" s="4">
        <f t="shared" si="101"/>
        <v>1700000</v>
      </c>
    </row>
    <row r="2138" spans="1:18">
      <c r="A2138" s="1">
        <v>2</v>
      </c>
      <c r="B2138" s="1" t="str">
        <f>"قطعات و لوازم يدكي"</f>
        <v>قطعات و لوازم يدكي</v>
      </c>
      <c r="C2138" s="1">
        <v>120</v>
      </c>
      <c r="D2138" s="1" t="str">
        <f>"انبار قطعات و لوازم يدكي بشکه سازي اصفهان"</f>
        <v>انبار قطعات و لوازم يدكي بشکه سازي اصفهان</v>
      </c>
      <c r="E2138" s="1" t="str">
        <f>"4211700186"</f>
        <v>4211700186</v>
      </c>
      <c r="F2138" s="1" t="str">
        <f>"کوپلينگ 31*73"</f>
        <v>کوپلينگ 31*73</v>
      </c>
      <c r="G2138" s="1" t="str">
        <f>"عدد"</f>
        <v>عدد</v>
      </c>
      <c r="H2138" s="1">
        <v>0</v>
      </c>
      <c r="I2138" s="1">
        <v>0</v>
      </c>
      <c r="J2138" s="1">
        <v>9</v>
      </c>
      <c r="K2138" s="1">
        <v>360000</v>
      </c>
      <c r="L2138" s="1">
        <v>0</v>
      </c>
      <c r="M2138" s="1">
        <v>0</v>
      </c>
      <c r="O2138" s="1">
        <v>97</v>
      </c>
      <c r="P2138" s="4">
        <f t="shared" si="99"/>
        <v>360000</v>
      </c>
      <c r="Q2138" s="4">
        <f t="shared" si="100"/>
        <v>9</v>
      </c>
      <c r="R2138" s="4">
        <f t="shared" si="101"/>
        <v>40000</v>
      </c>
    </row>
    <row r="2139" spans="1:18">
      <c r="A2139" s="1">
        <v>2</v>
      </c>
      <c r="B2139" s="1" t="str">
        <f>"قطعات و لوازم يدكي"</f>
        <v>قطعات و لوازم يدكي</v>
      </c>
      <c r="C2139" s="1">
        <v>120</v>
      </c>
      <c r="D2139" s="1" t="str">
        <f>"انبار قطعات و لوازم يدكي بشکه سازي اصفهان"</f>
        <v>انبار قطعات و لوازم يدكي بشکه سازي اصفهان</v>
      </c>
      <c r="E2139" s="1" t="str">
        <f>"4211700189"</f>
        <v>4211700189</v>
      </c>
      <c r="F2139" s="1" t="str">
        <f>"گيج هوا 1/4 ده بار"</f>
        <v>گيج هوا 1/4 ده بار</v>
      </c>
      <c r="G2139" s="1" t="str">
        <f>"عدد"</f>
        <v>عدد</v>
      </c>
      <c r="H2139" s="1">
        <v>0</v>
      </c>
      <c r="I2139" s="1">
        <v>0</v>
      </c>
      <c r="J2139" s="1">
        <v>4</v>
      </c>
      <c r="K2139" s="1">
        <v>1000000</v>
      </c>
      <c r="L2139" s="1">
        <v>0</v>
      </c>
      <c r="M2139" s="1">
        <v>0</v>
      </c>
      <c r="O2139" s="1">
        <v>97</v>
      </c>
      <c r="P2139" s="4">
        <f t="shared" si="99"/>
        <v>1000000</v>
      </c>
      <c r="Q2139" s="4">
        <f t="shared" si="100"/>
        <v>4</v>
      </c>
      <c r="R2139" s="4">
        <f t="shared" si="101"/>
        <v>250000</v>
      </c>
    </row>
    <row r="2140" spans="1:18">
      <c r="A2140" s="1">
        <v>2</v>
      </c>
      <c r="B2140" s="1" t="str">
        <f>"قطعات و لوازم يدكي"</f>
        <v>قطعات و لوازم يدكي</v>
      </c>
      <c r="C2140" s="1">
        <v>120</v>
      </c>
      <c r="D2140" s="1" t="str">
        <f>"انبار قطعات و لوازم يدكي بشکه سازي اصفهان"</f>
        <v>انبار قطعات و لوازم يدكي بشکه سازي اصفهان</v>
      </c>
      <c r="E2140" s="1" t="str">
        <f>"4211700193"</f>
        <v>4211700193</v>
      </c>
      <c r="F2140" s="1" t="str">
        <f>"فيلتر گيربکس"</f>
        <v>فيلتر گيربکس</v>
      </c>
      <c r="G2140" s="1" t="str">
        <f>"عدد"</f>
        <v>عدد</v>
      </c>
      <c r="H2140" s="1">
        <v>0</v>
      </c>
      <c r="I2140" s="1">
        <v>0</v>
      </c>
      <c r="J2140" s="1">
        <v>2</v>
      </c>
      <c r="K2140" s="1">
        <v>900000</v>
      </c>
      <c r="L2140" s="1">
        <v>0</v>
      </c>
      <c r="M2140" s="1">
        <v>0</v>
      </c>
      <c r="O2140" s="1">
        <v>97</v>
      </c>
      <c r="P2140" s="4">
        <f t="shared" si="99"/>
        <v>900000</v>
      </c>
      <c r="Q2140" s="4">
        <f t="shared" si="100"/>
        <v>2</v>
      </c>
      <c r="R2140" s="4">
        <f t="shared" si="101"/>
        <v>450000</v>
      </c>
    </row>
    <row r="2141" spans="1:18">
      <c r="A2141" s="1">
        <v>2</v>
      </c>
      <c r="B2141" s="1" t="str">
        <f>"قطعات و لوازم يدكي"</f>
        <v>قطعات و لوازم يدكي</v>
      </c>
      <c r="C2141" s="1">
        <v>120</v>
      </c>
      <c r="D2141" s="1" t="str">
        <f>"انبار قطعات و لوازم يدكي بشکه سازي اصفهان"</f>
        <v>انبار قطعات و لوازم يدكي بشکه سازي اصفهان</v>
      </c>
      <c r="E2141" s="1" t="str">
        <f>"4211700201"</f>
        <v>4211700201</v>
      </c>
      <c r="F2141" s="1" t="str">
        <f>"تسمه B 114"</f>
        <v>تسمه B 114</v>
      </c>
      <c r="G2141" s="1" t="str">
        <f>"عدد"</f>
        <v>عدد</v>
      </c>
      <c r="H2141" s="1">
        <v>0</v>
      </c>
      <c r="I2141" s="1">
        <v>0</v>
      </c>
      <c r="J2141" s="1">
        <v>3</v>
      </c>
      <c r="K2141" s="1">
        <v>1275000</v>
      </c>
      <c r="L2141" s="1">
        <v>0</v>
      </c>
      <c r="M2141" s="1">
        <v>0</v>
      </c>
      <c r="O2141" s="1">
        <v>97</v>
      </c>
      <c r="P2141" s="4">
        <f t="shared" si="99"/>
        <v>1275000</v>
      </c>
      <c r="Q2141" s="4">
        <f t="shared" si="100"/>
        <v>3</v>
      </c>
      <c r="R2141" s="4">
        <f t="shared" si="101"/>
        <v>425000</v>
      </c>
    </row>
    <row r="2142" spans="1:18">
      <c r="A2142" s="1">
        <v>2</v>
      </c>
      <c r="B2142" s="1" t="str">
        <f>"قطعات و لوازم يدكي"</f>
        <v>قطعات و لوازم يدكي</v>
      </c>
      <c r="C2142" s="1">
        <v>120</v>
      </c>
      <c r="D2142" s="1" t="str">
        <f>"انبار قطعات و لوازم يدكي بشکه سازي اصفهان"</f>
        <v>انبار قطعات و لوازم يدكي بشکه سازي اصفهان</v>
      </c>
      <c r="E2142" s="1" t="str">
        <f>"4311700005"</f>
        <v>4311700005</v>
      </c>
      <c r="F2142" s="1" t="str">
        <f>"اسپري رنگ آبي"</f>
        <v>اسپري رنگ آبي</v>
      </c>
      <c r="G2142" s="1" t="str">
        <f>"عدد"</f>
        <v>عدد</v>
      </c>
      <c r="H2142" s="1">
        <v>0</v>
      </c>
      <c r="I2142" s="1">
        <v>0</v>
      </c>
      <c r="J2142" s="1">
        <v>15</v>
      </c>
      <c r="K2142" s="1">
        <v>420000</v>
      </c>
      <c r="L2142" s="1">
        <v>2</v>
      </c>
      <c r="M2142" s="1">
        <v>56000</v>
      </c>
      <c r="O2142" s="1">
        <v>97</v>
      </c>
      <c r="P2142" s="4">
        <f t="shared" si="99"/>
        <v>364000</v>
      </c>
      <c r="Q2142" s="4">
        <f t="shared" si="100"/>
        <v>13</v>
      </c>
      <c r="R2142" s="4">
        <f t="shared" si="101"/>
        <v>28000</v>
      </c>
    </row>
    <row r="2143" spans="1:18">
      <c r="A2143" s="1">
        <v>2</v>
      </c>
      <c r="B2143" s="1" t="str">
        <f>"قطعات و لوازم يدكي"</f>
        <v>قطعات و لوازم يدكي</v>
      </c>
      <c r="C2143" s="1">
        <v>120</v>
      </c>
      <c r="D2143" s="1" t="str">
        <f>"انبار قطعات و لوازم يدكي بشکه سازي اصفهان"</f>
        <v>انبار قطعات و لوازم يدكي بشکه سازي اصفهان</v>
      </c>
      <c r="E2143" s="1" t="str">
        <f>"4311700009"</f>
        <v>4311700009</v>
      </c>
      <c r="F2143" s="1" t="str">
        <f>"تسمه بسته بندي"</f>
        <v>تسمه بسته بندي</v>
      </c>
      <c r="G2143" s="1" t="str">
        <f>"رول"</f>
        <v>رول</v>
      </c>
      <c r="H2143" s="1">
        <v>0</v>
      </c>
      <c r="I2143" s="1">
        <v>0</v>
      </c>
      <c r="J2143" s="1">
        <v>3</v>
      </c>
      <c r="K2143" s="1">
        <v>600000</v>
      </c>
      <c r="L2143" s="1">
        <v>0</v>
      </c>
      <c r="M2143" s="1">
        <v>0</v>
      </c>
      <c r="O2143" s="1">
        <v>97</v>
      </c>
      <c r="P2143" s="4">
        <f t="shared" si="99"/>
        <v>600000</v>
      </c>
      <c r="Q2143" s="4">
        <f t="shared" si="100"/>
        <v>3</v>
      </c>
      <c r="R2143" s="4">
        <f t="shared" si="101"/>
        <v>200000</v>
      </c>
    </row>
    <row r="2144" spans="1:18">
      <c r="A2144" s="1">
        <v>2</v>
      </c>
      <c r="B2144" s="1" t="str">
        <f>"قطعات و لوازم يدكي"</f>
        <v>قطعات و لوازم يدكي</v>
      </c>
      <c r="C2144" s="1">
        <v>120</v>
      </c>
      <c r="D2144" s="1" t="str">
        <f>"انبار قطعات و لوازم يدكي بشکه سازي اصفهان"</f>
        <v>انبار قطعات و لوازم يدكي بشکه سازي اصفهان</v>
      </c>
      <c r="E2144" s="1" t="str">
        <f>"4311700020"</f>
        <v>4311700020</v>
      </c>
      <c r="F2144" s="1" t="str">
        <f>"مته آهن سايز 6"</f>
        <v>مته آهن سايز 6</v>
      </c>
      <c r="G2144" s="1" t="str">
        <f>"عدد"</f>
        <v>عدد</v>
      </c>
      <c r="H2144" s="1">
        <v>0</v>
      </c>
      <c r="I2144" s="1">
        <v>0</v>
      </c>
      <c r="J2144" s="1">
        <v>10</v>
      </c>
      <c r="K2144" s="1">
        <v>390000</v>
      </c>
      <c r="L2144" s="1">
        <v>1</v>
      </c>
      <c r="M2144" s="1">
        <v>39000</v>
      </c>
      <c r="O2144" s="1">
        <v>97</v>
      </c>
      <c r="P2144" s="4">
        <f t="shared" si="99"/>
        <v>351000</v>
      </c>
      <c r="Q2144" s="4">
        <f t="shared" si="100"/>
        <v>9</v>
      </c>
      <c r="R2144" s="4">
        <f t="shared" si="101"/>
        <v>39000</v>
      </c>
    </row>
    <row r="2145" spans="1:18">
      <c r="A2145" s="1">
        <v>2</v>
      </c>
      <c r="B2145" s="1" t="str">
        <f>"قطعات و لوازم يدكي"</f>
        <v>قطعات و لوازم يدكي</v>
      </c>
      <c r="C2145" s="1">
        <v>120</v>
      </c>
      <c r="D2145" s="1" t="str">
        <f>"انبار قطعات و لوازم يدكي بشکه سازي اصفهان"</f>
        <v>انبار قطعات و لوازم يدكي بشکه سازي اصفهان</v>
      </c>
      <c r="E2145" s="1" t="str">
        <f>"4311700025"</f>
        <v>4311700025</v>
      </c>
      <c r="F2145" s="1" t="str">
        <f>"مته آهن سايز 16"</f>
        <v>مته آهن سايز 16</v>
      </c>
      <c r="G2145" s="1" t="str">
        <f>"عدد"</f>
        <v>عدد</v>
      </c>
      <c r="H2145" s="1">
        <v>0</v>
      </c>
      <c r="I2145" s="1">
        <v>0</v>
      </c>
      <c r="J2145" s="1">
        <v>34</v>
      </c>
      <c r="K2145" s="1">
        <v>1020000</v>
      </c>
      <c r="L2145" s="1">
        <v>0</v>
      </c>
      <c r="M2145" s="1">
        <v>0</v>
      </c>
      <c r="O2145" s="1">
        <v>97</v>
      </c>
      <c r="P2145" s="4">
        <f t="shared" si="99"/>
        <v>1020000</v>
      </c>
      <c r="Q2145" s="4">
        <f t="shared" si="100"/>
        <v>34</v>
      </c>
      <c r="R2145" s="4">
        <f t="shared" si="101"/>
        <v>30000</v>
      </c>
    </row>
    <row r="2146" spans="1:18">
      <c r="A2146" s="1">
        <v>2</v>
      </c>
      <c r="B2146" s="1" t="str">
        <f>"قطعات و لوازم يدكي"</f>
        <v>قطعات و لوازم يدكي</v>
      </c>
      <c r="C2146" s="1">
        <v>120</v>
      </c>
      <c r="D2146" s="1" t="str">
        <f>"انبار قطعات و لوازم يدكي بشکه سازي اصفهان"</f>
        <v>انبار قطعات و لوازم يدكي بشکه سازي اصفهان</v>
      </c>
      <c r="E2146" s="1" t="str">
        <f>"4311700028"</f>
        <v>4311700028</v>
      </c>
      <c r="F2146" s="1" t="str">
        <f>"مته الماسه سايز 10"</f>
        <v>مته الماسه سايز 10</v>
      </c>
      <c r="G2146" s="1" t="str">
        <f>"عدد"</f>
        <v>عدد</v>
      </c>
      <c r="H2146" s="1">
        <v>0</v>
      </c>
      <c r="I2146" s="1">
        <v>0</v>
      </c>
      <c r="J2146" s="1">
        <v>2</v>
      </c>
      <c r="K2146" s="1">
        <v>60000</v>
      </c>
      <c r="L2146" s="1">
        <v>0</v>
      </c>
      <c r="M2146" s="1">
        <v>0</v>
      </c>
      <c r="O2146" s="1">
        <v>97</v>
      </c>
      <c r="P2146" s="4">
        <f t="shared" si="99"/>
        <v>60000</v>
      </c>
      <c r="Q2146" s="4">
        <f t="shared" si="100"/>
        <v>2</v>
      </c>
      <c r="R2146" s="4">
        <f t="shared" si="101"/>
        <v>30000</v>
      </c>
    </row>
    <row r="2147" spans="1:18">
      <c r="A2147" s="1">
        <v>2</v>
      </c>
      <c r="B2147" s="1" t="str">
        <f>"قطعات و لوازم يدكي"</f>
        <v>قطعات و لوازم يدكي</v>
      </c>
      <c r="C2147" s="1">
        <v>120</v>
      </c>
      <c r="D2147" s="1" t="str">
        <f>"انبار قطعات و لوازم يدكي بشکه سازي اصفهان"</f>
        <v>انبار قطعات و لوازم يدكي بشکه سازي اصفهان</v>
      </c>
      <c r="E2147" s="1" t="str">
        <f>"4311700032"</f>
        <v>4311700032</v>
      </c>
      <c r="F2147" s="1" t="str">
        <f>"صفحه برش ميني سنگ (استيل بر )"</f>
        <v>صفحه برش ميني سنگ (استيل بر )</v>
      </c>
      <c r="G2147" s="1" t="str">
        <f>"عدد"</f>
        <v>عدد</v>
      </c>
      <c r="H2147" s="1">
        <v>0</v>
      </c>
      <c r="I2147" s="1">
        <v>0</v>
      </c>
      <c r="J2147" s="1">
        <v>115</v>
      </c>
      <c r="K2147" s="1">
        <v>3565000</v>
      </c>
      <c r="L2147" s="1">
        <v>0</v>
      </c>
      <c r="M2147" s="1">
        <v>0</v>
      </c>
      <c r="O2147" s="1">
        <v>97</v>
      </c>
      <c r="P2147" s="4">
        <f t="shared" si="99"/>
        <v>3565000</v>
      </c>
      <c r="Q2147" s="4">
        <f t="shared" si="100"/>
        <v>115</v>
      </c>
      <c r="R2147" s="4">
        <f t="shared" si="101"/>
        <v>31000</v>
      </c>
    </row>
    <row r="2148" spans="1:18">
      <c r="A2148" s="1">
        <v>8</v>
      </c>
      <c r="B2148" s="1" t="str">
        <f>"ساير موجودي هاي مواد اوليه"</f>
        <v>ساير موجودي هاي مواد اوليه</v>
      </c>
      <c r="C2148" s="1">
        <v>105</v>
      </c>
      <c r="D2148" s="1" t="str">
        <f>"انبار بوشهر"</f>
        <v>انبار بوشهر</v>
      </c>
      <c r="E2148" s="1" t="str">
        <f>"1000000020"</f>
        <v>1000000020</v>
      </c>
      <c r="F2148" s="1" t="str">
        <f>"ميعانات گازي S500(كاندنسيت)"</f>
        <v>ميعانات گازي S500(كاندنسيت)</v>
      </c>
      <c r="G2148" s="1" t="str">
        <f>"كيلوگرم"</f>
        <v>كيلوگرم</v>
      </c>
      <c r="H2148" s="1">
        <v>28000</v>
      </c>
      <c r="I2148" s="1">
        <v>365787703</v>
      </c>
      <c r="J2148" s="1">
        <v>0</v>
      </c>
      <c r="K2148" s="1">
        <v>0</v>
      </c>
      <c r="L2148" s="1">
        <v>0</v>
      </c>
      <c r="M2148" s="1">
        <v>0</v>
      </c>
      <c r="O2148" s="1">
        <v>97</v>
      </c>
      <c r="P2148" s="4">
        <f t="shared" si="99"/>
        <v>365787703</v>
      </c>
      <c r="Q2148" s="4">
        <f t="shared" si="100"/>
        <v>28000</v>
      </c>
      <c r="R2148" s="4">
        <f t="shared" si="101"/>
        <v>13063.846535714285</v>
      </c>
    </row>
    <row r="2149" spans="1:18" hidden="1">
      <c r="A2149" s="1">
        <v>9</v>
      </c>
      <c r="B2149" s="1" t="str">
        <f>"موجودي داراييهاي ثابت نزد انبار"</f>
        <v>موجودي داراييهاي ثابت نزد انبار</v>
      </c>
      <c r="C2149" s="1">
        <v>117</v>
      </c>
      <c r="D2149" s="1" t="str">
        <f>"انبار دارايي ثابت اصفهان"</f>
        <v>انبار دارايي ثابت اصفهان</v>
      </c>
      <c r="E2149" s="1" t="str">
        <f>"1301021352"</f>
        <v>1301021352</v>
      </c>
      <c r="F2149" s="1" t="str">
        <f>"کمد فلزي 6 درب"</f>
        <v>کمد فلزي 6 درب</v>
      </c>
      <c r="G2149" s="1" t="str">
        <f>"عدد"</f>
        <v>عدد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O2149" s="1">
        <v>97</v>
      </c>
      <c r="P2149" s="1">
        <f t="shared" si="99"/>
        <v>0</v>
      </c>
      <c r="Q2149" s="1">
        <f t="shared" si="100"/>
        <v>0</v>
      </c>
      <c r="R2149" s="1" t="e">
        <f t="shared" si="101"/>
        <v>#DIV/0!</v>
      </c>
    </row>
    <row r="2150" spans="1:18">
      <c r="A2150" s="1">
        <v>9</v>
      </c>
      <c r="B2150" s="1" t="str">
        <f>"موجودي داراييهاي ثابت نزد انبار"</f>
        <v>موجودي داراييهاي ثابت نزد انبار</v>
      </c>
      <c r="C2150" s="1">
        <v>117</v>
      </c>
      <c r="D2150" s="1" t="str">
        <f>"انبار دارايي ثابت اصفهان"</f>
        <v>انبار دارايي ثابت اصفهان</v>
      </c>
      <c r="E2150" s="1" t="str">
        <f>"1301021372"</f>
        <v>1301021372</v>
      </c>
      <c r="F2150" s="1" t="str">
        <f>"دستگاه ارلس"</f>
        <v>دستگاه ارلس</v>
      </c>
      <c r="G2150" s="1" t="str">
        <f>"دستگاه"</f>
        <v>دستگاه</v>
      </c>
      <c r="H2150" s="1">
        <v>1</v>
      </c>
      <c r="I2150" s="1">
        <v>199400000</v>
      </c>
      <c r="J2150" s="1">
        <v>0</v>
      </c>
      <c r="K2150" s="1">
        <v>0</v>
      </c>
      <c r="L2150" s="1">
        <v>0</v>
      </c>
      <c r="M2150" s="1">
        <v>0</v>
      </c>
      <c r="O2150" s="1">
        <v>97</v>
      </c>
      <c r="P2150" s="4">
        <f t="shared" si="99"/>
        <v>199400000</v>
      </c>
      <c r="Q2150" s="4">
        <f t="shared" si="100"/>
        <v>1</v>
      </c>
      <c r="R2150" s="4">
        <f t="shared" si="101"/>
        <v>199400000</v>
      </c>
    </row>
    <row r="2151" spans="1:18" hidden="1">
      <c r="A2151" s="1">
        <v>9</v>
      </c>
      <c r="B2151" s="1" t="str">
        <f>"موجودي داراييهاي ثابت نزد انبار"</f>
        <v>موجودي داراييهاي ثابت نزد انبار</v>
      </c>
      <c r="C2151" s="1">
        <v>117</v>
      </c>
      <c r="D2151" s="1" t="str">
        <f>"انبار دارايي ثابت اصفهان"</f>
        <v>انبار دارايي ثابت اصفهان</v>
      </c>
      <c r="E2151" s="1" t="str">
        <f>"6001010023"</f>
        <v>6001010023</v>
      </c>
      <c r="F2151" s="1" t="str">
        <f>"Visco Scope Sensor Marimex VA-300L-ST."</f>
        <v>Visco Scope Sensor Marimex VA-300L-ST.</v>
      </c>
      <c r="G2151" s="1" t="str">
        <f>"عدد"</f>
        <v>عدد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O2151" s="1">
        <v>97</v>
      </c>
      <c r="P2151" s="1">
        <f t="shared" si="99"/>
        <v>0</v>
      </c>
      <c r="Q2151" s="1">
        <f t="shared" si="100"/>
        <v>0</v>
      </c>
      <c r="R2151" s="1" t="e">
        <f t="shared" si="101"/>
        <v>#DIV/0!</v>
      </c>
    </row>
    <row r="2152" spans="1:18" hidden="1">
      <c r="A2152" s="1">
        <v>9</v>
      </c>
      <c r="B2152" s="1" t="str">
        <f>"موجودي داراييهاي ثابت نزد انبار"</f>
        <v>موجودي داراييهاي ثابت نزد انبار</v>
      </c>
      <c r="C2152" s="1">
        <v>119</v>
      </c>
      <c r="D2152" s="1" t="str">
        <f>"انبار دارايي ثابت تهران"</f>
        <v>انبار دارايي ثابت تهران</v>
      </c>
      <c r="E2152" s="1" t="str">
        <f>"0000009033"</f>
        <v>0000009033</v>
      </c>
      <c r="F2152" s="1" t="str">
        <f>"Monitor Samsung S20C325"</f>
        <v>Monitor Samsung S20C325</v>
      </c>
      <c r="G2152" s="1" t="str">
        <f>"دستگاه"</f>
        <v>دستگاه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O2152" s="1">
        <v>97</v>
      </c>
      <c r="P2152" s="1">
        <f t="shared" si="99"/>
        <v>0</v>
      </c>
      <c r="Q2152" s="1">
        <f t="shared" si="100"/>
        <v>0</v>
      </c>
      <c r="R2152" s="1" t="e">
        <f t="shared" si="101"/>
        <v>#DIV/0!</v>
      </c>
    </row>
    <row r="2153" spans="1:18" hidden="1">
      <c r="A2153" s="1">
        <v>9</v>
      </c>
      <c r="B2153" s="1" t="str">
        <f>"موجودي داراييهاي ثابت نزد انبار"</f>
        <v>موجودي داراييهاي ثابت نزد انبار</v>
      </c>
      <c r="C2153" s="1">
        <v>119</v>
      </c>
      <c r="D2153" s="1" t="str">
        <f>"انبار دارايي ثابت تهران"</f>
        <v>انبار دارايي ثابت تهران</v>
      </c>
      <c r="E2153" s="1" t="str">
        <f>"0000009041"</f>
        <v>0000009041</v>
      </c>
      <c r="F2153" s="1" t="str">
        <f>"ميز L  کارشناسي ماهان مدل M601"</f>
        <v>ميز L  کارشناسي ماهان مدل M601</v>
      </c>
      <c r="G2153" s="1" t="str">
        <f>"عدد"</f>
        <v>عدد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O2153" s="1">
        <v>97</v>
      </c>
      <c r="P2153" s="1">
        <f t="shared" si="99"/>
        <v>0</v>
      </c>
      <c r="Q2153" s="1">
        <f t="shared" si="100"/>
        <v>0</v>
      </c>
      <c r="R2153" s="1" t="e">
        <f t="shared" si="101"/>
        <v>#DIV/0!</v>
      </c>
    </row>
    <row r="2154" spans="1:18" hidden="1">
      <c r="A2154" s="1">
        <v>9</v>
      </c>
      <c r="B2154" s="1" t="str">
        <f>"موجودي داراييهاي ثابت نزد انبار"</f>
        <v>موجودي داراييهاي ثابت نزد انبار</v>
      </c>
      <c r="C2154" s="1">
        <v>119</v>
      </c>
      <c r="D2154" s="1" t="str">
        <f>"انبار دارايي ثابت تهران"</f>
        <v>انبار دارايي ثابت تهران</v>
      </c>
      <c r="E2154" s="1" t="str">
        <f>"0000009185"</f>
        <v>0000009185</v>
      </c>
      <c r="F2154" s="1" t="str">
        <f>"KTTVM200 Voiceprossesor"</f>
        <v>KTTVM200 Voiceprossesor</v>
      </c>
      <c r="G2154" s="1" t="str">
        <f>"عدد"</f>
        <v>عدد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O2154" s="1">
        <v>97</v>
      </c>
      <c r="P2154" s="1">
        <f t="shared" si="99"/>
        <v>0</v>
      </c>
      <c r="Q2154" s="1">
        <f t="shared" si="100"/>
        <v>0</v>
      </c>
      <c r="R2154" s="1" t="e">
        <f t="shared" si="101"/>
        <v>#DIV/0!</v>
      </c>
    </row>
    <row r="2155" spans="1:18" hidden="1">
      <c r="A2155" s="1">
        <v>9</v>
      </c>
      <c r="B2155" s="1" t="str">
        <f>"موجودي داراييهاي ثابت نزد انبار"</f>
        <v>موجودي داراييهاي ثابت نزد انبار</v>
      </c>
      <c r="C2155" s="1">
        <v>119</v>
      </c>
      <c r="D2155" s="1" t="str">
        <f>"انبار دارايي ثابت تهران"</f>
        <v>انبار دارايي ثابت تهران</v>
      </c>
      <c r="E2155" s="1" t="str">
        <f>"0000009521"</f>
        <v>0000009521</v>
      </c>
      <c r="F2155" s="1" t="str">
        <f>"گرمکن غذا"</f>
        <v>گرمکن غذا</v>
      </c>
      <c r="G2155" s="1" t="str">
        <f>"دستگاه"</f>
        <v>دستگاه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O2155" s="1">
        <v>97</v>
      </c>
      <c r="P2155" s="1">
        <f t="shared" si="99"/>
        <v>0</v>
      </c>
      <c r="Q2155" s="1">
        <f t="shared" si="100"/>
        <v>0</v>
      </c>
      <c r="R2155" s="1" t="e">
        <f t="shared" si="101"/>
        <v>#DIV/0!</v>
      </c>
    </row>
    <row r="2156" spans="1:18" hidden="1">
      <c r="A2156" s="1">
        <v>9</v>
      </c>
      <c r="B2156" s="1" t="str">
        <f>"موجودي داراييهاي ثابت نزد انبار"</f>
        <v>موجودي داراييهاي ثابت نزد انبار</v>
      </c>
      <c r="C2156" s="1">
        <v>119</v>
      </c>
      <c r="D2156" s="1" t="str">
        <f>"انبار دارايي ثابت تهران"</f>
        <v>انبار دارايي ثابت تهران</v>
      </c>
      <c r="E2156" s="1" t="str">
        <f>"0000009538"</f>
        <v>0000009538</v>
      </c>
      <c r="F2156" s="1" t="str">
        <f>"printer hp laserjet m426 DN"</f>
        <v>printer hp laserjet m426 DN</v>
      </c>
      <c r="G2156" s="1" t="str">
        <f>"دستگاه"</f>
        <v>دستگاه</v>
      </c>
      <c r="H2156" s="1">
        <v>0</v>
      </c>
      <c r="I2156" s="1">
        <v>0</v>
      </c>
      <c r="J2156" s="1">
        <v>2</v>
      </c>
      <c r="K2156" s="1">
        <v>46000000</v>
      </c>
      <c r="L2156" s="1">
        <v>2</v>
      </c>
      <c r="M2156" s="1">
        <v>46000000</v>
      </c>
      <c r="O2156" s="1">
        <v>97</v>
      </c>
      <c r="P2156" s="1">
        <f t="shared" si="99"/>
        <v>0</v>
      </c>
      <c r="Q2156" s="1">
        <f t="shared" si="100"/>
        <v>0</v>
      </c>
      <c r="R2156" s="1" t="e">
        <f t="shared" si="101"/>
        <v>#DIV/0!</v>
      </c>
    </row>
    <row r="2157" spans="1:18">
      <c r="A2157" s="1">
        <v>2</v>
      </c>
      <c r="B2157" s="1" t="str">
        <f>"قطعات و لوازم يدكي"</f>
        <v>قطعات و لوازم يدكي</v>
      </c>
      <c r="C2157" s="1">
        <v>120</v>
      </c>
      <c r="D2157" s="1" t="str">
        <f>"انبار قطعات و لوازم يدكي بشکه سازي اصفهان"</f>
        <v>انبار قطعات و لوازم يدكي بشکه سازي اصفهان</v>
      </c>
      <c r="E2157" s="1" t="str">
        <f>"4311700035"</f>
        <v>4311700035</v>
      </c>
      <c r="F2157" s="1" t="str">
        <f>"صفحه سمباده سنگ بزرگ"</f>
        <v>صفحه سمباده سنگ بزرگ</v>
      </c>
      <c r="G2157" s="1" t="str">
        <f>"عدد"</f>
        <v>عدد</v>
      </c>
      <c r="H2157" s="1">
        <v>0</v>
      </c>
      <c r="I2157" s="1">
        <v>0</v>
      </c>
      <c r="J2157" s="1">
        <v>32</v>
      </c>
      <c r="K2157" s="1">
        <v>1792000</v>
      </c>
      <c r="L2157" s="1">
        <v>0</v>
      </c>
      <c r="M2157" s="1">
        <v>0</v>
      </c>
      <c r="O2157" s="1">
        <v>97</v>
      </c>
      <c r="P2157" s="4">
        <f t="shared" si="99"/>
        <v>1792000</v>
      </c>
      <c r="Q2157" s="4">
        <f t="shared" si="100"/>
        <v>32</v>
      </c>
      <c r="R2157" s="4">
        <f t="shared" si="101"/>
        <v>56000</v>
      </c>
    </row>
    <row r="2158" spans="1:18">
      <c r="A2158" s="1">
        <v>2</v>
      </c>
      <c r="B2158" s="1" t="str">
        <f>"قطعات و لوازم يدكي"</f>
        <v>قطعات و لوازم يدكي</v>
      </c>
      <c r="C2158" s="1">
        <v>120</v>
      </c>
      <c r="D2158" s="1" t="str">
        <f>"انبار قطعات و لوازم يدكي بشکه سازي اصفهان"</f>
        <v>انبار قطعات و لوازم يدكي بشکه سازي اصفهان</v>
      </c>
      <c r="E2158" s="1" t="str">
        <f>"4311700044"</f>
        <v>4311700044</v>
      </c>
      <c r="F2158" s="1" t="str">
        <f>"نوار تفلن کوچک"</f>
        <v>نوار تفلن کوچک</v>
      </c>
      <c r="G2158" s="1" t="str">
        <f>"عدد"</f>
        <v>عدد</v>
      </c>
      <c r="H2158" s="1">
        <v>0</v>
      </c>
      <c r="I2158" s="1">
        <v>0</v>
      </c>
      <c r="J2158" s="1">
        <v>143</v>
      </c>
      <c r="K2158" s="1">
        <v>715000</v>
      </c>
      <c r="L2158" s="1">
        <v>5</v>
      </c>
      <c r="M2158" s="1">
        <v>25000</v>
      </c>
      <c r="O2158" s="1">
        <v>97</v>
      </c>
      <c r="P2158" s="4">
        <f t="shared" si="99"/>
        <v>690000</v>
      </c>
      <c r="Q2158" s="4">
        <f t="shared" si="100"/>
        <v>138</v>
      </c>
      <c r="R2158" s="4">
        <f t="shared" si="101"/>
        <v>5000</v>
      </c>
    </row>
    <row r="2159" spans="1:18">
      <c r="A2159" s="1">
        <v>2</v>
      </c>
      <c r="B2159" s="1" t="str">
        <f>"قطعات و لوازم يدكي"</f>
        <v>قطعات و لوازم يدكي</v>
      </c>
      <c r="C2159" s="1">
        <v>120</v>
      </c>
      <c r="D2159" s="1" t="str">
        <f>"انبار قطعات و لوازم يدكي بشکه سازي اصفهان"</f>
        <v>انبار قطعات و لوازم يدكي بشکه سازي اصفهان</v>
      </c>
      <c r="E2159" s="1" t="str">
        <f>"4311700076"</f>
        <v>4311700076</v>
      </c>
      <c r="F2159" s="1" t="str">
        <f>"اورينگ 80*3"</f>
        <v>اورينگ 80*3</v>
      </c>
      <c r="G2159" s="1" t="str">
        <f>"عدد"</f>
        <v>عدد</v>
      </c>
      <c r="H2159" s="1">
        <v>0</v>
      </c>
      <c r="I2159" s="1">
        <v>0</v>
      </c>
      <c r="J2159" s="1">
        <v>1</v>
      </c>
      <c r="K2159" s="1">
        <v>5000</v>
      </c>
      <c r="L2159" s="1">
        <v>0</v>
      </c>
      <c r="M2159" s="1">
        <v>0</v>
      </c>
      <c r="O2159" s="1">
        <v>97</v>
      </c>
      <c r="P2159" s="4">
        <f t="shared" si="99"/>
        <v>5000</v>
      </c>
      <c r="Q2159" s="4">
        <f t="shared" si="100"/>
        <v>1</v>
      </c>
      <c r="R2159" s="4">
        <f t="shared" si="101"/>
        <v>5000</v>
      </c>
    </row>
    <row r="2160" spans="1:18">
      <c r="A2160" s="1">
        <v>2</v>
      </c>
      <c r="B2160" s="1" t="str">
        <f>"قطعات و لوازم يدكي"</f>
        <v>قطعات و لوازم يدكي</v>
      </c>
      <c r="C2160" s="1">
        <v>120</v>
      </c>
      <c r="D2160" s="1" t="str">
        <f>"انبار قطعات و لوازم يدكي بشکه سازي اصفهان"</f>
        <v>انبار قطعات و لوازم يدكي بشکه سازي اصفهان</v>
      </c>
      <c r="E2160" s="1" t="str">
        <f>"4311700077"</f>
        <v>4311700077</v>
      </c>
      <c r="F2160" s="1" t="str">
        <f>"اورينگ 75* 3 و 2"</f>
        <v>اورينگ 75* 3 و 2</v>
      </c>
      <c r="G2160" s="1" t="str">
        <f>"عدد"</f>
        <v>عدد</v>
      </c>
      <c r="H2160" s="1">
        <v>0</v>
      </c>
      <c r="I2160" s="1">
        <v>0</v>
      </c>
      <c r="J2160" s="1">
        <v>1</v>
      </c>
      <c r="K2160" s="1">
        <v>5000</v>
      </c>
      <c r="L2160" s="1">
        <v>0</v>
      </c>
      <c r="M2160" s="1">
        <v>0</v>
      </c>
      <c r="O2160" s="1">
        <v>97</v>
      </c>
      <c r="P2160" s="4">
        <f t="shared" si="99"/>
        <v>5000</v>
      </c>
      <c r="Q2160" s="4">
        <f t="shared" si="100"/>
        <v>1</v>
      </c>
      <c r="R2160" s="4">
        <f t="shared" si="101"/>
        <v>5000</v>
      </c>
    </row>
    <row r="2161" spans="1:18">
      <c r="A2161" s="1">
        <v>2</v>
      </c>
      <c r="B2161" s="1" t="str">
        <f>"قطعات و لوازم يدكي"</f>
        <v>قطعات و لوازم يدكي</v>
      </c>
      <c r="C2161" s="1">
        <v>120</v>
      </c>
      <c r="D2161" s="1" t="str">
        <f>"انبار قطعات و لوازم يدكي بشکه سازي اصفهان"</f>
        <v>انبار قطعات و لوازم يدكي بشکه سازي اصفهان</v>
      </c>
      <c r="E2161" s="1" t="str">
        <f>"4311700086"</f>
        <v>4311700086</v>
      </c>
      <c r="F2161" s="1" t="str">
        <f>"اورينگ 200*2/5"</f>
        <v>اورينگ 200*2/5</v>
      </c>
      <c r="G2161" s="1" t="str">
        <f>"عدد"</f>
        <v>عدد</v>
      </c>
      <c r="H2161" s="1">
        <v>0</v>
      </c>
      <c r="I2161" s="1">
        <v>0</v>
      </c>
      <c r="J2161" s="1">
        <v>8</v>
      </c>
      <c r="K2161" s="1">
        <v>256000</v>
      </c>
      <c r="L2161" s="1">
        <v>0</v>
      </c>
      <c r="M2161" s="1">
        <v>0</v>
      </c>
      <c r="O2161" s="1">
        <v>97</v>
      </c>
      <c r="P2161" s="4">
        <f t="shared" si="99"/>
        <v>256000</v>
      </c>
      <c r="Q2161" s="4">
        <f t="shared" si="100"/>
        <v>8</v>
      </c>
      <c r="R2161" s="4">
        <f t="shared" si="101"/>
        <v>32000</v>
      </c>
    </row>
    <row r="2162" spans="1:18">
      <c r="A2162" s="1">
        <v>2</v>
      </c>
      <c r="B2162" s="1" t="str">
        <f>"قطعات و لوازم يدكي"</f>
        <v>قطعات و لوازم يدكي</v>
      </c>
      <c r="C2162" s="1">
        <v>120</v>
      </c>
      <c r="D2162" s="1" t="str">
        <f>"انبار قطعات و لوازم يدكي بشکه سازي اصفهان"</f>
        <v>انبار قطعات و لوازم يدكي بشکه سازي اصفهان</v>
      </c>
      <c r="E2162" s="1" t="str">
        <f>"4311700088"</f>
        <v>4311700088</v>
      </c>
      <c r="F2162" s="1" t="str">
        <f>"اورينگ 160*7"</f>
        <v>اورينگ 160*7</v>
      </c>
      <c r="G2162" s="1" t="str">
        <f>"عدد"</f>
        <v>عدد</v>
      </c>
      <c r="H2162" s="1">
        <v>0</v>
      </c>
      <c r="I2162" s="1">
        <v>0</v>
      </c>
      <c r="J2162" s="1">
        <v>6</v>
      </c>
      <c r="K2162" s="1">
        <v>60000</v>
      </c>
      <c r="L2162" s="1">
        <v>0</v>
      </c>
      <c r="M2162" s="1">
        <v>0</v>
      </c>
      <c r="O2162" s="1">
        <v>97</v>
      </c>
      <c r="P2162" s="4">
        <f t="shared" si="99"/>
        <v>60000</v>
      </c>
      <c r="Q2162" s="4">
        <f t="shared" si="100"/>
        <v>6</v>
      </c>
      <c r="R2162" s="4">
        <f t="shared" si="101"/>
        <v>10000</v>
      </c>
    </row>
    <row r="2163" spans="1:18">
      <c r="A2163" s="1">
        <v>2</v>
      </c>
      <c r="B2163" s="1" t="str">
        <f>"قطعات و لوازم يدكي"</f>
        <v>قطعات و لوازم يدكي</v>
      </c>
      <c r="C2163" s="1">
        <v>120</v>
      </c>
      <c r="D2163" s="1" t="str">
        <f>"انبار قطعات و لوازم يدكي بشکه سازي اصفهان"</f>
        <v>انبار قطعات و لوازم يدكي بشکه سازي اصفهان</v>
      </c>
      <c r="E2163" s="1" t="str">
        <f>"4311700098"</f>
        <v>4311700098</v>
      </c>
      <c r="F2163" s="1" t="str">
        <f>"ماسوره سري گاز"</f>
        <v>ماسوره سري گاز</v>
      </c>
      <c r="G2163" s="1" t="str">
        <f>"عدد"</f>
        <v>عدد</v>
      </c>
      <c r="H2163" s="1">
        <v>0</v>
      </c>
      <c r="I2163" s="1">
        <v>0</v>
      </c>
      <c r="J2163" s="1">
        <v>13</v>
      </c>
      <c r="K2163" s="1">
        <v>390000</v>
      </c>
      <c r="L2163" s="1">
        <v>10</v>
      </c>
      <c r="M2163" s="1">
        <v>300000</v>
      </c>
      <c r="O2163" s="1">
        <v>97</v>
      </c>
      <c r="P2163" s="4">
        <f t="shared" si="99"/>
        <v>90000</v>
      </c>
      <c r="Q2163" s="4">
        <f t="shared" si="100"/>
        <v>3</v>
      </c>
      <c r="R2163" s="4">
        <f t="shared" si="101"/>
        <v>30000</v>
      </c>
    </row>
    <row r="2164" spans="1:18">
      <c r="A2164" s="1">
        <v>2</v>
      </c>
      <c r="B2164" s="1" t="str">
        <f>"قطعات و لوازم يدكي"</f>
        <v>قطعات و لوازم يدكي</v>
      </c>
      <c r="C2164" s="1">
        <v>120</v>
      </c>
      <c r="D2164" s="1" t="str">
        <f>"انبار قطعات و لوازم يدكي بشکه سازي اصفهان"</f>
        <v>انبار قطعات و لوازم يدكي بشکه سازي اصفهان</v>
      </c>
      <c r="E2164" s="1" t="str">
        <f>"4311700105"</f>
        <v>4311700105</v>
      </c>
      <c r="F2164" s="1" t="str">
        <f>"شير گازي 2 اينچ."</f>
        <v>شير گازي 2 اينچ.</v>
      </c>
      <c r="G2164" s="1" t="str">
        <f>"عدد"</f>
        <v>عدد</v>
      </c>
      <c r="H2164" s="1">
        <v>0</v>
      </c>
      <c r="I2164" s="1">
        <v>0</v>
      </c>
      <c r="J2164" s="1">
        <v>1</v>
      </c>
      <c r="K2164" s="1">
        <v>500000</v>
      </c>
      <c r="L2164" s="1">
        <v>0</v>
      </c>
      <c r="M2164" s="1">
        <v>0</v>
      </c>
      <c r="O2164" s="1">
        <v>97</v>
      </c>
      <c r="P2164" s="4">
        <f t="shared" si="99"/>
        <v>500000</v>
      </c>
      <c r="Q2164" s="4">
        <f t="shared" si="100"/>
        <v>1</v>
      </c>
      <c r="R2164" s="4">
        <f t="shared" si="101"/>
        <v>500000</v>
      </c>
    </row>
    <row r="2165" spans="1:18">
      <c r="A2165" s="1">
        <v>2</v>
      </c>
      <c r="B2165" s="1" t="str">
        <f>"قطعات و لوازم يدكي"</f>
        <v>قطعات و لوازم يدكي</v>
      </c>
      <c r="C2165" s="1">
        <v>120</v>
      </c>
      <c r="D2165" s="1" t="str">
        <f>"انبار قطعات و لوازم يدكي بشکه سازي اصفهان"</f>
        <v>انبار قطعات و لوازم يدكي بشکه سازي اصفهان</v>
      </c>
      <c r="E2165" s="1" t="str">
        <f>"4311700106"</f>
        <v>4311700106</v>
      </c>
      <c r="F2165" s="1" t="str">
        <f>"بلت سايز 16*20"</f>
        <v>بلت سايز 16*20</v>
      </c>
      <c r="G2165" s="1" t="str">
        <f>"عدد"</f>
        <v>عدد</v>
      </c>
      <c r="H2165" s="1">
        <v>0</v>
      </c>
      <c r="I2165" s="1">
        <v>0</v>
      </c>
      <c r="J2165" s="1">
        <v>4</v>
      </c>
      <c r="K2165" s="1">
        <v>40000</v>
      </c>
      <c r="L2165" s="1">
        <v>0</v>
      </c>
      <c r="M2165" s="1">
        <v>0</v>
      </c>
      <c r="O2165" s="1">
        <v>97</v>
      </c>
      <c r="P2165" s="4">
        <f t="shared" si="99"/>
        <v>40000</v>
      </c>
      <c r="Q2165" s="4">
        <f t="shared" si="100"/>
        <v>4</v>
      </c>
      <c r="R2165" s="4">
        <f t="shared" si="101"/>
        <v>10000</v>
      </c>
    </row>
    <row r="2166" spans="1:18">
      <c r="A2166" s="1">
        <v>2</v>
      </c>
      <c r="B2166" s="1" t="str">
        <f>"قطعات و لوازم يدكي"</f>
        <v>قطعات و لوازم يدكي</v>
      </c>
      <c r="C2166" s="1">
        <v>120</v>
      </c>
      <c r="D2166" s="1" t="str">
        <f>"انبار قطعات و لوازم يدكي بشکه سازي اصفهان"</f>
        <v>انبار قطعات و لوازم يدكي بشکه سازي اصفهان</v>
      </c>
      <c r="E2166" s="1" t="str">
        <f>"4311700109"</f>
        <v>4311700109</v>
      </c>
      <c r="F2166" s="1" t="str">
        <f>"پيچ سر متهخ 8 سانتي"</f>
        <v>پيچ سر متهخ 8 سانتي</v>
      </c>
      <c r="G2166" s="1" t="str">
        <f>"عدد"</f>
        <v>عدد</v>
      </c>
      <c r="H2166" s="1">
        <v>0</v>
      </c>
      <c r="I2166" s="1">
        <v>0</v>
      </c>
      <c r="J2166" s="1">
        <v>12</v>
      </c>
      <c r="K2166" s="1">
        <v>24000</v>
      </c>
      <c r="L2166" s="1">
        <v>0</v>
      </c>
      <c r="M2166" s="1">
        <v>0</v>
      </c>
      <c r="O2166" s="1">
        <v>97</v>
      </c>
      <c r="P2166" s="4">
        <f t="shared" si="99"/>
        <v>24000</v>
      </c>
      <c r="Q2166" s="4">
        <f t="shared" si="100"/>
        <v>12</v>
      </c>
      <c r="R2166" s="4">
        <f t="shared" si="101"/>
        <v>2000</v>
      </c>
    </row>
    <row r="2167" spans="1:18">
      <c r="A2167" s="1">
        <v>2</v>
      </c>
      <c r="B2167" s="1" t="str">
        <f>"قطعات و لوازم يدكي"</f>
        <v>قطعات و لوازم يدكي</v>
      </c>
      <c r="C2167" s="1">
        <v>120</v>
      </c>
      <c r="D2167" s="1" t="str">
        <f>"انبار قطعات و لوازم يدكي بشکه سازي اصفهان"</f>
        <v>انبار قطعات و لوازم يدكي بشکه سازي اصفهان</v>
      </c>
      <c r="E2167" s="1" t="str">
        <f>"4311700122"</f>
        <v>4311700122</v>
      </c>
      <c r="F2167" s="1" t="str">
        <f>"پيچ 15* M10"</f>
        <v>پيچ 15* M10</v>
      </c>
      <c r="G2167" s="1" t="str">
        <f>"عدد"</f>
        <v>عدد</v>
      </c>
      <c r="H2167" s="1">
        <v>0</v>
      </c>
      <c r="I2167" s="1">
        <v>0</v>
      </c>
      <c r="J2167" s="1">
        <v>10</v>
      </c>
      <c r="K2167" s="1">
        <v>25000</v>
      </c>
      <c r="L2167" s="1">
        <v>0</v>
      </c>
      <c r="M2167" s="1">
        <v>0</v>
      </c>
      <c r="O2167" s="1">
        <v>97</v>
      </c>
      <c r="P2167" s="4">
        <f t="shared" si="99"/>
        <v>25000</v>
      </c>
      <c r="Q2167" s="4">
        <f t="shared" si="100"/>
        <v>10</v>
      </c>
      <c r="R2167" s="4">
        <f t="shared" si="101"/>
        <v>2500</v>
      </c>
    </row>
    <row r="2168" spans="1:18">
      <c r="A2168" s="1">
        <v>2</v>
      </c>
      <c r="B2168" s="1" t="str">
        <f>"قطعات و لوازم يدكي"</f>
        <v>قطعات و لوازم يدكي</v>
      </c>
      <c r="C2168" s="1">
        <v>120</v>
      </c>
      <c r="D2168" s="1" t="str">
        <f>"انبار قطعات و لوازم يدكي بشکه سازي اصفهان"</f>
        <v>انبار قطعات و لوازم يدكي بشکه سازي اصفهان</v>
      </c>
      <c r="E2168" s="1" t="str">
        <f>"4311700130"</f>
        <v>4311700130</v>
      </c>
      <c r="F2168" s="1" t="str">
        <f>"پيچ 18 * M 18"</f>
        <v>پيچ 18 * M 18</v>
      </c>
      <c r="G2168" s="1" t="str">
        <f>"عدد"</f>
        <v>عدد</v>
      </c>
      <c r="H2168" s="1">
        <v>0</v>
      </c>
      <c r="I2168" s="1">
        <v>0</v>
      </c>
      <c r="J2168" s="1">
        <v>2</v>
      </c>
      <c r="K2168" s="1">
        <v>5000</v>
      </c>
      <c r="L2168" s="1">
        <v>0</v>
      </c>
      <c r="M2168" s="1">
        <v>0</v>
      </c>
      <c r="O2168" s="1">
        <v>97</v>
      </c>
      <c r="P2168" s="4">
        <f t="shared" si="99"/>
        <v>5000</v>
      </c>
      <c r="Q2168" s="4">
        <f t="shared" si="100"/>
        <v>2</v>
      </c>
      <c r="R2168" s="4">
        <f t="shared" si="101"/>
        <v>2500</v>
      </c>
    </row>
    <row r="2169" spans="1:18">
      <c r="A2169" s="1">
        <v>2</v>
      </c>
      <c r="B2169" s="1" t="str">
        <f>"قطعات و لوازم يدكي"</f>
        <v>قطعات و لوازم يدكي</v>
      </c>
      <c r="C2169" s="1">
        <v>120</v>
      </c>
      <c r="D2169" s="1" t="str">
        <f>"انبار قطعات و لوازم يدكي بشکه سازي اصفهان"</f>
        <v>انبار قطعات و لوازم يدكي بشکه سازي اصفهان</v>
      </c>
      <c r="E2169" s="1" t="str">
        <f>"4311700132"</f>
        <v>4311700132</v>
      </c>
      <c r="F2169" s="1" t="str">
        <f>"پيچ 12 * M 24"</f>
        <v>پيچ 12 * M 24</v>
      </c>
      <c r="G2169" s="1" t="str">
        <f>"عدد"</f>
        <v>عدد</v>
      </c>
      <c r="H2169" s="1">
        <v>0</v>
      </c>
      <c r="I2169" s="1">
        <v>0</v>
      </c>
      <c r="J2169" s="1">
        <v>6</v>
      </c>
      <c r="K2169" s="1">
        <v>15000</v>
      </c>
      <c r="L2169" s="1">
        <v>0</v>
      </c>
      <c r="M2169" s="1">
        <v>0</v>
      </c>
      <c r="O2169" s="1">
        <v>97</v>
      </c>
      <c r="P2169" s="4">
        <f t="shared" si="99"/>
        <v>15000</v>
      </c>
      <c r="Q2169" s="4">
        <f t="shared" si="100"/>
        <v>6</v>
      </c>
      <c r="R2169" s="4">
        <f t="shared" si="101"/>
        <v>2500</v>
      </c>
    </row>
    <row r="2170" spans="1:18" hidden="1">
      <c r="A2170" s="1">
        <v>2</v>
      </c>
      <c r="B2170" s="1" t="str">
        <f>"قطعات و لوازم يدكي"</f>
        <v>قطعات و لوازم يدكي</v>
      </c>
      <c r="C2170" s="1">
        <v>120</v>
      </c>
      <c r="D2170" s="1" t="str">
        <f>"انبار قطعات و لوازم يدكي بشکه سازي اصفهان"</f>
        <v>انبار قطعات و لوازم يدكي بشکه سازي اصفهان</v>
      </c>
      <c r="E2170" s="1" t="str">
        <f>"4311700145"</f>
        <v>4311700145</v>
      </c>
      <c r="F2170" s="1" t="str">
        <f>"پيچ 3 * M8"</f>
        <v>پيچ 3 * M8</v>
      </c>
      <c r="G2170" s="1" t="str">
        <f>"عدد"</f>
        <v>عدد</v>
      </c>
      <c r="H2170" s="1">
        <v>0</v>
      </c>
      <c r="I2170" s="1">
        <v>0</v>
      </c>
      <c r="J2170" s="1">
        <v>1</v>
      </c>
      <c r="K2170" s="1">
        <v>1500</v>
      </c>
      <c r="L2170" s="1">
        <v>1</v>
      </c>
      <c r="M2170" s="1">
        <v>1500</v>
      </c>
      <c r="O2170" s="1">
        <v>97</v>
      </c>
      <c r="P2170" s="1">
        <f t="shared" si="99"/>
        <v>0</v>
      </c>
      <c r="Q2170" s="1">
        <f t="shared" si="100"/>
        <v>0</v>
      </c>
      <c r="R2170" s="1" t="e">
        <f t="shared" si="101"/>
        <v>#DIV/0!</v>
      </c>
    </row>
    <row r="2171" spans="1:18">
      <c r="A2171" s="1">
        <v>2</v>
      </c>
      <c r="B2171" s="1" t="str">
        <f>"قطعات و لوازم يدكي"</f>
        <v>قطعات و لوازم يدكي</v>
      </c>
      <c r="C2171" s="1">
        <v>120</v>
      </c>
      <c r="D2171" s="1" t="str">
        <f>"انبار قطعات و لوازم يدكي بشکه سازي اصفهان"</f>
        <v>انبار قطعات و لوازم يدكي بشکه سازي اصفهان</v>
      </c>
      <c r="E2171" s="1" t="str">
        <f>"4311700150"</f>
        <v>4311700150</v>
      </c>
      <c r="F2171" s="1" t="str">
        <f>"پيچ 10*M8"</f>
        <v>پيچ 10*M8</v>
      </c>
      <c r="G2171" s="1" t="str">
        <f>"عدد"</f>
        <v>عدد</v>
      </c>
      <c r="H2171" s="1">
        <v>0</v>
      </c>
      <c r="I2171" s="1">
        <v>0</v>
      </c>
      <c r="J2171" s="1">
        <v>5</v>
      </c>
      <c r="K2171" s="1">
        <v>12500</v>
      </c>
      <c r="L2171" s="1">
        <v>0</v>
      </c>
      <c r="M2171" s="1">
        <v>0</v>
      </c>
      <c r="O2171" s="1">
        <v>97</v>
      </c>
      <c r="P2171" s="4">
        <f t="shared" si="99"/>
        <v>12500</v>
      </c>
      <c r="Q2171" s="4">
        <f t="shared" si="100"/>
        <v>5</v>
      </c>
      <c r="R2171" s="4">
        <f t="shared" si="101"/>
        <v>2500</v>
      </c>
    </row>
    <row r="2172" spans="1:18">
      <c r="A2172" s="1">
        <v>2</v>
      </c>
      <c r="B2172" s="1" t="str">
        <f>"قطعات و لوازم يدكي"</f>
        <v>قطعات و لوازم يدكي</v>
      </c>
      <c r="C2172" s="1">
        <v>120</v>
      </c>
      <c r="D2172" s="1" t="str">
        <f>"انبار قطعات و لوازم يدكي بشکه سازي اصفهان"</f>
        <v>انبار قطعات و لوازم يدكي بشکه سازي اصفهان</v>
      </c>
      <c r="E2172" s="1" t="str">
        <f>"4311700155"</f>
        <v>4311700155</v>
      </c>
      <c r="F2172" s="1" t="str">
        <f>"پيچ متري 20*10"</f>
        <v>پيچ متري 20*10</v>
      </c>
      <c r="G2172" s="1" t="str">
        <f>"عدد"</f>
        <v>عدد</v>
      </c>
      <c r="H2172" s="1">
        <v>0</v>
      </c>
      <c r="I2172" s="1">
        <v>0</v>
      </c>
      <c r="J2172" s="1">
        <v>47</v>
      </c>
      <c r="K2172" s="1">
        <v>117500</v>
      </c>
      <c r="L2172" s="1">
        <v>5</v>
      </c>
      <c r="M2172" s="1">
        <v>12500</v>
      </c>
      <c r="O2172" s="1">
        <v>97</v>
      </c>
      <c r="P2172" s="4">
        <f t="shared" si="99"/>
        <v>105000</v>
      </c>
      <c r="Q2172" s="4">
        <f t="shared" si="100"/>
        <v>42</v>
      </c>
      <c r="R2172" s="4">
        <f t="shared" si="101"/>
        <v>2500</v>
      </c>
    </row>
    <row r="2173" spans="1:18">
      <c r="A2173" s="1">
        <v>2</v>
      </c>
      <c r="B2173" s="1" t="str">
        <f>"قطعات و لوازم يدكي"</f>
        <v>قطعات و لوازم يدكي</v>
      </c>
      <c r="C2173" s="1">
        <v>120</v>
      </c>
      <c r="D2173" s="1" t="str">
        <f>"انبار قطعات و لوازم يدكي بشکه سازي اصفهان"</f>
        <v>انبار قطعات و لوازم يدكي بشکه سازي اصفهان</v>
      </c>
      <c r="E2173" s="1" t="str">
        <f>"4311700156"</f>
        <v>4311700156</v>
      </c>
      <c r="F2173" s="1" t="str">
        <f>"پيچ آلن 5*M10"</f>
        <v>پيچ آلن 5*M10</v>
      </c>
      <c r="G2173" s="1" t="str">
        <f>"عدد"</f>
        <v>عدد</v>
      </c>
      <c r="H2173" s="1">
        <v>0</v>
      </c>
      <c r="I2173" s="1">
        <v>0</v>
      </c>
      <c r="J2173" s="1">
        <v>26</v>
      </c>
      <c r="K2173" s="1">
        <v>91000</v>
      </c>
      <c r="L2173" s="1">
        <v>0</v>
      </c>
      <c r="M2173" s="1">
        <v>0</v>
      </c>
      <c r="O2173" s="1">
        <v>97</v>
      </c>
      <c r="P2173" s="4">
        <f t="shared" si="99"/>
        <v>91000</v>
      </c>
      <c r="Q2173" s="4">
        <f t="shared" si="100"/>
        <v>26</v>
      </c>
      <c r="R2173" s="4">
        <f t="shared" si="101"/>
        <v>3500</v>
      </c>
    </row>
    <row r="2174" spans="1:18" hidden="1">
      <c r="A2174" s="1">
        <v>2</v>
      </c>
      <c r="B2174" s="1" t="str">
        <f>"قطعات و لوازم يدكي"</f>
        <v>قطعات و لوازم يدكي</v>
      </c>
      <c r="C2174" s="1">
        <v>120</v>
      </c>
      <c r="D2174" s="1" t="str">
        <f>"انبار قطعات و لوازم يدكي بشکه سازي اصفهان"</f>
        <v>انبار قطعات و لوازم يدكي بشکه سازي اصفهان</v>
      </c>
      <c r="E2174" s="1" t="str">
        <f>"4311700174"</f>
        <v>4311700174</v>
      </c>
      <c r="F2174" s="1" t="str">
        <f>"مهره M8"</f>
        <v>مهره M8</v>
      </c>
      <c r="G2174" s="1" t="str">
        <f>"عدد"</f>
        <v>عدد</v>
      </c>
      <c r="H2174" s="1">
        <v>0</v>
      </c>
      <c r="I2174" s="1">
        <v>0</v>
      </c>
      <c r="J2174" s="1">
        <v>55</v>
      </c>
      <c r="K2174" s="1">
        <v>165000</v>
      </c>
      <c r="L2174" s="1">
        <v>55</v>
      </c>
      <c r="M2174" s="1">
        <v>165000</v>
      </c>
      <c r="O2174" s="1">
        <v>97</v>
      </c>
      <c r="P2174" s="1">
        <f t="shared" si="99"/>
        <v>0</v>
      </c>
      <c r="Q2174" s="1">
        <f t="shared" si="100"/>
        <v>0</v>
      </c>
      <c r="R2174" s="1" t="e">
        <f t="shared" si="101"/>
        <v>#DIV/0!</v>
      </c>
    </row>
    <row r="2175" spans="1:18">
      <c r="A2175" s="1">
        <v>2</v>
      </c>
      <c r="B2175" s="1" t="str">
        <f>"قطعات و لوازم يدكي"</f>
        <v>قطعات و لوازم يدكي</v>
      </c>
      <c r="C2175" s="1">
        <v>120</v>
      </c>
      <c r="D2175" s="1" t="str">
        <f>"انبار قطعات و لوازم يدكي بشکه سازي اصفهان"</f>
        <v>انبار قطعات و لوازم يدكي بشکه سازي اصفهان</v>
      </c>
      <c r="E2175" s="1" t="str">
        <f>"4311700182"</f>
        <v>4311700182</v>
      </c>
      <c r="F2175" s="1" t="str">
        <f>"مهره M10"</f>
        <v>مهره M10</v>
      </c>
      <c r="G2175" s="1" t="str">
        <f>"عدد"</f>
        <v>عدد</v>
      </c>
      <c r="H2175" s="1">
        <v>0</v>
      </c>
      <c r="I2175" s="1">
        <v>0</v>
      </c>
      <c r="J2175" s="1">
        <v>31</v>
      </c>
      <c r="K2175" s="1">
        <v>93000</v>
      </c>
      <c r="L2175" s="1">
        <v>2</v>
      </c>
      <c r="M2175" s="1">
        <v>6000</v>
      </c>
      <c r="O2175" s="1">
        <v>97</v>
      </c>
      <c r="P2175" s="4">
        <f t="shared" si="99"/>
        <v>87000</v>
      </c>
      <c r="Q2175" s="4">
        <f t="shared" si="100"/>
        <v>29</v>
      </c>
      <c r="R2175" s="4">
        <f t="shared" si="101"/>
        <v>3000</v>
      </c>
    </row>
    <row r="2176" spans="1:18">
      <c r="A2176" s="1">
        <v>2</v>
      </c>
      <c r="B2176" s="1" t="str">
        <f>"قطعات و لوازم يدكي"</f>
        <v>قطعات و لوازم يدكي</v>
      </c>
      <c r="C2176" s="1">
        <v>120</v>
      </c>
      <c r="D2176" s="1" t="str">
        <f>"انبار قطعات و لوازم يدكي بشکه سازي اصفهان"</f>
        <v>انبار قطعات و لوازم يدكي بشکه سازي اصفهان</v>
      </c>
      <c r="E2176" s="1" t="str">
        <f>"4311700184"</f>
        <v>4311700184</v>
      </c>
      <c r="F2176" s="1" t="str">
        <f>"بست تسمه پلاستيکي"</f>
        <v>بست تسمه پلاستيکي</v>
      </c>
      <c r="G2176" s="1" t="str">
        <f>"عدد"</f>
        <v>عدد</v>
      </c>
      <c r="H2176" s="1">
        <v>0</v>
      </c>
      <c r="I2176" s="1">
        <v>0</v>
      </c>
      <c r="J2176" s="1">
        <v>1157</v>
      </c>
      <c r="K2176" s="1">
        <v>578500</v>
      </c>
      <c r="L2176" s="1">
        <v>0</v>
      </c>
      <c r="M2176" s="1">
        <v>0</v>
      </c>
      <c r="O2176" s="1">
        <v>97</v>
      </c>
      <c r="P2176" s="4">
        <f t="shared" si="99"/>
        <v>578500</v>
      </c>
      <c r="Q2176" s="4">
        <f t="shared" si="100"/>
        <v>1157</v>
      </c>
      <c r="R2176" s="4">
        <f t="shared" si="101"/>
        <v>500</v>
      </c>
    </row>
    <row r="2177" spans="1:18">
      <c r="A2177" s="1">
        <v>2</v>
      </c>
      <c r="B2177" s="1" t="str">
        <f>"قطعات و لوازم يدكي"</f>
        <v>قطعات و لوازم يدكي</v>
      </c>
      <c r="C2177" s="1">
        <v>120</v>
      </c>
      <c r="D2177" s="1" t="str">
        <f>"انبار قطعات و لوازم يدكي بشکه سازي اصفهان"</f>
        <v>انبار قطعات و لوازم يدكي بشکه سازي اصفهان</v>
      </c>
      <c r="E2177" s="1" t="str">
        <f>"4311700190"</f>
        <v>4311700190</v>
      </c>
      <c r="F2177" s="1" t="str">
        <f>"ميخ 3 سانتي"</f>
        <v>ميخ 3 سانتي</v>
      </c>
      <c r="G2177" s="1" t="str">
        <f>"عدد"</f>
        <v>عدد</v>
      </c>
      <c r="H2177" s="1">
        <v>0</v>
      </c>
      <c r="I2177" s="1">
        <v>0</v>
      </c>
      <c r="J2177" s="1">
        <v>584</v>
      </c>
      <c r="K2177" s="1">
        <v>584000</v>
      </c>
      <c r="L2177" s="1">
        <v>84</v>
      </c>
      <c r="M2177" s="1">
        <v>84000</v>
      </c>
      <c r="O2177" s="1">
        <v>97</v>
      </c>
      <c r="P2177" s="4">
        <f t="shared" si="99"/>
        <v>500000</v>
      </c>
      <c r="Q2177" s="4">
        <f t="shared" si="100"/>
        <v>500</v>
      </c>
      <c r="R2177" s="4">
        <f t="shared" si="101"/>
        <v>1000</v>
      </c>
    </row>
    <row r="2178" spans="1:18">
      <c r="A2178" s="1">
        <v>2</v>
      </c>
      <c r="B2178" s="1" t="str">
        <f>"قطعات و لوازم يدكي"</f>
        <v>قطعات و لوازم يدكي</v>
      </c>
      <c r="C2178" s="1">
        <v>120</v>
      </c>
      <c r="D2178" s="1" t="str">
        <f>"انبار قطعات و لوازم يدكي بشکه سازي اصفهان"</f>
        <v>انبار قطعات و لوازم يدكي بشکه سازي اصفهان</v>
      </c>
      <c r="E2178" s="1" t="str">
        <f>"4311700193"</f>
        <v>4311700193</v>
      </c>
      <c r="F2178" s="1" t="str">
        <f>"ميخ 5 سانتي"</f>
        <v>ميخ 5 سانتي</v>
      </c>
      <c r="G2178" s="1" t="str">
        <f>"عدد"</f>
        <v>عدد</v>
      </c>
      <c r="H2178" s="1">
        <v>0</v>
      </c>
      <c r="I2178" s="1">
        <v>0</v>
      </c>
      <c r="J2178" s="1">
        <v>24</v>
      </c>
      <c r="K2178" s="1">
        <v>36000</v>
      </c>
      <c r="L2178" s="1">
        <v>0</v>
      </c>
      <c r="M2178" s="1">
        <v>0</v>
      </c>
      <c r="O2178" s="1">
        <v>97</v>
      </c>
      <c r="P2178" s="4">
        <f t="shared" si="99"/>
        <v>36000</v>
      </c>
      <c r="Q2178" s="4">
        <f t="shared" si="100"/>
        <v>24</v>
      </c>
      <c r="R2178" s="4">
        <f t="shared" si="101"/>
        <v>1500</v>
      </c>
    </row>
    <row r="2179" spans="1:18">
      <c r="A2179" s="1">
        <v>2</v>
      </c>
      <c r="B2179" s="1" t="str">
        <f>"قطعات و لوازم يدكي"</f>
        <v>قطعات و لوازم يدكي</v>
      </c>
      <c r="C2179" s="1">
        <v>120</v>
      </c>
      <c r="D2179" s="1" t="str">
        <f>"انبار قطعات و لوازم يدكي بشکه سازي اصفهان"</f>
        <v>انبار قطعات و لوازم يدكي بشکه سازي اصفهان</v>
      </c>
      <c r="E2179" s="1" t="str">
        <f>"4311700195"</f>
        <v>4311700195</v>
      </c>
      <c r="F2179" s="1" t="str">
        <f>"بوشن 3/4 اينچ"</f>
        <v>بوشن 3/4 اينچ</v>
      </c>
      <c r="G2179" s="1" t="str">
        <f>"عدد"</f>
        <v>عدد</v>
      </c>
      <c r="H2179" s="1">
        <v>0</v>
      </c>
      <c r="I2179" s="1">
        <v>0</v>
      </c>
      <c r="J2179" s="1">
        <v>25</v>
      </c>
      <c r="K2179" s="1">
        <v>750000</v>
      </c>
      <c r="L2179" s="1">
        <v>0</v>
      </c>
      <c r="M2179" s="1">
        <v>0</v>
      </c>
      <c r="O2179" s="1">
        <v>97</v>
      </c>
      <c r="P2179" s="4">
        <f t="shared" ref="P2179:P2242" si="102">I2179+K2179-M2179</f>
        <v>750000</v>
      </c>
      <c r="Q2179" s="4">
        <f t="shared" ref="Q2179:Q2242" si="103">H2179+J2179-L2179</f>
        <v>25</v>
      </c>
      <c r="R2179" s="4">
        <f t="shared" ref="R2179:R2242" si="104">P2179/Q2179</f>
        <v>30000</v>
      </c>
    </row>
    <row r="2180" spans="1:18">
      <c r="A2180" s="1">
        <v>2</v>
      </c>
      <c r="B2180" s="1" t="str">
        <f>"قطعات و لوازم يدكي"</f>
        <v>قطعات و لوازم يدكي</v>
      </c>
      <c r="C2180" s="1">
        <v>120</v>
      </c>
      <c r="D2180" s="1" t="str">
        <f>"انبار قطعات و لوازم يدكي بشکه سازي اصفهان"</f>
        <v>انبار قطعات و لوازم يدكي بشکه سازي اصفهان</v>
      </c>
      <c r="E2180" s="1" t="str">
        <f>"4311700198"</f>
        <v>4311700198</v>
      </c>
      <c r="F2180" s="1" t="str">
        <f>"سه راهي 1/2 اينچ"</f>
        <v>سه راهي 1/2 اينچ</v>
      </c>
      <c r="G2180" s="1" t="str">
        <f>"عدد"</f>
        <v>عدد</v>
      </c>
      <c r="H2180" s="1">
        <v>0</v>
      </c>
      <c r="I2180" s="1">
        <v>0</v>
      </c>
      <c r="J2180" s="1">
        <v>13</v>
      </c>
      <c r="K2180" s="1">
        <v>455000</v>
      </c>
      <c r="L2180" s="1">
        <v>1</v>
      </c>
      <c r="M2180" s="1">
        <v>35000</v>
      </c>
      <c r="O2180" s="1">
        <v>97</v>
      </c>
      <c r="P2180" s="4">
        <f t="shared" si="102"/>
        <v>420000</v>
      </c>
      <c r="Q2180" s="4">
        <f t="shared" si="103"/>
        <v>12</v>
      </c>
      <c r="R2180" s="4">
        <f t="shared" si="104"/>
        <v>35000</v>
      </c>
    </row>
    <row r="2181" spans="1:18">
      <c r="A2181" s="1">
        <v>2</v>
      </c>
      <c r="B2181" s="1" t="str">
        <f>"قطعات و لوازم يدكي"</f>
        <v>قطعات و لوازم يدكي</v>
      </c>
      <c r="C2181" s="1">
        <v>120</v>
      </c>
      <c r="D2181" s="1" t="str">
        <f>"انبار قطعات و لوازم يدكي بشکه سازي اصفهان"</f>
        <v>انبار قطعات و لوازم يدكي بشکه سازي اصفهان</v>
      </c>
      <c r="E2181" s="1" t="str">
        <f>"4311700208"</f>
        <v>4311700208</v>
      </c>
      <c r="F2181" s="1" t="str">
        <f>"تبديل پنوماتيک 10*10"</f>
        <v>تبديل پنوماتيک 10*10</v>
      </c>
      <c r="G2181" s="1" t="str">
        <f>"عدد"</f>
        <v>عدد</v>
      </c>
      <c r="H2181" s="1">
        <v>0</v>
      </c>
      <c r="I2181" s="1">
        <v>0</v>
      </c>
      <c r="J2181" s="1">
        <v>4</v>
      </c>
      <c r="K2181" s="1">
        <v>720000</v>
      </c>
      <c r="L2181" s="1">
        <v>1</v>
      </c>
      <c r="M2181" s="1">
        <v>180000</v>
      </c>
      <c r="O2181" s="1">
        <v>97</v>
      </c>
      <c r="P2181" s="4">
        <f t="shared" si="102"/>
        <v>540000</v>
      </c>
      <c r="Q2181" s="4">
        <f t="shared" si="103"/>
        <v>3</v>
      </c>
      <c r="R2181" s="4">
        <f t="shared" si="104"/>
        <v>180000</v>
      </c>
    </row>
    <row r="2182" spans="1:18">
      <c r="A2182" s="1">
        <v>2</v>
      </c>
      <c r="B2182" s="1" t="str">
        <f>"قطعات و لوازم يدكي"</f>
        <v>قطعات و لوازم يدكي</v>
      </c>
      <c r="C2182" s="1">
        <v>120</v>
      </c>
      <c r="D2182" s="1" t="str">
        <f>"انبار قطعات و لوازم يدكي بشکه سازي اصفهان"</f>
        <v>انبار قطعات و لوازم يدكي بشکه سازي اصفهان</v>
      </c>
      <c r="E2182" s="1" t="str">
        <f>"4311700217"</f>
        <v>4311700217</v>
      </c>
      <c r="F2182" s="1" t="str">
        <f>"تبديل فيتينگي 10*1/2"</f>
        <v>تبديل فيتينگي 10*1/2</v>
      </c>
      <c r="G2182" s="1" t="str">
        <f>"عدد"</f>
        <v>عدد</v>
      </c>
      <c r="H2182" s="1">
        <v>0</v>
      </c>
      <c r="I2182" s="1">
        <v>0</v>
      </c>
      <c r="J2182" s="1">
        <v>12</v>
      </c>
      <c r="K2182" s="1">
        <v>780000</v>
      </c>
      <c r="L2182" s="1">
        <v>3</v>
      </c>
      <c r="M2182" s="1">
        <v>195000</v>
      </c>
      <c r="O2182" s="1">
        <v>97</v>
      </c>
      <c r="P2182" s="4">
        <f t="shared" si="102"/>
        <v>585000</v>
      </c>
      <c r="Q2182" s="4">
        <f t="shared" si="103"/>
        <v>9</v>
      </c>
      <c r="R2182" s="4">
        <f t="shared" si="104"/>
        <v>65000</v>
      </c>
    </row>
    <row r="2183" spans="1:18">
      <c r="A2183" s="1">
        <v>2</v>
      </c>
      <c r="B2183" s="1" t="str">
        <f>"قطعات و لوازم يدكي"</f>
        <v>قطعات و لوازم يدكي</v>
      </c>
      <c r="C2183" s="1">
        <v>120</v>
      </c>
      <c r="D2183" s="1" t="str">
        <f>"انبار قطعات و لوازم يدكي بشکه سازي اصفهان"</f>
        <v>انبار قطعات و لوازم يدكي بشکه سازي اصفهان</v>
      </c>
      <c r="E2183" s="1" t="str">
        <f>"4311700221"</f>
        <v>4311700221</v>
      </c>
      <c r="F2183" s="1" t="str">
        <f>"خار سايز 45"</f>
        <v>خار سايز 45</v>
      </c>
      <c r="G2183" s="1" t="str">
        <f>"عدد"</f>
        <v>عدد</v>
      </c>
      <c r="H2183" s="1">
        <v>0</v>
      </c>
      <c r="I2183" s="1">
        <v>0</v>
      </c>
      <c r="J2183" s="1">
        <v>20</v>
      </c>
      <c r="K2183" s="1">
        <v>100000</v>
      </c>
      <c r="L2183" s="1">
        <v>0</v>
      </c>
      <c r="M2183" s="1">
        <v>0</v>
      </c>
      <c r="O2183" s="1">
        <v>97</v>
      </c>
      <c r="P2183" s="4">
        <f t="shared" si="102"/>
        <v>100000</v>
      </c>
      <c r="Q2183" s="4">
        <f t="shared" si="103"/>
        <v>20</v>
      </c>
      <c r="R2183" s="4">
        <f t="shared" si="104"/>
        <v>5000</v>
      </c>
    </row>
    <row r="2184" spans="1:18">
      <c r="A2184" s="1">
        <v>2</v>
      </c>
      <c r="B2184" s="1" t="str">
        <f>"قطعات و لوازم يدكي"</f>
        <v>قطعات و لوازم يدكي</v>
      </c>
      <c r="C2184" s="1">
        <v>120</v>
      </c>
      <c r="D2184" s="1" t="str">
        <f>"انبار قطعات و لوازم يدكي بشکه سازي اصفهان"</f>
        <v>انبار قطعات و لوازم يدكي بشکه سازي اصفهان</v>
      </c>
      <c r="E2184" s="1" t="str">
        <f>"4311700228"</f>
        <v>4311700228</v>
      </c>
      <c r="F2184" s="1" t="str">
        <f>"مغزي پيچ آلن 6m الي 12m"</f>
        <v>مغزي پيچ آلن 6m الي 12m</v>
      </c>
      <c r="G2184" s="1" t="str">
        <f>"عدد"</f>
        <v>عدد</v>
      </c>
      <c r="H2184" s="1">
        <v>0</v>
      </c>
      <c r="I2184" s="1">
        <v>0</v>
      </c>
      <c r="J2184" s="1">
        <v>323</v>
      </c>
      <c r="K2184" s="1">
        <v>323000</v>
      </c>
      <c r="L2184" s="1">
        <v>17</v>
      </c>
      <c r="M2184" s="1">
        <v>17000</v>
      </c>
      <c r="O2184" s="1">
        <v>97</v>
      </c>
      <c r="P2184" s="4">
        <f t="shared" si="102"/>
        <v>306000</v>
      </c>
      <c r="Q2184" s="4">
        <f t="shared" si="103"/>
        <v>306</v>
      </c>
      <c r="R2184" s="4">
        <f t="shared" si="104"/>
        <v>1000</v>
      </c>
    </row>
    <row r="2185" spans="1:18">
      <c r="A2185" s="1">
        <v>2</v>
      </c>
      <c r="B2185" s="1" t="str">
        <f>"قطعات و لوازم يدكي"</f>
        <v>قطعات و لوازم يدكي</v>
      </c>
      <c r="C2185" s="1">
        <v>120</v>
      </c>
      <c r="D2185" s="1" t="str">
        <f>"انبار قطعات و لوازم يدكي بشکه سازي اصفهان"</f>
        <v>انبار قطعات و لوازم يدكي بشکه سازي اصفهان</v>
      </c>
      <c r="E2185" s="1" t="str">
        <f>"4311700260"</f>
        <v>4311700260</v>
      </c>
      <c r="F2185" s="1" t="str">
        <f>"روغن ترمز"</f>
        <v>روغن ترمز</v>
      </c>
      <c r="G2185" s="1" t="str">
        <f>"عدد"</f>
        <v>عدد</v>
      </c>
      <c r="H2185" s="1">
        <v>0</v>
      </c>
      <c r="I2185" s="1">
        <v>0</v>
      </c>
      <c r="J2185" s="1">
        <v>4</v>
      </c>
      <c r="K2185" s="1">
        <v>160000</v>
      </c>
      <c r="L2185" s="1">
        <v>0</v>
      </c>
      <c r="M2185" s="1">
        <v>0</v>
      </c>
      <c r="O2185" s="1">
        <v>97</v>
      </c>
      <c r="P2185" s="4">
        <f t="shared" si="102"/>
        <v>160000</v>
      </c>
      <c r="Q2185" s="4">
        <f t="shared" si="103"/>
        <v>4</v>
      </c>
      <c r="R2185" s="4">
        <f t="shared" si="104"/>
        <v>40000</v>
      </c>
    </row>
    <row r="2186" spans="1:18">
      <c r="A2186" s="1">
        <v>2</v>
      </c>
      <c r="B2186" s="1" t="str">
        <f>"قطعات و لوازم يدكي"</f>
        <v>قطعات و لوازم يدكي</v>
      </c>
      <c r="C2186" s="1">
        <v>120</v>
      </c>
      <c r="D2186" s="1" t="str">
        <f>"انبار قطعات و لوازم يدكي بشکه سازي اصفهان"</f>
        <v>انبار قطعات و لوازم يدكي بشکه سازي اصفهان</v>
      </c>
      <c r="E2186" s="1" t="str">
        <f>"4311700275"</f>
        <v>4311700275</v>
      </c>
      <c r="F2186" s="1" t="str">
        <f>"گسکت سايز 14"</f>
        <v>گسکت سايز 14</v>
      </c>
      <c r="G2186" s="1" t="str">
        <f>"عدد"</f>
        <v>عدد</v>
      </c>
      <c r="H2186" s="1">
        <v>0</v>
      </c>
      <c r="I2186" s="1">
        <v>0</v>
      </c>
      <c r="J2186" s="1">
        <v>15</v>
      </c>
      <c r="K2186" s="1">
        <v>1365000</v>
      </c>
      <c r="L2186" s="1">
        <v>0</v>
      </c>
      <c r="M2186" s="1">
        <v>0</v>
      </c>
      <c r="O2186" s="1">
        <v>97</v>
      </c>
      <c r="P2186" s="4">
        <f t="shared" si="102"/>
        <v>1365000</v>
      </c>
      <c r="Q2186" s="4">
        <f t="shared" si="103"/>
        <v>15</v>
      </c>
      <c r="R2186" s="4">
        <f t="shared" si="104"/>
        <v>91000</v>
      </c>
    </row>
    <row r="2187" spans="1:18">
      <c r="A2187" s="1">
        <v>2</v>
      </c>
      <c r="B2187" s="1" t="str">
        <f>"قطعات و لوازم يدكي"</f>
        <v>قطعات و لوازم يدكي</v>
      </c>
      <c r="C2187" s="1">
        <v>120</v>
      </c>
      <c r="D2187" s="1" t="str">
        <f>"انبار قطعات و لوازم يدكي بشکه سازي اصفهان"</f>
        <v>انبار قطعات و لوازم يدكي بشکه سازي اصفهان</v>
      </c>
      <c r="E2187" s="1" t="str">
        <f>"4311700282"</f>
        <v>4311700282</v>
      </c>
      <c r="F2187" s="1" t="str">
        <f>"گسکت سايز 5"</f>
        <v>گسکت سايز 5</v>
      </c>
      <c r="G2187" s="1" t="str">
        <f>"عدد"</f>
        <v>عدد</v>
      </c>
      <c r="H2187" s="1">
        <v>0</v>
      </c>
      <c r="I2187" s="1">
        <v>0</v>
      </c>
      <c r="J2187" s="1">
        <v>8</v>
      </c>
      <c r="K2187" s="1">
        <v>260000</v>
      </c>
      <c r="L2187" s="1">
        <v>0</v>
      </c>
      <c r="M2187" s="1">
        <v>0</v>
      </c>
      <c r="O2187" s="1">
        <v>97</v>
      </c>
      <c r="P2187" s="4">
        <f t="shared" si="102"/>
        <v>260000</v>
      </c>
      <c r="Q2187" s="4">
        <f t="shared" si="103"/>
        <v>8</v>
      </c>
      <c r="R2187" s="4">
        <f t="shared" si="104"/>
        <v>32500</v>
      </c>
    </row>
    <row r="2188" spans="1:18">
      <c r="A2188" s="1">
        <v>2</v>
      </c>
      <c r="B2188" s="1" t="str">
        <f>"قطعات و لوازم يدكي"</f>
        <v>قطعات و لوازم يدكي</v>
      </c>
      <c r="C2188" s="1">
        <v>120</v>
      </c>
      <c r="D2188" s="1" t="str">
        <f>"انبار قطعات و لوازم يدكي بشکه سازي اصفهان"</f>
        <v>انبار قطعات و لوازم يدكي بشکه سازي اصفهان</v>
      </c>
      <c r="E2188" s="1" t="str">
        <f>"4311700330"</f>
        <v>4311700330</v>
      </c>
      <c r="F2188" s="1" t="str">
        <f>"کاسه نمد 13-125-100"</f>
        <v>کاسه نمد 13-125-100</v>
      </c>
      <c r="G2188" s="1" t="str">
        <f>"عدد"</f>
        <v>عدد</v>
      </c>
      <c r="H2188" s="1">
        <v>0</v>
      </c>
      <c r="I2188" s="1">
        <v>0</v>
      </c>
      <c r="J2188" s="1">
        <v>2</v>
      </c>
      <c r="K2188" s="1">
        <v>240000</v>
      </c>
      <c r="L2188" s="1">
        <v>0</v>
      </c>
      <c r="M2188" s="1">
        <v>0</v>
      </c>
      <c r="O2188" s="1">
        <v>97</v>
      </c>
      <c r="P2188" s="4">
        <f t="shared" si="102"/>
        <v>240000</v>
      </c>
      <c r="Q2188" s="4">
        <f t="shared" si="103"/>
        <v>2</v>
      </c>
      <c r="R2188" s="4">
        <f t="shared" si="104"/>
        <v>120000</v>
      </c>
    </row>
    <row r="2189" spans="1:18">
      <c r="A2189" s="1">
        <v>2</v>
      </c>
      <c r="B2189" s="1" t="str">
        <f>"قطعات و لوازم يدكي"</f>
        <v>قطعات و لوازم يدكي</v>
      </c>
      <c r="C2189" s="1">
        <v>120</v>
      </c>
      <c r="D2189" s="1" t="str">
        <f>"انبار قطعات و لوازم يدكي بشکه سازي اصفهان"</f>
        <v>انبار قطعات و لوازم يدكي بشکه سازي اصفهان</v>
      </c>
      <c r="E2189" s="1" t="str">
        <f>"4311700331"</f>
        <v>4311700331</v>
      </c>
      <c r="F2189" s="1" t="str">
        <f>"پيچ آلن 6*10m"</f>
        <v>پيچ آلن 6*10m</v>
      </c>
      <c r="G2189" s="1" t="str">
        <f>"عدد"</f>
        <v>عدد</v>
      </c>
      <c r="H2189" s="1">
        <v>0</v>
      </c>
      <c r="I2189" s="1">
        <v>0</v>
      </c>
      <c r="J2189" s="1">
        <v>16</v>
      </c>
      <c r="K2189" s="1">
        <v>62400</v>
      </c>
      <c r="L2189" s="1">
        <v>1</v>
      </c>
      <c r="M2189" s="1">
        <v>3900</v>
      </c>
      <c r="O2189" s="1">
        <v>97</v>
      </c>
      <c r="P2189" s="4">
        <f t="shared" si="102"/>
        <v>58500</v>
      </c>
      <c r="Q2189" s="4">
        <f t="shared" si="103"/>
        <v>15</v>
      </c>
      <c r="R2189" s="4">
        <f t="shared" si="104"/>
        <v>3900</v>
      </c>
    </row>
    <row r="2190" spans="1:18">
      <c r="A2190" s="1">
        <v>2</v>
      </c>
      <c r="B2190" s="1" t="str">
        <f>"قطعات و لوازم يدكي"</f>
        <v>قطعات و لوازم يدكي</v>
      </c>
      <c r="C2190" s="1">
        <v>120</v>
      </c>
      <c r="D2190" s="1" t="str">
        <f>"انبار قطعات و لوازم يدكي بشکه سازي اصفهان"</f>
        <v>انبار قطعات و لوازم يدكي بشکه سازي اصفهان</v>
      </c>
      <c r="E2190" s="1" t="str">
        <f>"4311700350"</f>
        <v>4311700350</v>
      </c>
      <c r="F2190" s="1" t="str">
        <f>"تيوپ 16-50-7"</f>
        <v>تيوپ 16-50-7</v>
      </c>
      <c r="G2190" s="1" t="str">
        <f>"حلقه"</f>
        <v>حلقه</v>
      </c>
      <c r="H2190" s="1">
        <v>0</v>
      </c>
      <c r="I2190" s="1">
        <v>0</v>
      </c>
      <c r="J2190" s="1">
        <v>4</v>
      </c>
      <c r="K2190" s="1">
        <v>1400000</v>
      </c>
      <c r="L2190" s="1">
        <v>0</v>
      </c>
      <c r="M2190" s="1">
        <v>0</v>
      </c>
      <c r="O2190" s="1">
        <v>97</v>
      </c>
      <c r="P2190" s="4">
        <f t="shared" si="102"/>
        <v>1400000</v>
      </c>
      <c r="Q2190" s="4">
        <f t="shared" si="103"/>
        <v>4</v>
      </c>
      <c r="R2190" s="4">
        <f t="shared" si="104"/>
        <v>350000</v>
      </c>
    </row>
    <row r="2191" spans="1:18">
      <c r="A2191" s="1">
        <v>2</v>
      </c>
      <c r="B2191" s="1" t="str">
        <f>"قطعات و لوازم يدكي"</f>
        <v>قطعات و لوازم يدكي</v>
      </c>
      <c r="C2191" s="1">
        <v>120</v>
      </c>
      <c r="D2191" s="1" t="str">
        <f>"انبار قطعات و لوازم يدكي بشکه سازي اصفهان"</f>
        <v>انبار قطعات و لوازم يدكي بشکه سازي اصفهان</v>
      </c>
      <c r="E2191" s="1" t="str">
        <f>"4311700355"</f>
        <v>4311700355</v>
      </c>
      <c r="F2191" s="1" t="str">
        <f>"پيچ آلن 4*16m"</f>
        <v>پيچ آلن 4*16m</v>
      </c>
      <c r="G2191" s="1" t="str">
        <f>"عدد"</f>
        <v>عدد</v>
      </c>
      <c r="H2191" s="1">
        <v>0</v>
      </c>
      <c r="I2191" s="1">
        <v>0</v>
      </c>
      <c r="J2191" s="1">
        <v>12</v>
      </c>
      <c r="K2191" s="1">
        <v>132000</v>
      </c>
      <c r="L2191" s="1">
        <v>0</v>
      </c>
      <c r="M2191" s="1">
        <v>0</v>
      </c>
      <c r="O2191" s="1">
        <v>97</v>
      </c>
      <c r="P2191" s="4">
        <f t="shared" si="102"/>
        <v>132000</v>
      </c>
      <c r="Q2191" s="4">
        <f t="shared" si="103"/>
        <v>12</v>
      </c>
      <c r="R2191" s="4">
        <f t="shared" si="104"/>
        <v>11000</v>
      </c>
    </row>
    <row r="2192" spans="1:18">
      <c r="A2192" s="1">
        <v>2</v>
      </c>
      <c r="B2192" s="1" t="str">
        <f>"قطعات و لوازم يدكي"</f>
        <v>قطعات و لوازم يدكي</v>
      </c>
      <c r="C2192" s="1">
        <v>120</v>
      </c>
      <c r="D2192" s="1" t="str">
        <f>"انبار قطعات و لوازم يدكي بشکه سازي اصفهان"</f>
        <v>انبار قطعات و لوازم يدكي بشکه سازي اصفهان</v>
      </c>
      <c r="E2192" s="1" t="str">
        <f>"4311700361"</f>
        <v>4311700361</v>
      </c>
      <c r="F2192" s="1" t="str">
        <f>"فيوز مکانيکي پرس 63 تن"</f>
        <v>فيوز مکانيکي پرس 63 تن</v>
      </c>
      <c r="G2192" s="1" t="str">
        <f>"عدد"</f>
        <v>عدد</v>
      </c>
      <c r="H2192" s="1">
        <v>0</v>
      </c>
      <c r="I2192" s="1">
        <v>0</v>
      </c>
      <c r="J2192" s="1">
        <v>7</v>
      </c>
      <c r="K2192" s="1">
        <v>5600000</v>
      </c>
      <c r="L2192" s="1">
        <v>0</v>
      </c>
      <c r="M2192" s="1">
        <v>0</v>
      </c>
      <c r="O2192" s="1">
        <v>97</v>
      </c>
      <c r="P2192" s="4">
        <f t="shared" si="102"/>
        <v>5600000</v>
      </c>
      <c r="Q2192" s="4">
        <f t="shared" si="103"/>
        <v>7</v>
      </c>
      <c r="R2192" s="4">
        <f t="shared" si="104"/>
        <v>800000</v>
      </c>
    </row>
    <row r="2193" spans="1:18">
      <c r="A2193" s="1">
        <v>2</v>
      </c>
      <c r="B2193" s="1" t="str">
        <f>"قطعات و لوازم يدكي"</f>
        <v>قطعات و لوازم يدكي</v>
      </c>
      <c r="C2193" s="1">
        <v>101</v>
      </c>
      <c r="D2193" s="1" t="str">
        <f>"انبار قطعات و لوازم يدكي اصفهان"</f>
        <v>انبار قطعات و لوازم يدكي اصفهان</v>
      </c>
      <c r="E2193" s="1" t="str">
        <f>"7630732952"</f>
        <v>7630732952</v>
      </c>
      <c r="F2193" s="1" t="str">
        <f>"تبديل 6*3 اينچ 40"</f>
        <v>تبديل 6*3 اينچ 40</v>
      </c>
      <c r="G2193" s="1" t="str">
        <f>"عدد"</f>
        <v>عدد</v>
      </c>
      <c r="H2193" s="1">
        <v>2</v>
      </c>
      <c r="I2193" s="1">
        <v>2</v>
      </c>
      <c r="J2193" s="1">
        <v>0</v>
      </c>
      <c r="K2193" s="1">
        <v>0</v>
      </c>
      <c r="L2193" s="1">
        <v>0</v>
      </c>
      <c r="M2193" s="1">
        <v>0</v>
      </c>
      <c r="O2193" s="1">
        <v>97</v>
      </c>
      <c r="P2193" s="4">
        <f t="shared" si="102"/>
        <v>2</v>
      </c>
      <c r="Q2193" s="4">
        <f t="shared" si="103"/>
        <v>2</v>
      </c>
      <c r="R2193" s="4">
        <f t="shared" si="104"/>
        <v>1</v>
      </c>
    </row>
    <row r="2194" spans="1:18">
      <c r="A2194" s="1">
        <v>2</v>
      </c>
      <c r="B2194" s="1" t="str">
        <f>"قطعات و لوازم يدكي"</f>
        <v>قطعات و لوازم يدكي</v>
      </c>
      <c r="C2194" s="1">
        <v>101</v>
      </c>
      <c r="D2194" s="1" t="str">
        <f>"انبار قطعات و لوازم يدكي اصفهان"</f>
        <v>انبار قطعات و لوازم يدكي اصفهان</v>
      </c>
      <c r="E2194" s="1" t="str">
        <f>"7630841852"</f>
        <v>7630841852</v>
      </c>
      <c r="F2194" s="1" t="str">
        <f>"سه راهي اهني 8 اينچ"</f>
        <v>سه راهي اهني 8 اينچ</v>
      </c>
      <c r="G2194" s="1" t="str">
        <f>"عدد"</f>
        <v>عدد</v>
      </c>
      <c r="H2194" s="1">
        <v>6</v>
      </c>
      <c r="I2194" s="1">
        <v>7207273</v>
      </c>
      <c r="J2194" s="1">
        <v>0</v>
      </c>
      <c r="K2194" s="1">
        <v>0</v>
      </c>
      <c r="L2194" s="1">
        <v>0</v>
      </c>
      <c r="M2194" s="1">
        <v>0</v>
      </c>
      <c r="O2194" s="1">
        <v>97</v>
      </c>
      <c r="P2194" s="4">
        <f t="shared" si="102"/>
        <v>7207273</v>
      </c>
      <c r="Q2194" s="4">
        <f t="shared" si="103"/>
        <v>6</v>
      </c>
      <c r="R2194" s="4">
        <f t="shared" si="104"/>
        <v>1201212.1666666667</v>
      </c>
    </row>
    <row r="2195" spans="1:18">
      <c r="A2195" s="1">
        <v>2</v>
      </c>
      <c r="B2195" s="1" t="str">
        <f>"قطعات و لوازم يدكي"</f>
        <v>قطعات و لوازم يدكي</v>
      </c>
      <c r="C2195" s="1">
        <v>101</v>
      </c>
      <c r="D2195" s="1" t="str">
        <f>"انبار قطعات و لوازم يدكي اصفهان"</f>
        <v>انبار قطعات و لوازم يدكي اصفهان</v>
      </c>
      <c r="E2195" s="1" t="str">
        <f>"7630842052"</f>
        <v>7630842052</v>
      </c>
      <c r="F2195" s="1" t="str">
        <f>"سه راهي اهني 10 اينچ"</f>
        <v>سه راهي اهني 10 اينچ</v>
      </c>
      <c r="G2195" s="1" t="str">
        <f>"عدد"</f>
        <v>عدد</v>
      </c>
      <c r="H2195" s="1">
        <v>2</v>
      </c>
      <c r="I2195" s="1">
        <v>1695000</v>
      </c>
      <c r="J2195" s="1">
        <v>0</v>
      </c>
      <c r="K2195" s="1">
        <v>0</v>
      </c>
      <c r="L2195" s="1">
        <v>0</v>
      </c>
      <c r="M2195" s="1">
        <v>0</v>
      </c>
      <c r="O2195" s="1">
        <v>97</v>
      </c>
      <c r="P2195" s="4">
        <f t="shared" si="102"/>
        <v>1695000</v>
      </c>
      <c r="Q2195" s="4">
        <f t="shared" si="103"/>
        <v>2</v>
      </c>
      <c r="R2195" s="4">
        <f t="shared" si="104"/>
        <v>847500</v>
      </c>
    </row>
    <row r="2196" spans="1:18">
      <c r="A2196" s="1">
        <v>2</v>
      </c>
      <c r="B2196" s="1" t="str">
        <f>"قطعات و لوازم يدكي"</f>
        <v>قطعات و لوازم يدكي</v>
      </c>
      <c r="C2196" s="1">
        <v>101</v>
      </c>
      <c r="D2196" s="1" t="str">
        <f>"انبار قطعات و لوازم يدكي اصفهان"</f>
        <v>انبار قطعات و لوازم يدكي اصفهان</v>
      </c>
      <c r="E2196" s="1" t="str">
        <f>"7630853352"</f>
        <v>7630853352</v>
      </c>
      <c r="F2196" s="1" t="str">
        <f>"سه راهي جوشي 6*8 اينچ اس 40"</f>
        <v>سه راهي جوشي 6*8 اينچ اس 40</v>
      </c>
      <c r="G2196" s="1" t="str">
        <f>"عدد"</f>
        <v>عدد</v>
      </c>
      <c r="H2196" s="1">
        <v>2</v>
      </c>
      <c r="I2196" s="1">
        <v>920000</v>
      </c>
      <c r="J2196" s="1">
        <v>0</v>
      </c>
      <c r="K2196" s="1">
        <v>0</v>
      </c>
      <c r="L2196" s="1">
        <v>0</v>
      </c>
      <c r="M2196" s="1">
        <v>0</v>
      </c>
      <c r="O2196" s="1">
        <v>97</v>
      </c>
      <c r="P2196" s="4">
        <f t="shared" si="102"/>
        <v>920000</v>
      </c>
      <c r="Q2196" s="4">
        <f t="shared" si="103"/>
        <v>2</v>
      </c>
      <c r="R2196" s="4">
        <f t="shared" si="104"/>
        <v>460000</v>
      </c>
    </row>
    <row r="2197" spans="1:18">
      <c r="A2197" s="1">
        <v>2</v>
      </c>
      <c r="B2197" s="1" t="str">
        <f>"قطعات و لوازم يدكي"</f>
        <v>قطعات و لوازم يدكي</v>
      </c>
      <c r="C2197" s="1">
        <v>101</v>
      </c>
      <c r="D2197" s="1" t="str">
        <f>"انبار قطعات و لوازم يدكي اصفهان"</f>
        <v>انبار قطعات و لوازم يدكي اصفهان</v>
      </c>
      <c r="E2197" s="1" t="str">
        <f>"7634382122"</f>
        <v>7634382122</v>
      </c>
      <c r="F2197" s="1" t="str">
        <f>"زانو 45 درجه ساكت ولد 3/4 اينچ 3000"</f>
        <v>زانو 45 درجه ساكت ولد 3/4 اينچ 3000</v>
      </c>
      <c r="G2197" s="1" t="str">
        <f>"عدد"</f>
        <v>عدد</v>
      </c>
      <c r="H2197" s="1">
        <v>50</v>
      </c>
      <c r="I2197" s="1">
        <v>1733254</v>
      </c>
      <c r="J2197" s="1">
        <v>0</v>
      </c>
      <c r="K2197" s="1">
        <v>0</v>
      </c>
      <c r="L2197" s="1">
        <v>0</v>
      </c>
      <c r="M2197" s="1">
        <v>0</v>
      </c>
      <c r="O2197" s="1">
        <v>97</v>
      </c>
      <c r="P2197" s="4">
        <f t="shared" si="102"/>
        <v>1733254</v>
      </c>
      <c r="Q2197" s="4">
        <f t="shared" si="103"/>
        <v>50</v>
      </c>
      <c r="R2197" s="4">
        <f t="shared" si="104"/>
        <v>34665.08</v>
      </c>
    </row>
    <row r="2198" spans="1:18">
      <c r="A2198" s="1">
        <v>2</v>
      </c>
      <c r="B2198" s="1" t="str">
        <f>"قطعات و لوازم يدكي"</f>
        <v>قطعات و لوازم يدكي</v>
      </c>
      <c r="C2198" s="1">
        <v>101</v>
      </c>
      <c r="D2198" s="1" t="str">
        <f>"انبار قطعات و لوازم يدكي اصفهان"</f>
        <v>انبار قطعات و لوازم يدكي اصفهان</v>
      </c>
      <c r="E2198" s="1" t="str">
        <f>"7634702082"</f>
        <v>7634702082</v>
      </c>
      <c r="F2198" s="1" t="s">
        <v>136</v>
      </c>
      <c r="G2198" s="1" t="str">
        <f>"عدد"</f>
        <v>عدد</v>
      </c>
      <c r="H2198" s="1">
        <v>31</v>
      </c>
      <c r="I2198" s="1">
        <v>3002000</v>
      </c>
      <c r="J2198" s="1">
        <v>0</v>
      </c>
      <c r="K2198" s="1">
        <v>0</v>
      </c>
      <c r="L2198" s="1">
        <v>3</v>
      </c>
      <c r="M2198" s="1">
        <v>290517</v>
      </c>
      <c r="O2198" s="1">
        <v>97</v>
      </c>
      <c r="P2198" s="4">
        <f t="shared" si="102"/>
        <v>2711483</v>
      </c>
      <c r="Q2198" s="4">
        <f t="shared" si="103"/>
        <v>28</v>
      </c>
      <c r="R2198" s="4">
        <f t="shared" si="104"/>
        <v>96838.678571428565</v>
      </c>
    </row>
    <row r="2199" spans="1:18">
      <c r="A2199" s="1">
        <v>2</v>
      </c>
      <c r="B2199" s="1" t="str">
        <f>"قطعات و لوازم يدكي"</f>
        <v>قطعات و لوازم يدكي</v>
      </c>
      <c r="C2199" s="1">
        <v>101</v>
      </c>
      <c r="D2199" s="1" t="str">
        <f>"انبار قطعات و لوازم يدكي اصفهان"</f>
        <v>انبار قطعات و لوازم يدكي اصفهان</v>
      </c>
      <c r="E2199" s="1" t="str">
        <f>"7640260142"</f>
        <v>7640260142</v>
      </c>
      <c r="F2199" s="1" t="str">
        <f>"STUD CONNECTOR 1/4*1/2 M"</f>
        <v>STUD CONNECTOR 1/4*1/2 M</v>
      </c>
      <c r="G2199" s="1" t="str">
        <f>"عدد"</f>
        <v>عدد</v>
      </c>
      <c r="H2199" s="1">
        <v>15</v>
      </c>
      <c r="I2199" s="1">
        <v>2032500</v>
      </c>
      <c r="J2199" s="1">
        <v>5</v>
      </c>
      <c r="K2199" s="1">
        <v>3300000</v>
      </c>
      <c r="L2199" s="1">
        <v>5</v>
      </c>
      <c r="M2199" s="1">
        <v>677500</v>
      </c>
      <c r="O2199" s="1">
        <v>97</v>
      </c>
      <c r="P2199" s="4">
        <f t="shared" si="102"/>
        <v>4655000</v>
      </c>
      <c r="Q2199" s="4">
        <f t="shared" si="103"/>
        <v>15</v>
      </c>
      <c r="R2199" s="4">
        <f t="shared" si="104"/>
        <v>310333.33333333331</v>
      </c>
    </row>
    <row r="2200" spans="1:18">
      <c r="A2200" s="1">
        <v>2</v>
      </c>
      <c r="B2200" s="1" t="str">
        <f>"قطعات و لوازم يدكي"</f>
        <v>قطعات و لوازم يدكي</v>
      </c>
      <c r="C2200" s="1">
        <v>101</v>
      </c>
      <c r="D2200" s="1" t="str">
        <f>"انبار قطعات و لوازم يدكي اصفهان"</f>
        <v>انبار قطعات و لوازم يدكي اصفهان</v>
      </c>
      <c r="E2200" s="1" t="str">
        <f>"7640390282"</f>
        <v>7640390282</v>
      </c>
      <c r="F2200" s="1" t="s">
        <v>137</v>
      </c>
      <c r="G2200" s="1" t="str">
        <f>"عدد"</f>
        <v>عدد</v>
      </c>
      <c r="H2200" s="1">
        <v>0</v>
      </c>
      <c r="I2200" s="1">
        <v>0</v>
      </c>
      <c r="J2200" s="1">
        <v>15</v>
      </c>
      <c r="K2200" s="1">
        <v>14850000</v>
      </c>
      <c r="L2200" s="1">
        <v>0</v>
      </c>
      <c r="M2200" s="1">
        <v>0</v>
      </c>
      <c r="O2200" s="1">
        <v>97</v>
      </c>
      <c r="P2200" s="4">
        <f t="shared" si="102"/>
        <v>14850000</v>
      </c>
      <c r="Q2200" s="4">
        <f t="shared" si="103"/>
        <v>15</v>
      </c>
      <c r="R2200" s="4">
        <f t="shared" si="104"/>
        <v>990000</v>
      </c>
    </row>
    <row r="2201" spans="1:18">
      <c r="A2201" s="1">
        <v>2</v>
      </c>
      <c r="B2201" s="1" t="str">
        <f>"قطعات و لوازم يدكي"</f>
        <v>قطعات و لوازم يدكي</v>
      </c>
      <c r="C2201" s="1">
        <v>101</v>
      </c>
      <c r="D2201" s="1" t="str">
        <f>"انبار قطعات و لوازم يدكي اصفهان"</f>
        <v>انبار قطعات و لوازم يدكي اصفهان</v>
      </c>
      <c r="E2201" s="1" t="str">
        <f>"7640390742"</f>
        <v>7640390742</v>
      </c>
      <c r="F2201" s="1" t="str">
        <f>"استد البو 3/8*3/8 (FMAEL)"</f>
        <v>استد البو 3/8*3/8 (FMAEL)</v>
      </c>
      <c r="G2201" s="1" t="str">
        <f>"عدد"</f>
        <v>عدد</v>
      </c>
      <c r="H2201" s="1">
        <v>16</v>
      </c>
      <c r="I2201" s="1">
        <v>2400000</v>
      </c>
      <c r="J2201" s="1">
        <v>0</v>
      </c>
      <c r="K2201" s="1">
        <v>0</v>
      </c>
      <c r="L2201" s="1">
        <v>0</v>
      </c>
      <c r="M2201" s="1">
        <v>0</v>
      </c>
      <c r="O2201" s="1">
        <v>97</v>
      </c>
      <c r="P2201" s="4">
        <f t="shared" si="102"/>
        <v>2400000</v>
      </c>
      <c r="Q2201" s="4">
        <f t="shared" si="103"/>
        <v>16</v>
      </c>
      <c r="R2201" s="4">
        <f t="shared" si="104"/>
        <v>150000</v>
      </c>
    </row>
    <row r="2202" spans="1:18">
      <c r="A2202" s="1">
        <v>2</v>
      </c>
      <c r="B2202" s="1" t="str">
        <f>"قطعات و لوازم يدكي"</f>
        <v>قطعات و لوازم يدكي</v>
      </c>
      <c r="C2202" s="1">
        <v>101</v>
      </c>
      <c r="D2202" s="1" t="str">
        <f>"انبار قطعات و لوازم يدكي اصفهان"</f>
        <v>انبار قطعات و لوازم يدكي اصفهان</v>
      </c>
      <c r="E2202" s="1" t="str">
        <f>"7640900042"</f>
        <v>7640900042</v>
      </c>
      <c r="F2202" s="1" t="str">
        <f>"يونيون براس 1/4 اينچ"</f>
        <v>يونيون براس 1/4 اينچ</v>
      </c>
      <c r="G2202" s="1" t="str">
        <f>"عدد"</f>
        <v>عدد</v>
      </c>
      <c r="H2202" s="1">
        <v>21</v>
      </c>
      <c r="I2202" s="1">
        <v>1546034</v>
      </c>
      <c r="J2202" s="1">
        <v>2</v>
      </c>
      <c r="K2202" s="1">
        <v>147242</v>
      </c>
      <c r="L2202" s="1">
        <v>2</v>
      </c>
      <c r="M2202" s="1">
        <v>147242</v>
      </c>
      <c r="O2202" s="1">
        <v>97</v>
      </c>
      <c r="P2202" s="4">
        <f t="shared" si="102"/>
        <v>1546034</v>
      </c>
      <c r="Q2202" s="4">
        <f t="shared" si="103"/>
        <v>21</v>
      </c>
      <c r="R2202" s="4">
        <f t="shared" si="104"/>
        <v>73620.666666666672</v>
      </c>
    </row>
    <row r="2203" spans="1:18">
      <c r="A2203" s="1">
        <v>2</v>
      </c>
      <c r="B2203" s="1" t="str">
        <f>"قطعات و لوازم يدكي"</f>
        <v>قطعات و لوازم يدكي</v>
      </c>
      <c r="C2203" s="1">
        <v>101</v>
      </c>
      <c r="D2203" s="1" t="str">
        <f>"انبار قطعات و لوازم يدكي اصفهان"</f>
        <v>انبار قطعات و لوازم يدكي اصفهان</v>
      </c>
      <c r="E2203" s="1" t="str">
        <f>"7662100682"</f>
        <v>7662100682</v>
      </c>
      <c r="F2203" s="1" t="str">
        <f>"BLINND FLANG 1-1/2 RF CL150 CS"</f>
        <v>BLINND FLANG 1-1/2 RF CL150 CS</v>
      </c>
      <c r="G2203" s="1" t="str">
        <f>"عدد"</f>
        <v>عدد</v>
      </c>
      <c r="H2203" s="1">
        <v>0</v>
      </c>
      <c r="I2203" s="1">
        <v>0</v>
      </c>
      <c r="J2203" s="1">
        <v>11</v>
      </c>
      <c r="K2203" s="1">
        <v>2410000</v>
      </c>
      <c r="L2203" s="1">
        <v>1</v>
      </c>
      <c r="M2203" s="1">
        <v>210000</v>
      </c>
      <c r="O2203" s="1">
        <v>97</v>
      </c>
      <c r="P2203" s="4">
        <f t="shared" si="102"/>
        <v>2200000</v>
      </c>
      <c r="Q2203" s="4">
        <f t="shared" si="103"/>
        <v>10</v>
      </c>
      <c r="R2203" s="4">
        <f t="shared" si="104"/>
        <v>220000</v>
      </c>
    </row>
    <row r="2204" spans="1:18">
      <c r="A2204" s="1">
        <v>2</v>
      </c>
      <c r="B2204" s="1" t="str">
        <f>"قطعات و لوازم يدكي"</f>
        <v>قطعات و لوازم يدكي</v>
      </c>
      <c r="C2204" s="1">
        <v>101</v>
      </c>
      <c r="D2204" s="1" t="str">
        <f>"انبار قطعات و لوازم يدكي اصفهان"</f>
        <v>انبار قطعات و لوازم يدكي اصفهان</v>
      </c>
      <c r="E2204" s="1" t="str">
        <f>"7662101182"</f>
        <v>7662101182</v>
      </c>
      <c r="F2204" s="1" t="str">
        <f>"BLIAND FLANG 1-1/2 RF CL300 CS"</f>
        <v>BLIAND FLANG 1-1/2 RF CL300 CS</v>
      </c>
      <c r="G2204" s="1" t="str">
        <f>"عدد"</f>
        <v>عدد</v>
      </c>
      <c r="H2204" s="1">
        <v>5</v>
      </c>
      <c r="I2204" s="1">
        <v>1200000</v>
      </c>
      <c r="J2204" s="1">
        <v>0</v>
      </c>
      <c r="K2204" s="1">
        <v>0</v>
      </c>
      <c r="L2204" s="1">
        <v>0</v>
      </c>
      <c r="M2204" s="1">
        <v>0</v>
      </c>
      <c r="O2204" s="1">
        <v>97</v>
      </c>
      <c r="P2204" s="4">
        <f t="shared" si="102"/>
        <v>1200000</v>
      </c>
      <c r="Q2204" s="4">
        <f t="shared" si="103"/>
        <v>5</v>
      </c>
      <c r="R2204" s="4">
        <f t="shared" si="104"/>
        <v>240000</v>
      </c>
    </row>
    <row r="2205" spans="1:18">
      <c r="A2205" s="1">
        <v>2</v>
      </c>
      <c r="B2205" s="1" t="str">
        <f>"قطعات و لوازم يدكي"</f>
        <v>قطعات و لوازم يدكي</v>
      </c>
      <c r="C2205" s="1">
        <v>101</v>
      </c>
      <c r="D2205" s="1" t="str">
        <f>"انبار قطعات و لوازم يدكي اصفهان"</f>
        <v>انبار قطعات و لوازم يدكي اصفهان</v>
      </c>
      <c r="E2205" s="1" t="str">
        <f>"7662101242"</f>
        <v>7662101242</v>
      </c>
      <c r="F2205" s="1" t="s">
        <v>138</v>
      </c>
      <c r="G2205" s="1" t="str">
        <f>"عدد"</f>
        <v>عدد</v>
      </c>
      <c r="H2205" s="1">
        <v>3</v>
      </c>
      <c r="I2205" s="1">
        <v>1790000</v>
      </c>
      <c r="J2205" s="1">
        <v>0</v>
      </c>
      <c r="K2205" s="1">
        <v>0</v>
      </c>
      <c r="L2205" s="1">
        <v>0</v>
      </c>
      <c r="M2205" s="1">
        <v>0</v>
      </c>
      <c r="O2205" s="1">
        <v>97</v>
      </c>
      <c r="P2205" s="4">
        <f t="shared" si="102"/>
        <v>1790000</v>
      </c>
      <c r="Q2205" s="4">
        <f t="shared" si="103"/>
        <v>3</v>
      </c>
      <c r="R2205" s="4">
        <f t="shared" si="104"/>
        <v>596666.66666666663</v>
      </c>
    </row>
    <row r="2206" spans="1:18">
      <c r="A2206" s="1">
        <v>2</v>
      </c>
      <c r="B2206" s="1" t="str">
        <f>"قطعات و لوازم يدكي"</f>
        <v>قطعات و لوازم يدكي</v>
      </c>
      <c r="C2206" s="1">
        <v>101</v>
      </c>
      <c r="D2206" s="1" t="str">
        <f>"انبار قطعات و لوازم يدكي اصفهان"</f>
        <v>انبار قطعات و لوازم يدكي اصفهان</v>
      </c>
      <c r="E2206" s="1" t="str">
        <f>"7662101262"</f>
        <v>7662101262</v>
      </c>
      <c r="F2206" s="1" t="s">
        <v>139</v>
      </c>
      <c r="G2206" s="1" t="str">
        <f>"عدد"</f>
        <v>عدد</v>
      </c>
      <c r="H2206" s="1">
        <v>1</v>
      </c>
      <c r="I2206" s="1">
        <v>2246667</v>
      </c>
      <c r="J2206" s="1">
        <v>3</v>
      </c>
      <c r="K2206" s="1">
        <v>4882222</v>
      </c>
      <c r="L2206" s="1">
        <v>3</v>
      </c>
      <c r="M2206" s="1">
        <v>5346667</v>
      </c>
      <c r="O2206" s="1">
        <v>97</v>
      </c>
      <c r="P2206" s="4">
        <f t="shared" si="102"/>
        <v>1782222</v>
      </c>
      <c r="Q2206" s="4">
        <f t="shared" si="103"/>
        <v>1</v>
      </c>
      <c r="R2206" s="4">
        <f t="shared" si="104"/>
        <v>1782222</v>
      </c>
    </row>
    <row r="2207" spans="1:18">
      <c r="A2207" s="1">
        <v>2</v>
      </c>
      <c r="B2207" s="1" t="str">
        <f>"قطعات و لوازم يدكي"</f>
        <v>قطعات و لوازم يدكي</v>
      </c>
      <c r="C2207" s="1">
        <v>101</v>
      </c>
      <c r="D2207" s="1" t="str">
        <f>"انبار قطعات و لوازم يدكي اصفهان"</f>
        <v>انبار قطعات و لوازم يدكي اصفهان</v>
      </c>
      <c r="E2207" s="1" t="str">
        <f>"7662701182"</f>
        <v>7662701182</v>
      </c>
      <c r="F2207" s="1" t="str">
        <f>"فلنج 1/2-1 جوشي كلاس 150"</f>
        <v>فلنج 1/2-1 جوشي كلاس 150</v>
      </c>
      <c r="G2207" s="1" t="str">
        <f>"عدد"</f>
        <v>عدد</v>
      </c>
      <c r="H2207" s="1">
        <v>9</v>
      </c>
      <c r="I2207" s="1">
        <v>1955001</v>
      </c>
      <c r="J2207" s="1">
        <v>20</v>
      </c>
      <c r="K2207" s="1">
        <v>17900000</v>
      </c>
      <c r="L2207" s="1">
        <v>10</v>
      </c>
      <c r="M2207" s="1">
        <v>2850001</v>
      </c>
      <c r="O2207" s="1">
        <v>97</v>
      </c>
      <c r="P2207" s="4">
        <f t="shared" si="102"/>
        <v>17005000</v>
      </c>
      <c r="Q2207" s="4">
        <f t="shared" si="103"/>
        <v>19</v>
      </c>
      <c r="R2207" s="4">
        <f t="shared" si="104"/>
        <v>895000</v>
      </c>
    </row>
    <row r="2208" spans="1:18">
      <c r="A2208" s="1">
        <v>2</v>
      </c>
      <c r="B2208" s="1" t="str">
        <f>"قطعات و لوازم يدكي"</f>
        <v>قطعات و لوازم يدكي</v>
      </c>
      <c r="C2208" s="1">
        <v>101</v>
      </c>
      <c r="D2208" s="1" t="str">
        <f>"انبار قطعات و لوازم يدكي اصفهان"</f>
        <v>انبار قطعات و لوازم يدكي اصفهان</v>
      </c>
      <c r="E2208" s="1" t="str">
        <f>"7662792502"</f>
        <v>7662792502</v>
      </c>
      <c r="F2208" s="1" t="s">
        <v>140</v>
      </c>
      <c r="G2208" s="1" t="str">
        <f>"عدد"</f>
        <v>عدد</v>
      </c>
      <c r="H2208" s="1">
        <v>5</v>
      </c>
      <c r="I2208" s="1">
        <v>1231898</v>
      </c>
      <c r="J2208" s="1">
        <v>6</v>
      </c>
      <c r="K2208" s="1">
        <v>5746380</v>
      </c>
      <c r="L2208" s="1">
        <v>4</v>
      </c>
      <c r="M2208" s="1">
        <v>985518</v>
      </c>
      <c r="O2208" s="1">
        <v>97</v>
      </c>
      <c r="P2208" s="4">
        <f t="shared" si="102"/>
        <v>5992760</v>
      </c>
      <c r="Q2208" s="4">
        <f t="shared" si="103"/>
        <v>7</v>
      </c>
      <c r="R2208" s="4">
        <f t="shared" si="104"/>
        <v>856108.57142857148</v>
      </c>
    </row>
    <row r="2209" spans="1:18">
      <c r="A2209" s="1">
        <v>2</v>
      </c>
      <c r="B2209" s="1" t="str">
        <f>"قطعات و لوازم يدكي"</f>
        <v>قطعات و لوازم يدكي</v>
      </c>
      <c r="C2209" s="1">
        <v>101</v>
      </c>
      <c r="D2209" s="1" t="str">
        <f>"انبار قطعات و لوازم يدكي اصفهان"</f>
        <v>انبار قطعات و لوازم يدكي اصفهان</v>
      </c>
      <c r="E2209" s="1" t="str">
        <f>"7662792522"</f>
        <v>7662792522</v>
      </c>
      <c r="F2209" s="1" t="str">
        <f>"فلنج  3 اينچwnكلاس 150"</f>
        <v>فلنج  3 اينچwnكلاس 150</v>
      </c>
      <c r="G2209" s="1" t="str">
        <f>"عدد"</f>
        <v>عدد</v>
      </c>
      <c r="H2209" s="1">
        <v>6</v>
      </c>
      <c r="I2209" s="1">
        <v>2091429</v>
      </c>
      <c r="J2209" s="1">
        <v>0</v>
      </c>
      <c r="K2209" s="1">
        <v>0</v>
      </c>
      <c r="L2209" s="1">
        <v>2</v>
      </c>
      <c r="M2209" s="1">
        <v>697143</v>
      </c>
      <c r="O2209" s="1">
        <v>97</v>
      </c>
      <c r="P2209" s="4">
        <f t="shared" si="102"/>
        <v>1394286</v>
      </c>
      <c r="Q2209" s="4">
        <f t="shared" si="103"/>
        <v>4</v>
      </c>
      <c r="R2209" s="4">
        <f t="shared" si="104"/>
        <v>348571.5</v>
      </c>
    </row>
    <row r="2210" spans="1:18">
      <c r="A2210" s="1">
        <v>2</v>
      </c>
      <c r="B2210" s="1" t="str">
        <f>"قطعات و لوازم يدكي"</f>
        <v>قطعات و لوازم يدكي</v>
      </c>
      <c r="C2210" s="1">
        <v>101</v>
      </c>
      <c r="D2210" s="1" t="str">
        <f>"انبار قطعات و لوازم يدكي اصفهان"</f>
        <v>انبار قطعات و لوازم يدكي اصفهان</v>
      </c>
      <c r="E2210" s="1" t="str">
        <f>"7662792682"</f>
        <v>7662792682</v>
      </c>
      <c r="F2210" s="1" t="str">
        <f>"فلنج 18 اينچ W.N كلاس 150"</f>
        <v>فلنج 18 اينچ W.N كلاس 150</v>
      </c>
      <c r="G2210" s="1" t="str">
        <f>"عدد"</f>
        <v>عدد</v>
      </c>
      <c r="H2210" s="1">
        <v>1</v>
      </c>
      <c r="I2210" s="1">
        <v>8032500</v>
      </c>
      <c r="J2210" s="1">
        <v>0</v>
      </c>
      <c r="K2210" s="1">
        <v>0</v>
      </c>
      <c r="L2210" s="1">
        <v>0</v>
      </c>
      <c r="M2210" s="1">
        <v>0</v>
      </c>
      <c r="O2210" s="1">
        <v>97</v>
      </c>
      <c r="P2210" s="4">
        <f t="shared" si="102"/>
        <v>8032500</v>
      </c>
      <c r="Q2210" s="4">
        <f t="shared" si="103"/>
        <v>1</v>
      </c>
      <c r="R2210" s="4">
        <f t="shared" si="104"/>
        <v>8032500</v>
      </c>
    </row>
    <row r="2211" spans="1:18">
      <c r="A2211" s="1">
        <v>2</v>
      </c>
      <c r="B2211" s="1" t="str">
        <f>"قطعات و لوازم يدكي"</f>
        <v>قطعات و لوازم يدكي</v>
      </c>
      <c r="C2211" s="1">
        <v>101</v>
      </c>
      <c r="D2211" s="1" t="str">
        <f>"انبار قطعات و لوازم يدكي اصفهان"</f>
        <v>انبار قطعات و لوازم يدكي اصفهان</v>
      </c>
      <c r="E2211" s="1" t="str">
        <f>"7662795882"</f>
        <v>7662795882</v>
      </c>
      <c r="F2211" s="1" t="str">
        <f>"فلنج 8 اينچ 300"</f>
        <v>فلنج 8 اينچ 300</v>
      </c>
      <c r="G2211" s="1" t="str">
        <f>"عدد"</f>
        <v>عدد</v>
      </c>
      <c r="H2211" s="1">
        <v>6</v>
      </c>
      <c r="I2211" s="1">
        <v>14100000</v>
      </c>
      <c r="J2211" s="1">
        <v>0</v>
      </c>
      <c r="K2211" s="1">
        <v>0</v>
      </c>
      <c r="L2211" s="1">
        <v>0</v>
      </c>
      <c r="M2211" s="1">
        <v>0</v>
      </c>
      <c r="O2211" s="1">
        <v>97</v>
      </c>
      <c r="P2211" s="4">
        <f t="shared" si="102"/>
        <v>14100000</v>
      </c>
      <c r="Q2211" s="4">
        <f t="shared" si="103"/>
        <v>6</v>
      </c>
      <c r="R2211" s="4">
        <f t="shared" si="104"/>
        <v>2350000</v>
      </c>
    </row>
    <row r="2212" spans="1:18" hidden="1">
      <c r="A2212" s="1">
        <v>2</v>
      </c>
      <c r="B2212" s="1" t="str">
        <f>"قطعات و لوازم يدكي"</f>
        <v>قطعات و لوازم يدكي</v>
      </c>
      <c r="C2212" s="1">
        <v>101</v>
      </c>
      <c r="D2212" s="1" t="str">
        <f>"انبار قطعات و لوازم يدكي اصفهان"</f>
        <v>انبار قطعات و لوازم يدكي اصفهان</v>
      </c>
      <c r="E2212" s="1" t="str">
        <f>"7662902082"</f>
        <v>7662902082</v>
      </c>
      <c r="F2212" s="1" t="s">
        <v>141</v>
      </c>
      <c r="G2212" s="1" t="str">
        <f>"عدد"</f>
        <v>عدد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O2212" s="1">
        <v>97</v>
      </c>
      <c r="P2212" s="1">
        <f t="shared" si="102"/>
        <v>0</v>
      </c>
      <c r="Q2212" s="1">
        <f t="shared" si="103"/>
        <v>0</v>
      </c>
      <c r="R2212" s="1" t="e">
        <f t="shared" si="104"/>
        <v>#DIV/0!</v>
      </c>
    </row>
    <row r="2213" spans="1:18">
      <c r="A2213" s="1">
        <v>2</v>
      </c>
      <c r="B2213" s="1" t="str">
        <f>"قطعات و لوازم يدكي"</f>
        <v>قطعات و لوازم يدكي</v>
      </c>
      <c r="C2213" s="1">
        <v>101</v>
      </c>
      <c r="D2213" s="1" t="str">
        <f>"انبار قطعات و لوازم يدكي اصفهان"</f>
        <v>انبار قطعات و لوازم يدكي اصفهان</v>
      </c>
      <c r="E2213" s="1" t="str">
        <f>"7688062222"</f>
        <v>7688062222</v>
      </c>
      <c r="F2213" s="1" t="str">
        <f>"فلنج عينکي 3 اينچ کلاس 150"</f>
        <v>فلنج عينکي 3 اينچ کلاس 150</v>
      </c>
      <c r="G2213" s="1" t="str">
        <f>"عدد"</f>
        <v>عدد</v>
      </c>
      <c r="H2213" s="1">
        <v>5</v>
      </c>
      <c r="I2213" s="1">
        <v>2250000</v>
      </c>
      <c r="J2213" s="1">
        <v>0</v>
      </c>
      <c r="K2213" s="1">
        <v>0</v>
      </c>
      <c r="L2213" s="1">
        <v>1</v>
      </c>
      <c r="M2213" s="1">
        <v>450000</v>
      </c>
      <c r="O2213" s="1">
        <v>97</v>
      </c>
      <c r="P2213" s="4">
        <f t="shared" si="102"/>
        <v>1800000</v>
      </c>
      <c r="Q2213" s="4">
        <f t="shared" si="103"/>
        <v>4</v>
      </c>
      <c r="R2213" s="4">
        <f t="shared" si="104"/>
        <v>450000</v>
      </c>
    </row>
    <row r="2214" spans="1:18">
      <c r="A2214" s="1">
        <v>2</v>
      </c>
      <c r="B2214" s="1" t="str">
        <f>"قطعات و لوازم يدكي"</f>
        <v>قطعات و لوازم يدكي</v>
      </c>
      <c r="C2214" s="1">
        <v>101</v>
      </c>
      <c r="D2214" s="1" t="str">
        <f>"انبار قطعات و لوازم يدكي اصفهان"</f>
        <v>انبار قطعات و لوازم يدكي اصفهان</v>
      </c>
      <c r="E2214" s="1" t="str">
        <f>"7688062242"</f>
        <v>7688062242</v>
      </c>
      <c r="F2214" s="1" t="str">
        <f>"فلنج عينکي 4 اينچ کلاس 150"</f>
        <v>فلنج عينکي 4 اينچ کلاس 150</v>
      </c>
      <c r="G2214" s="1" t="str">
        <f>"عدد"</f>
        <v>عدد</v>
      </c>
      <c r="H2214" s="1">
        <v>4</v>
      </c>
      <c r="I2214" s="1">
        <v>2628571</v>
      </c>
      <c r="J2214" s="1">
        <v>0</v>
      </c>
      <c r="K2214" s="1">
        <v>0</v>
      </c>
      <c r="L2214" s="1">
        <v>1</v>
      </c>
      <c r="M2214" s="1">
        <v>657143</v>
      </c>
      <c r="O2214" s="1">
        <v>97</v>
      </c>
      <c r="P2214" s="4">
        <f t="shared" si="102"/>
        <v>1971428</v>
      </c>
      <c r="Q2214" s="4">
        <f t="shared" si="103"/>
        <v>3</v>
      </c>
      <c r="R2214" s="4">
        <f t="shared" si="104"/>
        <v>657142.66666666663</v>
      </c>
    </row>
    <row r="2215" spans="1:18" hidden="1">
      <c r="A2215" s="1">
        <v>2</v>
      </c>
      <c r="B2215" s="1" t="str">
        <f>"قطعات و لوازم يدكي"</f>
        <v>قطعات و لوازم يدكي</v>
      </c>
      <c r="C2215" s="1">
        <v>101</v>
      </c>
      <c r="D2215" s="1" t="str">
        <f>"انبار قطعات و لوازم يدكي اصفهان"</f>
        <v>انبار قطعات و لوازم يدكي اصفهان</v>
      </c>
      <c r="E2215" s="1" t="str">
        <f>"7802020072"</f>
        <v>7802020072</v>
      </c>
      <c r="F2215" s="1" t="str">
        <f>"ورق آجدار 1*2 ضخامت 8"</f>
        <v>ورق آجدار 1*2 ضخامت 8</v>
      </c>
      <c r="G2215" s="1" t="str">
        <f>"برگ"</f>
        <v>برگ</v>
      </c>
      <c r="H2215" s="1">
        <v>28</v>
      </c>
      <c r="I2215" s="1">
        <v>13160000</v>
      </c>
      <c r="J2215" s="1">
        <v>0</v>
      </c>
      <c r="K2215" s="1">
        <v>0</v>
      </c>
      <c r="L2215" s="1">
        <v>28</v>
      </c>
      <c r="M2215" s="1">
        <v>13160000</v>
      </c>
      <c r="O2215" s="1">
        <v>97</v>
      </c>
      <c r="P2215" s="1">
        <f t="shared" si="102"/>
        <v>0</v>
      </c>
      <c r="Q2215" s="1">
        <f t="shared" si="103"/>
        <v>0</v>
      </c>
      <c r="R2215" s="1" t="e">
        <f t="shared" si="104"/>
        <v>#DIV/0!</v>
      </c>
    </row>
    <row r="2216" spans="1:18" hidden="1">
      <c r="A2216" s="1">
        <v>2</v>
      </c>
      <c r="B2216" s="1" t="str">
        <f>"قطعات و لوازم يدكي"</f>
        <v>قطعات و لوازم يدكي</v>
      </c>
      <c r="C2216" s="1">
        <v>101</v>
      </c>
      <c r="D2216" s="1" t="str">
        <f>"انبار قطعات و لوازم يدكي اصفهان"</f>
        <v>انبار قطعات و لوازم يدكي اصفهان</v>
      </c>
      <c r="E2216" s="1" t="str">
        <f>"8100000022"</f>
        <v>8100000022</v>
      </c>
      <c r="F2216" s="1" t="s">
        <v>142</v>
      </c>
      <c r="G2216" s="1" t="str">
        <f>"عدد"</f>
        <v>عدد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O2216" s="1">
        <v>97</v>
      </c>
      <c r="P2216" s="1">
        <f t="shared" si="102"/>
        <v>0</v>
      </c>
      <c r="Q2216" s="1">
        <f t="shared" si="103"/>
        <v>0</v>
      </c>
      <c r="R2216" s="1" t="e">
        <f t="shared" si="104"/>
        <v>#DIV/0!</v>
      </c>
    </row>
    <row r="2217" spans="1:18">
      <c r="A2217" s="1">
        <v>2</v>
      </c>
      <c r="B2217" s="1" t="str">
        <f>"قطعات و لوازم يدكي"</f>
        <v>قطعات و لوازم يدكي</v>
      </c>
      <c r="C2217" s="1">
        <v>101</v>
      </c>
      <c r="D2217" s="1" t="str">
        <f>"انبار قطعات و لوازم يدكي اصفهان"</f>
        <v>انبار قطعات و لوازم يدكي اصفهان</v>
      </c>
      <c r="E2217" s="1" t="str">
        <f>"8100000032"</f>
        <v>8100000032</v>
      </c>
      <c r="F2217" s="1" t="str">
        <f>"يوبلت 1 اينچ"</f>
        <v>يوبلت 1 اينچ</v>
      </c>
      <c r="G2217" s="1" t="str">
        <f>"عدد"</f>
        <v>عدد</v>
      </c>
      <c r="H2217" s="1">
        <v>20</v>
      </c>
      <c r="I2217" s="1">
        <v>286555</v>
      </c>
      <c r="J2217" s="1">
        <v>0</v>
      </c>
      <c r="K2217" s="1">
        <v>0</v>
      </c>
      <c r="L2217" s="1">
        <v>8</v>
      </c>
      <c r="M2217" s="1">
        <v>114622</v>
      </c>
      <c r="O2217" s="1">
        <v>97</v>
      </c>
      <c r="P2217" s="4">
        <f t="shared" si="102"/>
        <v>171933</v>
      </c>
      <c r="Q2217" s="4">
        <f t="shared" si="103"/>
        <v>12</v>
      </c>
      <c r="R2217" s="4">
        <f t="shared" si="104"/>
        <v>14327.75</v>
      </c>
    </row>
    <row r="2218" spans="1:18" hidden="1">
      <c r="A2218" s="1">
        <v>2</v>
      </c>
      <c r="B2218" s="1" t="str">
        <f>"قطعات و لوازم يدكي"</f>
        <v>قطعات و لوازم يدكي</v>
      </c>
      <c r="C2218" s="1">
        <v>101</v>
      </c>
      <c r="D2218" s="1" t="str">
        <f>"انبار قطعات و لوازم يدكي اصفهان"</f>
        <v>انبار قطعات و لوازم يدكي اصفهان</v>
      </c>
      <c r="E2218" s="1" t="str">
        <f>"8100000192"</f>
        <v>8100000192</v>
      </c>
      <c r="F2218" s="1" t="str">
        <f>"پيچ و مهره 5*10"</f>
        <v>پيچ و مهره 5*10</v>
      </c>
      <c r="G2218" s="1" t="str">
        <f>"عدد"</f>
        <v>عدد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O2218" s="1">
        <v>97</v>
      </c>
      <c r="P2218" s="1">
        <f t="shared" si="102"/>
        <v>0</v>
      </c>
      <c r="Q2218" s="1">
        <f t="shared" si="103"/>
        <v>0</v>
      </c>
      <c r="R2218" s="1" t="e">
        <f t="shared" si="104"/>
        <v>#DIV/0!</v>
      </c>
    </row>
    <row r="2219" spans="1:18" hidden="1">
      <c r="A2219" s="1">
        <v>2</v>
      </c>
      <c r="B2219" s="1" t="str">
        <f>"قطعات و لوازم يدكي"</f>
        <v>قطعات و لوازم يدكي</v>
      </c>
      <c r="C2219" s="1">
        <v>101</v>
      </c>
      <c r="D2219" s="1" t="str">
        <f>"انبار قطعات و لوازم يدكي اصفهان"</f>
        <v>انبار قطعات و لوازم يدكي اصفهان</v>
      </c>
      <c r="E2219" s="1" t="str">
        <f>"8100000212"</f>
        <v>8100000212</v>
      </c>
      <c r="F2219" s="1" t="str">
        <f>"پيچ و مهره  3*12"</f>
        <v>پيچ و مهره  3*12</v>
      </c>
      <c r="G2219" s="1" t="str">
        <f>"عدد"</f>
        <v>عدد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O2219" s="1">
        <v>97</v>
      </c>
      <c r="P2219" s="1">
        <f t="shared" si="102"/>
        <v>0</v>
      </c>
      <c r="Q2219" s="1">
        <f t="shared" si="103"/>
        <v>0</v>
      </c>
      <c r="R2219" s="1" t="e">
        <f t="shared" si="104"/>
        <v>#DIV/0!</v>
      </c>
    </row>
    <row r="2220" spans="1:18" hidden="1">
      <c r="A2220" s="1">
        <v>2</v>
      </c>
      <c r="B2220" s="1" t="str">
        <f>"قطعات و لوازم يدكي"</f>
        <v>قطعات و لوازم يدكي</v>
      </c>
      <c r="C2220" s="1">
        <v>101</v>
      </c>
      <c r="D2220" s="1" t="str">
        <f>"انبار قطعات و لوازم يدكي اصفهان"</f>
        <v>انبار قطعات و لوازم يدكي اصفهان</v>
      </c>
      <c r="E2220" s="1" t="str">
        <f>"8101010012"</f>
        <v>8101010012</v>
      </c>
      <c r="F2220" s="1" t="str">
        <f>"پيچ خودکار 1000 عددي 1/2*10"</f>
        <v>پيچ خودکار 1000 عددي 1/2*10</v>
      </c>
      <c r="G2220" s="1" t="str">
        <f>"بسته"</f>
        <v>بسته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O2220" s="1">
        <v>97</v>
      </c>
      <c r="P2220" s="1">
        <f t="shared" si="102"/>
        <v>0</v>
      </c>
      <c r="Q2220" s="1">
        <f t="shared" si="103"/>
        <v>0</v>
      </c>
      <c r="R2220" s="1" t="e">
        <f t="shared" si="104"/>
        <v>#DIV/0!</v>
      </c>
    </row>
    <row r="2221" spans="1:18">
      <c r="A2221" s="1">
        <v>2</v>
      </c>
      <c r="B2221" s="1" t="str">
        <f>"قطعات و لوازم يدكي"</f>
        <v>قطعات و لوازم يدكي</v>
      </c>
      <c r="C2221" s="1">
        <v>101</v>
      </c>
      <c r="D2221" s="1" t="str">
        <f>"انبار قطعات و لوازم يدكي اصفهان"</f>
        <v>انبار قطعات و لوازم يدكي اصفهان</v>
      </c>
      <c r="E2221" s="1" t="str">
        <f>"8101015702"</f>
        <v>8101015702</v>
      </c>
      <c r="F2221" s="1" t="str">
        <f>"پيچ  و مهره 5/8*100"</f>
        <v>پيچ  و مهره 5/8*100</v>
      </c>
      <c r="G2221" s="1" t="str">
        <f>"عدد"</f>
        <v>عدد</v>
      </c>
      <c r="H2221" s="1">
        <v>5</v>
      </c>
      <c r="I2221" s="1">
        <v>317</v>
      </c>
      <c r="J2221" s="1">
        <v>0</v>
      </c>
      <c r="K2221" s="1">
        <v>0</v>
      </c>
      <c r="L2221" s="1">
        <v>0</v>
      </c>
      <c r="M2221" s="1">
        <v>0</v>
      </c>
      <c r="O2221" s="1">
        <v>97</v>
      </c>
      <c r="P2221" s="4">
        <f t="shared" si="102"/>
        <v>317</v>
      </c>
      <c r="Q2221" s="4">
        <f t="shared" si="103"/>
        <v>5</v>
      </c>
      <c r="R2221" s="4">
        <f t="shared" si="104"/>
        <v>63.4</v>
      </c>
    </row>
    <row r="2222" spans="1:18">
      <c r="A2222" s="1">
        <v>2</v>
      </c>
      <c r="B2222" s="1" t="str">
        <f>"قطعات و لوازم يدكي"</f>
        <v>قطعات و لوازم يدكي</v>
      </c>
      <c r="C2222" s="1">
        <v>101</v>
      </c>
      <c r="D2222" s="1" t="str">
        <f>"انبار قطعات و لوازم يدكي اصفهان"</f>
        <v>انبار قطعات و لوازم يدكي اصفهان</v>
      </c>
      <c r="E2222" s="1" t="str">
        <f>"8138612152"</f>
        <v>8138612152</v>
      </c>
      <c r="F2222" s="1" t="str">
        <f>"پيچ نگهدارنده 90*1/2"</f>
        <v>پيچ نگهدارنده 90*1/2</v>
      </c>
      <c r="G2222" s="1" t="str">
        <f>"عدد"</f>
        <v>عدد</v>
      </c>
      <c r="H2222" s="1">
        <v>100</v>
      </c>
      <c r="I2222" s="1">
        <v>1100000</v>
      </c>
      <c r="J2222" s="1">
        <v>0</v>
      </c>
      <c r="K2222" s="1">
        <v>0</v>
      </c>
      <c r="L2222" s="1">
        <v>0</v>
      </c>
      <c r="M2222" s="1">
        <v>0</v>
      </c>
      <c r="O2222" s="1">
        <v>97</v>
      </c>
      <c r="P2222" s="4">
        <f t="shared" si="102"/>
        <v>1100000</v>
      </c>
      <c r="Q2222" s="4">
        <f t="shared" si="103"/>
        <v>100</v>
      </c>
      <c r="R2222" s="4">
        <f t="shared" si="104"/>
        <v>11000</v>
      </c>
    </row>
    <row r="2223" spans="1:18">
      <c r="A2223" s="1">
        <v>2</v>
      </c>
      <c r="B2223" s="1" t="str">
        <f>"قطعات و لوازم يدكي"</f>
        <v>قطعات و لوازم يدكي</v>
      </c>
      <c r="C2223" s="1">
        <v>101</v>
      </c>
      <c r="D2223" s="1" t="str">
        <f>"انبار قطعات و لوازم يدكي اصفهان"</f>
        <v>انبار قطعات و لوازم يدكي اصفهان</v>
      </c>
      <c r="E2223" s="1" t="str">
        <f>"8138613382"</f>
        <v>8138613382</v>
      </c>
      <c r="F2223" s="1" t="str">
        <f>"پيچ نگهدارنده 5/8 اينچ 100mm"</f>
        <v>پيچ نگهدارنده 5/8 اينچ 100mm</v>
      </c>
      <c r="G2223" s="1" t="str">
        <f>"عدد"</f>
        <v>عدد</v>
      </c>
      <c r="H2223" s="1">
        <v>143</v>
      </c>
      <c r="I2223" s="1">
        <v>5091674</v>
      </c>
      <c r="J2223" s="1">
        <v>358</v>
      </c>
      <c r="K2223" s="1">
        <v>22048378</v>
      </c>
      <c r="L2223" s="1">
        <v>265</v>
      </c>
      <c r="M2223" s="1">
        <v>11859105</v>
      </c>
      <c r="O2223" s="1">
        <v>97</v>
      </c>
      <c r="P2223" s="4">
        <f t="shared" si="102"/>
        <v>15280947</v>
      </c>
      <c r="Q2223" s="4">
        <f t="shared" si="103"/>
        <v>236</v>
      </c>
      <c r="R2223" s="4">
        <f t="shared" si="104"/>
        <v>64749.77542372881</v>
      </c>
    </row>
    <row r="2224" spans="1:18">
      <c r="A2224" s="1">
        <v>2</v>
      </c>
      <c r="B2224" s="1" t="str">
        <f>"قطعات و لوازم يدكي"</f>
        <v>قطعات و لوازم يدكي</v>
      </c>
      <c r="C2224" s="1">
        <v>101</v>
      </c>
      <c r="D2224" s="1" t="str">
        <f>"انبار قطعات و لوازم يدكي اصفهان"</f>
        <v>انبار قطعات و لوازم يدكي اصفهان</v>
      </c>
      <c r="E2224" s="1" t="str">
        <f>"8138614692"</f>
        <v>8138614692</v>
      </c>
      <c r="F2224" s="1" t="str">
        <f>"پيچ نگهدارنده 3/4 اينچ *90 ميليمتر"</f>
        <v>پيچ نگهدارنده 3/4 اينچ *90 ميليمتر</v>
      </c>
      <c r="G2224" s="1" t="str">
        <f>"عدد"</f>
        <v>عدد</v>
      </c>
      <c r="H2224" s="1">
        <v>122</v>
      </c>
      <c r="I2224" s="1">
        <v>3697136</v>
      </c>
      <c r="J2224" s="1">
        <v>115</v>
      </c>
      <c r="K2224" s="1">
        <v>10803449</v>
      </c>
      <c r="L2224" s="1">
        <v>125</v>
      </c>
      <c r="M2224" s="1">
        <v>7008164</v>
      </c>
      <c r="O2224" s="1">
        <v>97</v>
      </c>
      <c r="P2224" s="4">
        <f t="shared" si="102"/>
        <v>7492421</v>
      </c>
      <c r="Q2224" s="4">
        <f t="shared" si="103"/>
        <v>112</v>
      </c>
      <c r="R2224" s="4">
        <f t="shared" si="104"/>
        <v>66896.616071428565</v>
      </c>
    </row>
    <row r="2225" spans="1:18" hidden="1">
      <c r="A2225" s="1">
        <v>2</v>
      </c>
      <c r="B2225" s="1" t="str">
        <f>"قطعات و لوازم يدكي"</f>
        <v>قطعات و لوازم يدكي</v>
      </c>
      <c r="C2225" s="1">
        <v>101</v>
      </c>
      <c r="D2225" s="1" t="str">
        <f>"انبار قطعات و لوازم يدكي اصفهان"</f>
        <v>انبار قطعات و لوازم يدكي اصفهان</v>
      </c>
      <c r="E2225" s="1" t="str">
        <f>"8138614722"</f>
        <v>8138614722</v>
      </c>
      <c r="F2225" s="1" t="str">
        <f>"پيچ نگهدارنده 105*3/4"</f>
        <v>پيچ نگهدارنده 105*3/4</v>
      </c>
      <c r="G2225" s="1" t="str">
        <f>"عدد"</f>
        <v>عدد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O2225" s="1">
        <v>97</v>
      </c>
      <c r="P2225" s="1">
        <f t="shared" si="102"/>
        <v>0</v>
      </c>
      <c r="Q2225" s="1">
        <f t="shared" si="103"/>
        <v>0</v>
      </c>
      <c r="R2225" s="1" t="e">
        <f t="shared" si="104"/>
        <v>#DIV/0!</v>
      </c>
    </row>
    <row r="2226" spans="1:18">
      <c r="A2226" s="1">
        <v>2</v>
      </c>
      <c r="B2226" s="1" t="str">
        <f>"قطعات و لوازم يدكي"</f>
        <v>قطعات و لوازم يدكي</v>
      </c>
      <c r="C2226" s="1">
        <v>101</v>
      </c>
      <c r="D2226" s="1" t="str">
        <f>"انبار قطعات و لوازم يدكي اصفهان"</f>
        <v>انبار قطعات و لوازم يدكي اصفهان</v>
      </c>
      <c r="E2226" s="1" t="str">
        <f>"8138615622"</f>
        <v>8138615622</v>
      </c>
      <c r="F2226" s="1" t="str">
        <f>"پيچ نگهدارنده 100*7/8"</f>
        <v>پيچ نگهدارنده 100*7/8</v>
      </c>
      <c r="G2226" s="1" t="str">
        <f>"عدد"</f>
        <v>عدد</v>
      </c>
      <c r="H2226" s="1">
        <v>89</v>
      </c>
      <c r="I2226" s="1">
        <v>3560000</v>
      </c>
      <c r="J2226" s="1">
        <v>0</v>
      </c>
      <c r="K2226" s="1">
        <v>0</v>
      </c>
      <c r="L2226" s="1">
        <v>12</v>
      </c>
      <c r="M2226" s="1">
        <v>480000</v>
      </c>
      <c r="O2226" s="1">
        <v>97</v>
      </c>
      <c r="P2226" s="4">
        <f t="shared" si="102"/>
        <v>3080000</v>
      </c>
      <c r="Q2226" s="4">
        <f t="shared" si="103"/>
        <v>77</v>
      </c>
      <c r="R2226" s="4">
        <f t="shared" si="104"/>
        <v>40000</v>
      </c>
    </row>
    <row r="2227" spans="1:18">
      <c r="A2227" s="1">
        <v>2</v>
      </c>
      <c r="B2227" s="1" t="str">
        <f>"قطعات و لوازم يدكي"</f>
        <v>قطعات و لوازم يدكي</v>
      </c>
      <c r="C2227" s="1">
        <v>101</v>
      </c>
      <c r="D2227" s="1" t="str">
        <f>"انبار قطعات و لوازم يدكي اصفهان"</f>
        <v>انبار قطعات و لوازم يدكي اصفهان</v>
      </c>
      <c r="E2227" s="1" t="str">
        <f>"8138615642"</f>
        <v>8138615642</v>
      </c>
      <c r="F2227" s="1" t="str">
        <f>"پيچ نگهدارنده 7/8 اينچ 110mm"</f>
        <v>پيچ نگهدارنده 7/8 اينچ 110mm</v>
      </c>
      <c r="G2227" s="1" t="str">
        <f>"عدد"</f>
        <v>عدد</v>
      </c>
      <c r="H2227" s="1">
        <v>82</v>
      </c>
      <c r="I2227" s="1">
        <v>3302602</v>
      </c>
      <c r="J2227" s="1">
        <v>21</v>
      </c>
      <c r="K2227" s="1">
        <v>2859829</v>
      </c>
      <c r="L2227" s="1">
        <v>56</v>
      </c>
      <c r="M2227" s="1">
        <v>3350448</v>
      </c>
      <c r="O2227" s="1">
        <v>97</v>
      </c>
      <c r="P2227" s="4">
        <f t="shared" si="102"/>
        <v>2811983</v>
      </c>
      <c r="Q2227" s="4">
        <f t="shared" si="103"/>
        <v>47</v>
      </c>
      <c r="R2227" s="4">
        <f t="shared" si="104"/>
        <v>59829.425531914894</v>
      </c>
    </row>
    <row r="2228" spans="1:18">
      <c r="A2228" s="1">
        <v>2</v>
      </c>
      <c r="B2228" s="1" t="str">
        <f>"قطعات و لوازم يدكي"</f>
        <v>قطعات و لوازم يدكي</v>
      </c>
      <c r="C2228" s="1">
        <v>101</v>
      </c>
      <c r="D2228" s="1" t="str">
        <f>"انبار قطعات و لوازم يدكي اصفهان"</f>
        <v>انبار قطعات و لوازم يدكي اصفهان</v>
      </c>
      <c r="E2228" s="1" t="str">
        <f>"8138620252"</f>
        <v>8138620252</v>
      </c>
      <c r="F2228" s="1" t="str">
        <f>"STUD BOLT 1-1/8*250 MM"</f>
        <v>STUD BOLT 1-1/8*250 MM</v>
      </c>
      <c r="G2228" s="1" t="str">
        <f>"عدد"</f>
        <v>عدد</v>
      </c>
      <c r="H2228" s="1">
        <v>50</v>
      </c>
      <c r="I2228" s="1">
        <v>50</v>
      </c>
      <c r="J2228" s="1">
        <v>20</v>
      </c>
      <c r="K2228" s="1">
        <v>7440000</v>
      </c>
      <c r="L2228" s="1">
        <v>20</v>
      </c>
      <c r="M2228" s="1">
        <v>20</v>
      </c>
      <c r="O2228" s="1">
        <v>97</v>
      </c>
      <c r="P2228" s="4">
        <f t="shared" si="102"/>
        <v>7440030</v>
      </c>
      <c r="Q2228" s="4">
        <f t="shared" si="103"/>
        <v>50</v>
      </c>
      <c r="R2228" s="4">
        <f t="shared" si="104"/>
        <v>148800.6</v>
      </c>
    </row>
    <row r="2229" spans="1:18">
      <c r="A2229" s="1">
        <v>2</v>
      </c>
      <c r="B2229" s="1" t="str">
        <f>"قطعات و لوازم يدكي"</f>
        <v>قطعات و لوازم يدكي</v>
      </c>
      <c r="C2229" s="1">
        <v>120</v>
      </c>
      <c r="D2229" s="1" t="str">
        <f>"انبار قطعات و لوازم يدكي بشکه سازي اصفهان"</f>
        <v>انبار قطعات و لوازم يدكي بشکه سازي اصفهان</v>
      </c>
      <c r="E2229" s="1" t="str">
        <f>"4311700371"</f>
        <v>4311700371</v>
      </c>
      <c r="F2229" s="1" t="str">
        <f>"ياتاقان شافت کنگره"</f>
        <v>ياتاقان شافت کنگره</v>
      </c>
      <c r="G2229" s="1" t="str">
        <f>"عدد"</f>
        <v>عدد</v>
      </c>
      <c r="H2229" s="1">
        <v>0</v>
      </c>
      <c r="I2229" s="1">
        <v>0</v>
      </c>
      <c r="J2229" s="1">
        <v>1</v>
      </c>
      <c r="K2229" s="1">
        <v>300000</v>
      </c>
      <c r="L2229" s="1">
        <v>0</v>
      </c>
      <c r="M2229" s="1">
        <v>0</v>
      </c>
      <c r="O2229" s="1">
        <v>97</v>
      </c>
      <c r="P2229" s="4">
        <f t="shared" si="102"/>
        <v>300000</v>
      </c>
      <c r="Q2229" s="4">
        <f t="shared" si="103"/>
        <v>1</v>
      </c>
      <c r="R2229" s="4">
        <f t="shared" si="104"/>
        <v>300000</v>
      </c>
    </row>
    <row r="2230" spans="1:18" hidden="1">
      <c r="A2230" s="1">
        <v>2</v>
      </c>
      <c r="B2230" s="1" t="str">
        <f>"قطعات و لوازم يدكي"</f>
        <v>قطعات و لوازم يدكي</v>
      </c>
      <c r="C2230" s="1">
        <v>120</v>
      </c>
      <c r="D2230" s="1" t="str">
        <f>"انبار قطعات و لوازم يدكي بشکه سازي اصفهان"</f>
        <v>انبار قطعات و لوازم يدكي بشکه سازي اصفهان</v>
      </c>
      <c r="E2230" s="1" t="str">
        <f>"4311700373"</f>
        <v>4311700373</v>
      </c>
      <c r="F2230" s="1" t="str">
        <f>"بلبرينگ."</f>
        <v>بلبرينگ.</v>
      </c>
      <c r="G2230" s="1" t="str">
        <f>"عدد"</f>
        <v>عدد</v>
      </c>
      <c r="H2230" s="1">
        <v>0</v>
      </c>
      <c r="I2230" s="1">
        <v>0</v>
      </c>
      <c r="J2230" s="1">
        <v>3</v>
      </c>
      <c r="K2230" s="1">
        <v>90000</v>
      </c>
      <c r="L2230" s="1">
        <v>3</v>
      </c>
      <c r="M2230" s="1">
        <v>90000</v>
      </c>
      <c r="O2230" s="1">
        <v>97</v>
      </c>
      <c r="P2230" s="1">
        <f t="shared" si="102"/>
        <v>0</v>
      </c>
      <c r="Q2230" s="1">
        <f t="shared" si="103"/>
        <v>0</v>
      </c>
      <c r="R2230" s="1" t="e">
        <f t="shared" si="104"/>
        <v>#DIV/0!</v>
      </c>
    </row>
    <row r="2231" spans="1:18">
      <c r="A2231" s="1">
        <v>2</v>
      </c>
      <c r="B2231" s="1" t="str">
        <f>"قطعات و لوازم يدكي"</f>
        <v>قطعات و لوازم يدكي</v>
      </c>
      <c r="C2231" s="1">
        <v>120</v>
      </c>
      <c r="D2231" s="1" t="str">
        <f>"انبار قطعات و لوازم يدكي بشکه سازي اصفهان"</f>
        <v>انبار قطعات و لوازم يدكي بشکه سازي اصفهان</v>
      </c>
      <c r="E2231" s="1" t="str">
        <f>"4311700378"</f>
        <v>4311700378</v>
      </c>
      <c r="F2231" s="1" t="str">
        <f>"سيم بکسل 24/*4"</f>
        <v>سيم بکسل 24/*4</v>
      </c>
      <c r="G2231" s="1" t="str">
        <f>"عدد"</f>
        <v>عدد</v>
      </c>
      <c r="H2231" s="1">
        <v>0</v>
      </c>
      <c r="I2231" s="1">
        <v>0</v>
      </c>
      <c r="J2231" s="1">
        <v>1</v>
      </c>
      <c r="K2231" s="1">
        <v>4225000</v>
      </c>
      <c r="L2231" s="1">
        <v>0</v>
      </c>
      <c r="M2231" s="1">
        <v>0</v>
      </c>
      <c r="O2231" s="1">
        <v>97</v>
      </c>
      <c r="P2231" s="4">
        <f t="shared" si="102"/>
        <v>4225000</v>
      </c>
      <c r="Q2231" s="4">
        <f t="shared" si="103"/>
        <v>1</v>
      </c>
      <c r="R2231" s="4">
        <f t="shared" si="104"/>
        <v>4225000</v>
      </c>
    </row>
    <row r="2232" spans="1:18">
      <c r="A2232" s="1">
        <v>2</v>
      </c>
      <c r="B2232" s="1" t="str">
        <f>"قطعات و لوازم يدكي"</f>
        <v>قطعات و لوازم يدكي</v>
      </c>
      <c r="C2232" s="1">
        <v>120</v>
      </c>
      <c r="D2232" s="1" t="str">
        <f>"انبار قطعات و لوازم يدكي بشکه سازي اصفهان"</f>
        <v>انبار قطعات و لوازم يدكي بشکه سازي اصفهان</v>
      </c>
      <c r="E2232" s="1" t="str">
        <f>"5211700004"</f>
        <v>5211700004</v>
      </c>
      <c r="F2232" s="1" t="str">
        <f>"گاز انبر"</f>
        <v>گاز انبر</v>
      </c>
      <c r="G2232" s="1" t="str">
        <f>"عدد"</f>
        <v>عدد</v>
      </c>
      <c r="H2232" s="1">
        <v>0</v>
      </c>
      <c r="I2232" s="1">
        <v>0</v>
      </c>
      <c r="J2232" s="1">
        <v>2</v>
      </c>
      <c r="K2232" s="1">
        <v>520000</v>
      </c>
      <c r="L2232" s="1">
        <v>0</v>
      </c>
      <c r="M2232" s="1">
        <v>0</v>
      </c>
      <c r="O2232" s="1">
        <v>97</v>
      </c>
      <c r="P2232" s="4">
        <f t="shared" si="102"/>
        <v>520000</v>
      </c>
      <c r="Q2232" s="4">
        <f t="shared" si="103"/>
        <v>2</v>
      </c>
      <c r="R2232" s="4">
        <f t="shared" si="104"/>
        <v>260000</v>
      </c>
    </row>
    <row r="2233" spans="1:18" hidden="1">
      <c r="A2233" s="1">
        <v>2</v>
      </c>
      <c r="B2233" s="1" t="str">
        <f>"قطعات و لوازم يدكي"</f>
        <v>قطعات و لوازم يدكي</v>
      </c>
      <c r="C2233" s="1">
        <v>120</v>
      </c>
      <c r="D2233" s="1" t="str">
        <f>"انبار قطعات و لوازم يدكي بشکه سازي اصفهان"</f>
        <v>انبار قطعات و لوازم يدكي بشکه سازي اصفهان</v>
      </c>
      <c r="E2233" s="1" t="str">
        <f>"5211700014"</f>
        <v>5211700014</v>
      </c>
      <c r="F2233" s="1" t="str">
        <f>"دم باريک."</f>
        <v>دم باريک.</v>
      </c>
      <c r="G2233" s="1" t="str">
        <f>"عدد"</f>
        <v>عدد</v>
      </c>
      <c r="H2233" s="1">
        <v>0</v>
      </c>
      <c r="I2233" s="1">
        <v>0</v>
      </c>
      <c r="J2233" s="1">
        <v>2</v>
      </c>
      <c r="K2233" s="1">
        <v>1600000</v>
      </c>
      <c r="L2233" s="1">
        <v>2</v>
      </c>
      <c r="M2233" s="1">
        <v>1600000</v>
      </c>
      <c r="O2233" s="1">
        <v>97</v>
      </c>
      <c r="P2233" s="1">
        <f t="shared" si="102"/>
        <v>0</v>
      </c>
      <c r="Q2233" s="1">
        <f t="shared" si="103"/>
        <v>0</v>
      </c>
      <c r="R2233" s="1" t="e">
        <f t="shared" si="104"/>
        <v>#DIV/0!</v>
      </c>
    </row>
    <row r="2234" spans="1:18" hidden="1">
      <c r="A2234" s="1">
        <v>2</v>
      </c>
      <c r="B2234" s="1" t="str">
        <f>"قطعات و لوازم يدكي"</f>
        <v>قطعات و لوازم يدكي</v>
      </c>
      <c r="C2234" s="1">
        <v>120</v>
      </c>
      <c r="D2234" s="1" t="str">
        <f>"انبار قطعات و لوازم يدكي بشکه سازي اصفهان"</f>
        <v>انبار قطعات و لوازم يدكي بشکه سازي اصفهان</v>
      </c>
      <c r="E2234" s="1" t="str">
        <f>"5211700016"</f>
        <v>5211700016</v>
      </c>
      <c r="F2234" s="1" t="str">
        <f>"فازمتر."</f>
        <v>فازمتر.</v>
      </c>
      <c r="G2234" s="1" t="str">
        <f>"عدد"</f>
        <v>عدد</v>
      </c>
      <c r="H2234" s="1">
        <v>0</v>
      </c>
      <c r="I2234" s="1">
        <v>0</v>
      </c>
      <c r="J2234" s="1">
        <v>4</v>
      </c>
      <c r="K2234" s="1">
        <v>720000</v>
      </c>
      <c r="L2234" s="1">
        <v>4</v>
      </c>
      <c r="M2234" s="1">
        <v>720000</v>
      </c>
      <c r="O2234" s="1">
        <v>97</v>
      </c>
      <c r="P2234" s="1">
        <f t="shared" si="102"/>
        <v>0</v>
      </c>
      <c r="Q2234" s="1">
        <f t="shared" si="103"/>
        <v>0</v>
      </c>
      <c r="R2234" s="1" t="e">
        <f t="shared" si="104"/>
        <v>#DIV/0!</v>
      </c>
    </row>
    <row r="2235" spans="1:18" hidden="1">
      <c r="A2235" s="1">
        <v>2</v>
      </c>
      <c r="B2235" s="1" t="str">
        <f>"قطعات و لوازم يدكي"</f>
        <v>قطعات و لوازم يدكي</v>
      </c>
      <c r="C2235" s="1">
        <v>120</v>
      </c>
      <c r="D2235" s="1" t="str">
        <f>"انبار قطعات و لوازم يدكي بشکه سازي اصفهان"</f>
        <v>انبار قطعات و لوازم يدكي بشکه سازي اصفهان</v>
      </c>
      <c r="E2235" s="1" t="str">
        <f>"5211700018"</f>
        <v>5211700018</v>
      </c>
      <c r="F2235" s="1" t="str">
        <f>"کاتر."</f>
        <v>کاتر.</v>
      </c>
      <c r="G2235" s="1" t="str">
        <f>"عدد"</f>
        <v>عدد</v>
      </c>
      <c r="H2235" s="1">
        <v>0</v>
      </c>
      <c r="I2235" s="1">
        <v>0</v>
      </c>
      <c r="J2235" s="1">
        <v>2</v>
      </c>
      <c r="K2235" s="1">
        <v>900000</v>
      </c>
      <c r="L2235" s="1">
        <v>2</v>
      </c>
      <c r="M2235" s="1">
        <v>900000</v>
      </c>
      <c r="O2235" s="1">
        <v>97</v>
      </c>
      <c r="P2235" s="1">
        <f t="shared" si="102"/>
        <v>0</v>
      </c>
      <c r="Q2235" s="1">
        <f t="shared" si="103"/>
        <v>0</v>
      </c>
      <c r="R2235" s="1" t="e">
        <f t="shared" si="104"/>
        <v>#DIV/0!</v>
      </c>
    </row>
    <row r="2236" spans="1:18">
      <c r="A2236" s="1">
        <v>2</v>
      </c>
      <c r="B2236" s="1" t="str">
        <f>"قطعات و لوازم يدكي"</f>
        <v>قطعات و لوازم يدكي</v>
      </c>
      <c r="C2236" s="1">
        <v>120</v>
      </c>
      <c r="D2236" s="1" t="str">
        <f>"انبار قطعات و لوازم يدكي بشکه سازي اصفهان"</f>
        <v>انبار قطعات و لوازم يدكي بشکه سازي اصفهان</v>
      </c>
      <c r="E2236" s="1" t="str">
        <f>"5311700008"</f>
        <v>5311700008</v>
      </c>
      <c r="F2236" s="1" t="str">
        <f>"سري باد کامل"</f>
        <v>سري باد کامل</v>
      </c>
      <c r="G2236" s="1" t="str">
        <f>"عدد"</f>
        <v>عدد</v>
      </c>
      <c r="H2236" s="1">
        <v>0</v>
      </c>
      <c r="I2236" s="1">
        <v>0</v>
      </c>
      <c r="J2236" s="1">
        <v>1</v>
      </c>
      <c r="K2236" s="1">
        <v>150000</v>
      </c>
      <c r="L2236" s="1">
        <v>0</v>
      </c>
      <c r="M2236" s="1">
        <v>0</v>
      </c>
      <c r="O2236" s="1">
        <v>97</v>
      </c>
      <c r="P2236" s="4">
        <f t="shared" si="102"/>
        <v>150000</v>
      </c>
      <c r="Q2236" s="4">
        <f t="shared" si="103"/>
        <v>1</v>
      </c>
      <c r="R2236" s="4">
        <f t="shared" si="104"/>
        <v>150000</v>
      </c>
    </row>
    <row r="2237" spans="1:18">
      <c r="A2237" s="1">
        <v>2</v>
      </c>
      <c r="B2237" s="1" t="str">
        <f>"قطعات و لوازم يدكي"</f>
        <v>قطعات و لوازم يدكي</v>
      </c>
      <c r="C2237" s="1">
        <v>120</v>
      </c>
      <c r="D2237" s="1" t="str">
        <f>"انبار قطعات و لوازم يدكي بشکه سازي اصفهان"</f>
        <v>انبار قطعات و لوازم يدكي بشکه سازي اصفهان</v>
      </c>
      <c r="E2237" s="1" t="str">
        <f>"5311700009"</f>
        <v>5311700009</v>
      </c>
      <c r="F2237" s="1" t="str">
        <f>"فرچه سيمي."</f>
        <v>فرچه سيمي.</v>
      </c>
      <c r="G2237" s="1" t="str">
        <f>"عدد"</f>
        <v>عدد</v>
      </c>
      <c r="H2237" s="1">
        <v>0</v>
      </c>
      <c r="I2237" s="1">
        <v>0</v>
      </c>
      <c r="J2237" s="1">
        <v>1</v>
      </c>
      <c r="K2237" s="1">
        <v>100000</v>
      </c>
      <c r="L2237" s="1">
        <v>0</v>
      </c>
      <c r="M2237" s="1">
        <v>0</v>
      </c>
      <c r="O2237" s="1">
        <v>97</v>
      </c>
      <c r="P2237" s="4">
        <f t="shared" si="102"/>
        <v>100000</v>
      </c>
      <c r="Q2237" s="4">
        <f t="shared" si="103"/>
        <v>1</v>
      </c>
      <c r="R2237" s="4">
        <f t="shared" si="104"/>
        <v>100000</v>
      </c>
    </row>
    <row r="2238" spans="1:18">
      <c r="A2238" s="1">
        <v>2</v>
      </c>
      <c r="B2238" s="1" t="str">
        <f>"قطعات و لوازم يدكي"</f>
        <v>قطعات و لوازم يدكي</v>
      </c>
      <c r="C2238" s="1">
        <v>120</v>
      </c>
      <c r="D2238" s="1" t="str">
        <f>"انبار قطعات و لوازم يدكي بشکه سازي اصفهان"</f>
        <v>انبار قطعات و لوازم يدكي بشکه سازي اصفهان</v>
      </c>
      <c r="E2238" s="1" t="str">
        <f>"5311700010"</f>
        <v>5311700010</v>
      </c>
      <c r="F2238" s="1" t="str">
        <f>"فرچه سيمي ميني سنگ"</f>
        <v>فرچه سيمي ميني سنگ</v>
      </c>
      <c r="G2238" s="1" t="str">
        <f>"عدد"</f>
        <v>عدد</v>
      </c>
      <c r="H2238" s="1">
        <v>0</v>
      </c>
      <c r="I2238" s="1">
        <v>0</v>
      </c>
      <c r="J2238" s="1">
        <v>4</v>
      </c>
      <c r="K2238" s="1">
        <v>800000</v>
      </c>
      <c r="L2238" s="1">
        <v>0</v>
      </c>
      <c r="M2238" s="1">
        <v>0</v>
      </c>
      <c r="O2238" s="1">
        <v>97</v>
      </c>
      <c r="P2238" s="4">
        <f t="shared" si="102"/>
        <v>800000</v>
      </c>
      <c r="Q2238" s="4">
        <f t="shared" si="103"/>
        <v>4</v>
      </c>
      <c r="R2238" s="4">
        <f t="shared" si="104"/>
        <v>200000</v>
      </c>
    </row>
    <row r="2239" spans="1:18" hidden="1">
      <c r="A2239" s="1">
        <v>2</v>
      </c>
      <c r="B2239" s="1" t="str">
        <f>"قطعات و لوازم يدكي"</f>
        <v>قطعات و لوازم يدكي</v>
      </c>
      <c r="C2239" s="1">
        <v>120</v>
      </c>
      <c r="D2239" s="1" t="str">
        <f>"انبار قطعات و لوازم يدكي بشکه سازي اصفهان"</f>
        <v>انبار قطعات و لوازم يدكي بشکه سازي اصفهان</v>
      </c>
      <c r="E2239" s="1" t="str">
        <f>"6211700001"</f>
        <v>6211700001</v>
      </c>
      <c r="F2239" s="1" t="str">
        <f>"چسب هند پلاست"</f>
        <v>چسب هند پلاست</v>
      </c>
      <c r="G2239" s="1" t="str">
        <f>"عدد"</f>
        <v>عدد</v>
      </c>
      <c r="H2239" s="1">
        <v>0</v>
      </c>
      <c r="I2239" s="1">
        <v>0</v>
      </c>
      <c r="J2239" s="1">
        <v>100</v>
      </c>
      <c r="K2239" s="1">
        <v>600000</v>
      </c>
      <c r="L2239" s="1">
        <v>100</v>
      </c>
      <c r="M2239" s="1">
        <v>600000</v>
      </c>
      <c r="O2239" s="1">
        <v>97</v>
      </c>
      <c r="P2239" s="1">
        <f t="shared" si="102"/>
        <v>0</v>
      </c>
      <c r="Q2239" s="1">
        <f t="shared" si="103"/>
        <v>0</v>
      </c>
      <c r="R2239" s="1" t="e">
        <f t="shared" si="104"/>
        <v>#DIV/0!</v>
      </c>
    </row>
    <row r="2240" spans="1:18" hidden="1">
      <c r="A2240" s="1">
        <v>2</v>
      </c>
      <c r="B2240" s="1" t="str">
        <f>"قطعات و لوازم يدكي"</f>
        <v>قطعات و لوازم يدكي</v>
      </c>
      <c r="C2240" s="1">
        <v>120</v>
      </c>
      <c r="D2240" s="1" t="str">
        <f>"انبار قطعات و لوازم يدكي بشکه سازي اصفهان"</f>
        <v>انبار قطعات و لوازم يدكي بشکه سازي اصفهان</v>
      </c>
      <c r="E2240" s="1" t="str">
        <f>"6211700003"</f>
        <v>6211700003</v>
      </c>
      <c r="F2240" s="1" t="str">
        <f>"باند توري"</f>
        <v>باند توري</v>
      </c>
      <c r="G2240" s="1" t="str">
        <f>"عدد"</f>
        <v>عدد</v>
      </c>
      <c r="H2240" s="1">
        <v>0</v>
      </c>
      <c r="I2240" s="1">
        <v>0</v>
      </c>
      <c r="J2240" s="1">
        <v>40</v>
      </c>
      <c r="K2240" s="1">
        <v>360000</v>
      </c>
      <c r="L2240" s="1">
        <v>40</v>
      </c>
      <c r="M2240" s="1">
        <v>360000</v>
      </c>
      <c r="O2240" s="1">
        <v>97</v>
      </c>
      <c r="P2240" s="1">
        <f t="shared" si="102"/>
        <v>0</v>
      </c>
      <c r="Q2240" s="1">
        <f t="shared" si="103"/>
        <v>0</v>
      </c>
      <c r="R2240" s="1" t="e">
        <f t="shared" si="104"/>
        <v>#DIV/0!</v>
      </c>
    </row>
    <row r="2241" spans="1:18" hidden="1">
      <c r="A2241" s="1">
        <v>2</v>
      </c>
      <c r="B2241" s="1" t="str">
        <f>"قطعات و لوازم يدكي"</f>
        <v>قطعات و لوازم يدكي</v>
      </c>
      <c r="C2241" s="1">
        <v>120</v>
      </c>
      <c r="D2241" s="1" t="str">
        <f>"انبار قطعات و لوازم يدكي بشکه سازي اصفهان"</f>
        <v>انبار قطعات و لوازم يدكي بشکه سازي اصفهان</v>
      </c>
      <c r="E2241" s="1" t="str">
        <f>"6211700005"</f>
        <v>6211700005</v>
      </c>
      <c r="F2241" s="1" t="str">
        <f>"باند نواري"</f>
        <v>باند نواري</v>
      </c>
      <c r="G2241" s="1" t="str">
        <f>"عدد"</f>
        <v>عدد</v>
      </c>
      <c r="H2241" s="1">
        <v>0</v>
      </c>
      <c r="I2241" s="1">
        <v>0</v>
      </c>
      <c r="J2241" s="1">
        <v>75</v>
      </c>
      <c r="K2241" s="1">
        <v>127500</v>
      </c>
      <c r="L2241" s="1">
        <v>75</v>
      </c>
      <c r="M2241" s="1">
        <v>127500</v>
      </c>
      <c r="O2241" s="1">
        <v>97</v>
      </c>
      <c r="P2241" s="1">
        <f t="shared" si="102"/>
        <v>0</v>
      </c>
      <c r="Q2241" s="1">
        <f t="shared" si="103"/>
        <v>0</v>
      </c>
      <c r="R2241" s="1" t="e">
        <f t="shared" si="104"/>
        <v>#DIV/0!</v>
      </c>
    </row>
    <row r="2242" spans="1:18" hidden="1">
      <c r="A2242" s="1">
        <v>2</v>
      </c>
      <c r="B2242" s="1" t="str">
        <f>"قطعات و لوازم يدكي"</f>
        <v>قطعات و لوازم يدكي</v>
      </c>
      <c r="C2242" s="1">
        <v>120</v>
      </c>
      <c r="D2242" s="1" t="str">
        <f>"انبار قطعات و لوازم يدكي بشکه سازي اصفهان"</f>
        <v>انبار قطعات و لوازم يدكي بشکه سازي اصفهان</v>
      </c>
      <c r="E2242" s="1" t="str">
        <f>"6211700007"</f>
        <v>6211700007</v>
      </c>
      <c r="F2242" s="1" t="str">
        <f>"پد"</f>
        <v>پد</v>
      </c>
      <c r="G2242" s="1" t="str">
        <f>"عدد"</f>
        <v>عدد</v>
      </c>
      <c r="H2242" s="1">
        <v>0</v>
      </c>
      <c r="I2242" s="1">
        <v>0</v>
      </c>
      <c r="J2242" s="1">
        <v>100</v>
      </c>
      <c r="K2242" s="1">
        <v>130000</v>
      </c>
      <c r="L2242" s="1">
        <v>100</v>
      </c>
      <c r="M2242" s="1">
        <v>130000</v>
      </c>
      <c r="O2242" s="1">
        <v>97</v>
      </c>
      <c r="P2242" s="1">
        <f t="shared" si="102"/>
        <v>0</v>
      </c>
      <c r="Q2242" s="1">
        <f t="shared" si="103"/>
        <v>0</v>
      </c>
      <c r="R2242" s="1" t="e">
        <f t="shared" si="104"/>
        <v>#DIV/0!</v>
      </c>
    </row>
    <row r="2243" spans="1:18" hidden="1">
      <c r="A2243" s="1">
        <v>2</v>
      </c>
      <c r="B2243" s="1" t="str">
        <f>"قطعات و لوازم يدكي"</f>
        <v>قطعات و لوازم يدكي</v>
      </c>
      <c r="C2243" s="1">
        <v>120</v>
      </c>
      <c r="D2243" s="1" t="str">
        <f>"انبار قطعات و لوازم يدكي بشکه سازي اصفهان"</f>
        <v>انبار قطعات و لوازم يدكي بشکه سازي اصفهان</v>
      </c>
      <c r="E2243" s="1" t="str">
        <f>"6211700017"</f>
        <v>6211700017</v>
      </c>
      <c r="F2243" s="1" t="str">
        <f>"باکس دارو"</f>
        <v>باکس دارو</v>
      </c>
      <c r="G2243" s="1" t="str">
        <f>"عدد"</f>
        <v>عدد</v>
      </c>
      <c r="H2243" s="1">
        <v>0</v>
      </c>
      <c r="I2243" s="1">
        <v>0</v>
      </c>
      <c r="J2243" s="1">
        <v>1</v>
      </c>
      <c r="K2243" s="1">
        <v>200000</v>
      </c>
      <c r="L2243" s="1">
        <v>1</v>
      </c>
      <c r="M2243" s="1">
        <v>200000</v>
      </c>
      <c r="O2243" s="1">
        <v>97</v>
      </c>
      <c r="P2243" s="1">
        <f t="shared" ref="P2243:P2306" si="105">I2243+K2243-M2243</f>
        <v>0</v>
      </c>
      <c r="Q2243" s="1">
        <f t="shared" ref="Q2243:Q2306" si="106">H2243+J2243-L2243</f>
        <v>0</v>
      </c>
      <c r="R2243" s="1" t="e">
        <f t="shared" ref="R2243:R2306" si="107">P2243/Q2243</f>
        <v>#DIV/0!</v>
      </c>
    </row>
    <row r="2244" spans="1:18" hidden="1">
      <c r="A2244" s="1">
        <v>2</v>
      </c>
      <c r="B2244" s="1" t="str">
        <f>"قطعات و لوازم يدكي"</f>
        <v>قطعات و لوازم يدكي</v>
      </c>
      <c r="C2244" s="1">
        <v>120</v>
      </c>
      <c r="D2244" s="1" t="str">
        <f>"انبار قطعات و لوازم يدكي بشکه سازي اصفهان"</f>
        <v>انبار قطعات و لوازم يدكي بشکه سازي اصفهان</v>
      </c>
      <c r="E2244" s="1" t="str">
        <f>"7111700002"</f>
        <v>7111700002</v>
      </c>
      <c r="F2244" s="1" t="str">
        <f>"خط کش"</f>
        <v>خط کش</v>
      </c>
      <c r="G2244" s="1" t="str">
        <f>"عدد"</f>
        <v>عدد</v>
      </c>
      <c r="H2244" s="1">
        <v>0</v>
      </c>
      <c r="I2244" s="1">
        <v>0</v>
      </c>
      <c r="J2244" s="1">
        <v>2</v>
      </c>
      <c r="K2244" s="1">
        <v>100000</v>
      </c>
      <c r="L2244" s="1">
        <v>2</v>
      </c>
      <c r="M2244" s="1">
        <v>100000</v>
      </c>
      <c r="O2244" s="1">
        <v>97</v>
      </c>
      <c r="P2244" s="1">
        <f t="shared" si="105"/>
        <v>0</v>
      </c>
      <c r="Q2244" s="1">
        <f t="shared" si="106"/>
        <v>0</v>
      </c>
      <c r="R2244" s="1" t="e">
        <f t="shared" si="107"/>
        <v>#DIV/0!</v>
      </c>
    </row>
    <row r="2245" spans="1:18" hidden="1">
      <c r="A2245" s="1">
        <v>2</v>
      </c>
      <c r="B2245" s="1" t="str">
        <f>"قطعات و لوازم يدكي"</f>
        <v>قطعات و لوازم يدكي</v>
      </c>
      <c r="C2245" s="1">
        <v>120</v>
      </c>
      <c r="D2245" s="1" t="str">
        <f>"انبار قطعات و لوازم يدكي بشکه سازي اصفهان"</f>
        <v>انبار قطعات و لوازم يدكي بشکه سازي اصفهان</v>
      </c>
      <c r="E2245" s="1" t="str">
        <f>"7111700025"</f>
        <v>7111700025</v>
      </c>
      <c r="F2245" s="1" t="str">
        <f>"پد موس"</f>
        <v>پد موس</v>
      </c>
      <c r="G2245" s="1" t="str">
        <f>"عدد"</f>
        <v>عدد</v>
      </c>
      <c r="H2245" s="1">
        <v>0</v>
      </c>
      <c r="I2245" s="1">
        <v>0</v>
      </c>
      <c r="J2245" s="1">
        <v>3</v>
      </c>
      <c r="K2245" s="1">
        <v>150000</v>
      </c>
      <c r="L2245" s="1">
        <v>3</v>
      </c>
      <c r="M2245" s="1">
        <v>150000</v>
      </c>
      <c r="O2245" s="1">
        <v>97</v>
      </c>
      <c r="P2245" s="1">
        <f t="shared" si="105"/>
        <v>0</v>
      </c>
      <c r="Q2245" s="1">
        <f t="shared" si="106"/>
        <v>0</v>
      </c>
      <c r="R2245" s="1" t="e">
        <f t="shared" si="107"/>
        <v>#DIV/0!</v>
      </c>
    </row>
    <row r="2246" spans="1:18" hidden="1">
      <c r="A2246" s="1">
        <v>2</v>
      </c>
      <c r="B2246" s="1" t="str">
        <f>"قطعات و لوازم يدكي"</f>
        <v>قطعات و لوازم يدكي</v>
      </c>
      <c r="C2246" s="1">
        <v>120</v>
      </c>
      <c r="D2246" s="1" t="str">
        <f>"انبار قطعات و لوازم يدكي بشکه سازي اصفهان"</f>
        <v>انبار قطعات و لوازم يدكي بشکه سازي اصفهان</v>
      </c>
      <c r="E2246" s="1" t="str">
        <f>"7111700050"</f>
        <v>7111700050</v>
      </c>
      <c r="F2246" s="1" t="str">
        <f>"تي پلاستيکي"</f>
        <v>تي پلاستيکي</v>
      </c>
      <c r="G2246" s="1" t="str">
        <f>"عدد"</f>
        <v>عدد</v>
      </c>
      <c r="H2246" s="1">
        <v>0</v>
      </c>
      <c r="I2246" s="1">
        <v>0</v>
      </c>
      <c r="J2246" s="1">
        <v>16</v>
      </c>
      <c r="K2246" s="1">
        <v>960000</v>
      </c>
      <c r="L2246" s="1">
        <v>16</v>
      </c>
      <c r="M2246" s="1">
        <v>960000</v>
      </c>
      <c r="O2246" s="1">
        <v>97</v>
      </c>
      <c r="P2246" s="1">
        <f t="shared" si="105"/>
        <v>0</v>
      </c>
      <c r="Q2246" s="1">
        <f t="shared" si="106"/>
        <v>0</v>
      </c>
      <c r="R2246" s="1" t="e">
        <f t="shared" si="107"/>
        <v>#DIV/0!</v>
      </c>
    </row>
    <row r="2247" spans="1:18" hidden="1">
      <c r="A2247" s="1">
        <v>2</v>
      </c>
      <c r="B2247" s="1" t="str">
        <f>"قطعات و لوازم يدكي"</f>
        <v>قطعات و لوازم يدكي</v>
      </c>
      <c r="C2247" s="1">
        <v>120</v>
      </c>
      <c r="D2247" s="1" t="str">
        <f>"انبار قطعات و لوازم يدكي بشکه سازي اصفهان"</f>
        <v>انبار قطعات و لوازم يدكي بشکه سازي اصفهان</v>
      </c>
      <c r="E2247" s="1" t="str">
        <f>"7111700051"</f>
        <v>7111700051</v>
      </c>
      <c r="F2247" s="1" t="str">
        <f>"جارو معمولي"</f>
        <v>جارو معمولي</v>
      </c>
      <c r="G2247" s="1" t="str">
        <f>"عدد"</f>
        <v>عدد</v>
      </c>
      <c r="H2247" s="1">
        <v>0</v>
      </c>
      <c r="I2247" s="1">
        <v>0</v>
      </c>
      <c r="J2247" s="1">
        <v>1</v>
      </c>
      <c r="K2247" s="1">
        <v>85000</v>
      </c>
      <c r="L2247" s="1">
        <v>1</v>
      </c>
      <c r="M2247" s="1">
        <v>85000</v>
      </c>
      <c r="O2247" s="1">
        <v>97</v>
      </c>
      <c r="P2247" s="1">
        <f t="shared" si="105"/>
        <v>0</v>
      </c>
      <c r="Q2247" s="1">
        <f t="shared" si="106"/>
        <v>0</v>
      </c>
      <c r="R2247" s="1" t="e">
        <f t="shared" si="107"/>
        <v>#DIV/0!</v>
      </c>
    </row>
    <row r="2248" spans="1:18" hidden="1">
      <c r="A2248" s="1">
        <v>2</v>
      </c>
      <c r="B2248" s="1" t="str">
        <f>"قطعات و لوازم يدكي"</f>
        <v>قطعات و لوازم يدكي</v>
      </c>
      <c r="C2248" s="1">
        <v>120</v>
      </c>
      <c r="D2248" s="1" t="str">
        <f>"انبار قطعات و لوازم يدكي بشکه سازي اصفهان"</f>
        <v>انبار قطعات و لوازم يدكي بشکه سازي اصفهان</v>
      </c>
      <c r="E2248" s="1" t="str">
        <f>"7111700061"</f>
        <v>7111700061</v>
      </c>
      <c r="F2248" s="1" t="str">
        <f>"روغن مايع."</f>
        <v>روغن مايع.</v>
      </c>
      <c r="G2248" s="1" t="str">
        <f>"عدد"</f>
        <v>عدد</v>
      </c>
      <c r="H2248" s="1">
        <v>0</v>
      </c>
      <c r="I2248" s="1">
        <v>0</v>
      </c>
      <c r="J2248" s="1">
        <v>1</v>
      </c>
      <c r="K2248" s="1">
        <v>58000</v>
      </c>
      <c r="L2248" s="1">
        <v>1</v>
      </c>
      <c r="M2248" s="1">
        <v>58000</v>
      </c>
      <c r="O2248" s="1">
        <v>97</v>
      </c>
      <c r="P2248" s="1">
        <f t="shared" si="105"/>
        <v>0</v>
      </c>
      <c r="Q2248" s="1">
        <f t="shared" si="106"/>
        <v>0</v>
      </c>
      <c r="R2248" s="1" t="e">
        <f t="shared" si="107"/>
        <v>#DIV/0!</v>
      </c>
    </row>
    <row r="2249" spans="1:18" hidden="1">
      <c r="A2249" s="1">
        <v>2</v>
      </c>
      <c r="B2249" s="1" t="str">
        <f>"قطعات و لوازم يدكي"</f>
        <v>قطعات و لوازم يدكي</v>
      </c>
      <c r="C2249" s="1">
        <v>120</v>
      </c>
      <c r="D2249" s="1" t="str">
        <f>"انبار قطعات و لوازم يدكي بشکه سازي اصفهان"</f>
        <v>انبار قطعات و لوازم يدكي بشکه سازي اصفهان</v>
      </c>
      <c r="E2249" s="1" t="str">
        <f>"7111700069"</f>
        <v>7111700069</v>
      </c>
      <c r="F2249" s="1" t="str">
        <f>"دفترچه يادداشت."</f>
        <v>دفترچه يادداشت.</v>
      </c>
      <c r="G2249" s="1" t="str">
        <f>"عدد"</f>
        <v>عدد</v>
      </c>
      <c r="H2249" s="1">
        <v>0</v>
      </c>
      <c r="I2249" s="1">
        <v>0</v>
      </c>
      <c r="J2249" s="1">
        <v>4</v>
      </c>
      <c r="K2249" s="1">
        <v>60000</v>
      </c>
      <c r="L2249" s="1">
        <v>4</v>
      </c>
      <c r="M2249" s="1">
        <v>60000</v>
      </c>
      <c r="O2249" s="1">
        <v>97</v>
      </c>
      <c r="P2249" s="1">
        <f t="shared" si="105"/>
        <v>0</v>
      </c>
      <c r="Q2249" s="1">
        <f t="shared" si="106"/>
        <v>0</v>
      </c>
      <c r="R2249" s="1" t="e">
        <f t="shared" si="107"/>
        <v>#DIV/0!</v>
      </c>
    </row>
    <row r="2250" spans="1:18">
      <c r="A2250" s="1">
        <v>2</v>
      </c>
      <c r="B2250" s="1" t="str">
        <f>"قطعات و لوازم يدكي"</f>
        <v>قطعات و لوازم يدكي</v>
      </c>
      <c r="C2250" s="1">
        <v>205</v>
      </c>
      <c r="D2250" s="1" t="str">
        <f>"انبار قطعات و لوازم يدكي بندرعباس"</f>
        <v>انبار قطعات و لوازم يدكي بندرعباس</v>
      </c>
      <c r="E2250" s="1" t="str">
        <f>"1800000002"</f>
        <v>1800000002</v>
      </c>
      <c r="F2250" s="1" t="str">
        <f>"بال ولو 2"</f>
        <v>بال ولو 2</v>
      </c>
      <c r="G2250" s="1" t="str">
        <f>"عدد"</f>
        <v>عدد</v>
      </c>
      <c r="H2250" s="1">
        <v>2</v>
      </c>
      <c r="I2250" s="1">
        <v>7320000</v>
      </c>
      <c r="J2250" s="1">
        <v>0</v>
      </c>
      <c r="K2250" s="1">
        <v>0</v>
      </c>
      <c r="L2250" s="1">
        <v>0</v>
      </c>
      <c r="M2250" s="1">
        <v>0</v>
      </c>
      <c r="O2250" s="1">
        <v>97</v>
      </c>
      <c r="P2250" s="4">
        <f t="shared" si="105"/>
        <v>7320000</v>
      </c>
      <c r="Q2250" s="4">
        <f t="shared" si="106"/>
        <v>2</v>
      </c>
      <c r="R2250" s="4">
        <f t="shared" si="107"/>
        <v>3660000</v>
      </c>
    </row>
    <row r="2251" spans="1:18">
      <c r="A2251" s="1">
        <v>2</v>
      </c>
      <c r="B2251" s="1" t="str">
        <f>"قطعات و لوازم يدكي"</f>
        <v>قطعات و لوازم يدكي</v>
      </c>
      <c r="C2251" s="1">
        <v>205</v>
      </c>
      <c r="D2251" s="1" t="str">
        <f>"انبار قطعات و لوازم يدكي بندرعباس"</f>
        <v>انبار قطعات و لوازم يدكي بندرعباس</v>
      </c>
      <c r="E2251" s="1" t="str">
        <f>"1800000011"</f>
        <v>1800000011</v>
      </c>
      <c r="F2251" s="1" t="str">
        <f>"بلايند فلنج 1/2*1"</f>
        <v>بلايند فلنج 1/2*1</v>
      </c>
      <c r="G2251" s="1" t="str">
        <f>"عدد"</f>
        <v>عدد</v>
      </c>
      <c r="H2251" s="1">
        <v>49</v>
      </c>
      <c r="I2251" s="1">
        <v>13377000</v>
      </c>
      <c r="J2251" s="1">
        <v>0</v>
      </c>
      <c r="K2251" s="1">
        <v>0</v>
      </c>
      <c r="L2251" s="1">
        <v>0</v>
      </c>
      <c r="M2251" s="1">
        <v>0</v>
      </c>
      <c r="O2251" s="1">
        <v>97</v>
      </c>
      <c r="P2251" s="4">
        <f t="shared" si="105"/>
        <v>13377000</v>
      </c>
      <c r="Q2251" s="4">
        <f t="shared" si="106"/>
        <v>49</v>
      </c>
      <c r="R2251" s="4">
        <f t="shared" si="107"/>
        <v>273000</v>
      </c>
    </row>
    <row r="2252" spans="1:18">
      <c r="A2252" s="1">
        <v>2</v>
      </c>
      <c r="B2252" s="1" t="str">
        <f>"قطعات و لوازم يدكي"</f>
        <v>قطعات و لوازم يدكي</v>
      </c>
      <c r="C2252" s="1">
        <v>205</v>
      </c>
      <c r="D2252" s="1" t="str">
        <f>"انبار قطعات و لوازم يدكي بندرعباس"</f>
        <v>انبار قطعات و لوازم يدكي بندرعباس</v>
      </c>
      <c r="E2252" s="1" t="str">
        <f>"1800000017"</f>
        <v>1800000017</v>
      </c>
      <c r="F2252" s="1" t="str">
        <f>"کپ1"</f>
        <v>کپ1</v>
      </c>
      <c r="G2252" s="1" t="str">
        <f>"عدد"</f>
        <v>عدد</v>
      </c>
      <c r="H2252" s="1">
        <v>12</v>
      </c>
      <c r="I2252" s="1">
        <v>516000</v>
      </c>
      <c r="J2252" s="1">
        <v>0</v>
      </c>
      <c r="K2252" s="1">
        <v>0</v>
      </c>
      <c r="L2252" s="1">
        <v>1</v>
      </c>
      <c r="M2252" s="1">
        <v>43000</v>
      </c>
      <c r="O2252" s="1">
        <v>97</v>
      </c>
      <c r="P2252" s="4">
        <f t="shared" si="105"/>
        <v>473000</v>
      </c>
      <c r="Q2252" s="4">
        <f t="shared" si="106"/>
        <v>11</v>
      </c>
      <c r="R2252" s="4">
        <f t="shared" si="107"/>
        <v>43000</v>
      </c>
    </row>
    <row r="2253" spans="1:18">
      <c r="A2253" s="1">
        <v>2</v>
      </c>
      <c r="B2253" s="1" t="str">
        <f>"قطعات و لوازم يدكي"</f>
        <v>قطعات و لوازم يدكي</v>
      </c>
      <c r="C2253" s="1">
        <v>205</v>
      </c>
      <c r="D2253" s="1" t="str">
        <f>"انبار قطعات و لوازم يدكي بندرعباس"</f>
        <v>انبار قطعات و لوازم يدكي بندرعباس</v>
      </c>
      <c r="E2253" s="1" t="str">
        <f>"1800000021"</f>
        <v>1800000021</v>
      </c>
      <c r="F2253" s="1" t="str">
        <f>"کپ 3/4 اينچ"</f>
        <v>کپ 3/4 اينچ</v>
      </c>
      <c r="G2253" s="1" t="str">
        <f>"عدد"</f>
        <v>عدد</v>
      </c>
      <c r="H2253" s="1">
        <v>20</v>
      </c>
      <c r="I2253" s="1">
        <v>1000000</v>
      </c>
      <c r="J2253" s="1">
        <v>0</v>
      </c>
      <c r="K2253" s="1">
        <v>0</v>
      </c>
      <c r="L2253" s="1">
        <v>0</v>
      </c>
      <c r="M2253" s="1">
        <v>0</v>
      </c>
      <c r="O2253" s="1">
        <v>97</v>
      </c>
      <c r="P2253" s="4">
        <f t="shared" si="105"/>
        <v>1000000</v>
      </c>
      <c r="Q2253" s="4">
        <f t="shared" si="106"/>
        <v>20</v>
      </c>
      <c r="R2253" s="4">
        <f t="shared" si="107"/>
        <v>50000</v>
      </c>
    </row>
    <row r="2254" spans="1:18">
      <c r="A2254" s="1">
        <v>2</v>
      </c>
      <c r="B2254" s="1" t="str">
        <f>"قطعات و لوازم يدكي"</f>
        <v>قطعات و لوازم يدكي</v>
      </c>
      <c r="C2254" s="1">
        <v>205</v>
      </c>
      <c r="D2254" s="1" t="str">
        <f>"انبار قطعات و لوازم يدكي بندرعباس"</f>
        <v>انبار قطعات و لوازم يدكي بندرعباس</v>
      </c>
      <c r="E2254" s="1" t="str">
        <f>"1800000022"</f>
        <v>1800000022</v>
      </c>
      <c r="F2254" s="1" t="str">
        <f>"کپ 3"</f>
        <v>کپ 3</v>
      </c>
      <c r="G2254" s="1" t="str">
        <f>"عدد"</f>
        <v>عدد</v>
      </c>
      <c r="H2254" s="1">
        <v>2</v>
      </c>
      <c r="I2254" s="1">
        <v>110000</v>
      </c>
      <c r="J2254" s="1">
        <v>0</v>
      </c>
      <c r="K2254" s="1">
        <v>0</v>
      </c>
      <c r="L2254" s="1">
        <v>0</v>
      </c>
      <c r="M2254" s="1">
        <v>0</v>
      </c>
      <c r="O2254" s="1">
        <v>97</v>
      </c>
      <c r="P2254" s="4">
        <f t="shared" si="105"/>
        <v>110000</v>
      </c>
      <c r="Q2254" s="4">
        <f t="shared" si="106"/>
        <v>2</v>
      </c>
      <c r="R2254" s="4">
        <f t="shared" si="107"/>
        <v>55000</v>
      </c>
    </row>
    <row r="2255" spans="1:18">
      <c r="A2255" s="1">
        <v>2</v>
      </c>
      <c r="B2255" s="1" t="str">
        <f>"قطعات و لوازم يدكي"</f>
        <v>قطعات و لوازم يدكي</v>
      </c>
      <c r="C2255" s="1">
        <v>205</v>
      </c>
      <c r="D2255" s="1" t="str">
        <f>"انبار قطعات و لوازم يدكي بندرعباس"</f>
        <v>انبار قطعات و لوازم يدكي بندرعباس</v>
      </c>
      <c r="E2255" s="1" t="str">
        <f>"1800000028"</f>
        <v>1800000028</v>
      </c>
      <c r="F2255" s="1" t="str">
        <f>"فلنج10"</f>
        <v>فلنج10</v>
      </c>
      <c r="G2255" s="1" t="str">
        <f>"عدد"</f>
        <v>عدد</v>
      </c>
      <c r="H2255" s="1">
        <v>3</v>
      </c>
      <c r="I2255" s="1">
        <v>11799000</v>
      </c>
      <c r="J2255" s="1">
        <v>0</v>
      </c>
      <c r="K2255" s="1">
        <v>0</v>
      </c>
      <c r="L2255" s="1">
        <v>0</v>
      </c>
      <c r="M2255" s="1">
        <v>0</v>
      </c>
      <c r="O2255" s="1">
        <v>97</v>
      </c>
      <c r="P2255" s="4">
        <f t="shared" si="105"/>
        <v>11799000</v>
      </c>
      <c r="Q2255" s="4">
        <f t="shared" si="106"/>
        <v>3</v>
      </c>
      <c r="R2255" s="4">
        <f t="shared" si="107"/>
        <v>3933000</v>
      </c>
    </row>
    <row r="2256" spans="1:18">
      <c r="A2256" s="1">
        <v>2</v>
      </c>
      <c r="B2256" s="1" t="str">
        <f>"قطعات و لوازم يدكي"</f>
        <v>قطعات و لوازم يدكي</v>
      </c>
      <c r="C2256" s="1">
        <v>205</v>
      </c>
      <c r="D2256" s="1" t="str">
        <f>"انبار قطعات و لوازم يدكي بندرعباس"</f>
        <v>انبار قطعات و لوازم يدكي بندرعباس</v>
      </c>
      <c r="E2256" s="1" t="str">
        <f>"1800000044"</f>
        <v>1800000044</v>
      </c>
      <c r="F2256" s="1" t="str">
        <f>"فلنج 1 اينچي"</f>
        <v>فلنج 1 اينچي</v>
      </c>
      <c r="G2256" s="1" t="str">
        <f>"عدد"</f>
        <v>عدد</v>
      </c>
      <c r="H2256" s="1">
        <v>4</v>
      </c>
      <c r="I2256" s="1">
        <v>1468000</v>
      </c>
      <c r="J2256" s="1">
        <v>0</v>
      </c>
      <c r="K2256" s="1">
        <v>0</v>
      </c>
      <c r="L2256" s="1">
        <v>0</v>
      </c>
      <c r="M2256" s="1">
        <v>0</v>
      </c>
      <c r="O2256" s="1">
        <v>97</v>
      </c>
      <c r="P2256" s="4">
        <f t="shared" si="105"/>
        <v>1468000</v>
      </c>
      <c r="Q2256" s="4">
        <f t="shared" si="106"/>
        <v>4</v>
      </c>
      <c r="R2256" s="4">
        <f t="shared" si="107"/>
        <v>367000</v>
      </c>
    </row>
    <row r="2257" spans="1:18" hidden="1">
      <c r="A2257" s="1">
        <v>2</v>
      </c>
      <c r="B2257" s="1" t="str">
        <f>"قطعات و لوازم يدكي"</f>
        <v>قطعات و لوازم يدكي</v>
      </c>
      <c r="C2257" s="1">
        <v>205</v>
      </c>
      <c r="D2257" s="1" t="str">
        <f>"انبار قطعات و لوازم يدكي بندرعباس"</f>
        <v>انبار قطعات و لوازم يدكي بندرعباس</v>
      </c>
      <c r="E2257" s="1" t="str">
        <f>"1800000051"</f>
        <v>1800000051</v>
      </c>
      <c r="F2257" s="1" t="str">
        <f>"گيت ولو6"</f>
        <v>گيت ولو6</v>
      </c>
      <c r="G2257" s="1" t="str">
        <f>"عدد"</f>
        <v>عدد</v>
      </c>
      <c r="H2257" s="1">
        <v>1</v>
      </c>
      <c r="I2257" s="1">
        <v>13690000</v>
      </c>
      <c r="J2257" s="1">
        <v>0</v>
      </c>
      <c r="K2257" s="1">
        <v>0</v>
      </c>
      <c r="L2257" s="1">
        <v>1</v>
      </c>
      <c r="M2257" s="1">
        <v>13690000</v>
      </c>
      <c r="O2257" s="1">
        <v>97</v>
      </c>
      <c r="P2257" s="1">
        <f t="shared" si="105"/>
        <v>0</v>
      </c>
      <c r="Q2257" s="1">
        <f t="shared" si="106"/>
        <v>0</v>
      </c>
      <c r="R2257" s="1" t="e">
        <f t="shared" si="107"/>
        <v>#DIV/0!</v>
      </c>
    </row>
    <row r="2258" spans="1:18">
      <c r="A2258" s="1">
        <v>2</v>
      </c>
      <c r="B2258" s="1" t="str">
        <f>"قطعات و لوازم يدكي"</f>
        <v>قطعات و لوازم يدكي</v>
      </c>
      <c r="C2258" s="1">
        <v>205</v>
      </c>
      <c r="D2258" s="1" t="str">
        <f>"انبار قطعات و لوازم يدكي بندرعباس"</f>
        <v>انبار قطعات و لوازم يدكي بندرعباس</v>
      </c>
      <c r="E2258" s="1" t="str">
        <f>"1800000057"</f>
        <v>1800000057</v>
      </c>
      <c r="F2258" s="1" t="str">
        <f>"گيت ولو 2"</f>
        <v>گيت ولو 2</v>
      </c>
      <c r="G2258" s="1" t="str">
        <f>"عدد"</f>
        <v>عدد</v>
      </c>
      <c r="H2258" s="1">
        <v>7</v>
      </c>
      <c r="I2258" s="1">
        <v>25620000</v>
      </c>
      <c r="J2258" s="1">
        <v>0</v>
      </c>
      <c r="K2258" s="1">
        <v>0</v>
      </c>
      <c r="L2258" s="1">
        <v>6</v>
      </c>
      <c r="M2258" s="1">
        <v>21960000</v>
      </c>
      <c r="O2258" s="1">
        <v>97</v>
      </c>
      <c r="P2258" s="4">
        <f t="shared" si="105"/>
        <v>3660000</v>
      </c>
      <c r="Q2258" s="4">
        <f t="shared" si="106"/>
        <v>1</v>
      </c>
      <c r="R2258" s="4">
        <f t="shared" si="107"/>
        <v>3660000</v>
      </c>
    </row>
    <row r="2259" spans="1:18">
      <c r="A2259" s="1">
        <v>2</v>
      </c>
      <c r="B2259" s="1" t="str">
        <f>"قطعات و لوازم يدكي"</f>
        <v>قطعات و لوازم يدكي</v>
      </c>
      <c r="C2259" s="1">
        <v>205</v>
      </c>
      <c r="D2259" s="1" t="str">
        <f>"انبار قطعات و لوازم يدكي بندرعباس"</f>
        <v>انبار قطعات و لوازم يدكي بندرعباس</v>
      </c>
      <c r="E2259" s="1" t="str">
        <f>"1800000062"</f>
        <v>1800000062</v>
      </c>
      <c r="F2259" s="1" t="str">
        <f>"زانو 1"</f>
        <v>زانو 1</v>
      </c>
      <c r="G2259" s="1" t="str">
        <f>"عدد"</f>
        <v>عدد</v>
      </c>
      <c r="H2259" s="1">
        <v>14</v>
      </c>
      <c r="I2259" s="1">
        <v>3024000</v>
      </c>
      <c r="J2259" s="1">
        <v>0</v>
      </c>
      <c r="K2259" s="1">
        <v>0</v>
      </c>
      <c r="L2259" s="1">
        <v>0</v>
      </c>
      <c r="M2259" s="1">
        <v>0</v>
      </c>
      <c r="O2259" s="1">
        <v>97</v>
      </c>
      <c r="P2259" s="4">
        <f t="shared" si="105"/>
        <v>3024000</v>
      </c>
      <c r="Q2259" s="4">
        <f t="shared" si="106"/>
        <v>14</v>
      </c>
      <c r="R2259" s="4">
        <f t="shared" si="107"/>
        <v>216000</v>
      </c>
    </row>
    <row r="2260" spans="1:18">
      <c r="A2260" s="1">
        <v>2</v>
      </c>
      <c r="B2260" s="1" t="str">
        <f>"قطعات و لوازم يدكي"</f>
        <v>قطعات و لوازم يدكي</v>
      </c>
      <c r="C2260" s="1">
        <v>205</v>
      </c>
      <c r="D2260" s="1" t="str">
        <f>"انبار قطعات و لوازم يدكي بندرعباس"</f>
        <v>انبار قطعات و لوازم يدكي بندرعباس</v>
      </c>
      <c r="E2260" s="1" t="str">
        <f>"1800000066"</f>
        <v>1800000066</v>
      </c>
      <c r="F2260" s="1" t="str">
        <f>"زانو1/2"</f>
        <v>زانو1/2</v>
      </c>
      <c r="G2260" s="1" t="str">
        <f>"عدد"</f>
        <v>عدد</v>
      </c>
      <c r="H2260" s="1">
        <v>4</v>
      </c>
      <c r="I2260" s="1">
        <v>800000</v>
      </c>
      <c r="J2260" s="1">
        <v>0</v>
      </c>
      <c r="K2260" s="1">
        <v>0</v>
      </c>
      <c r="L2260" s="1">
        <v>0</v>
      </c>
      <c r="M2260" s="1">
        <v>0</v>
      </c>
      <c r="O2260" s="1">
        <v>97</v>
      </c>
      <c r="P2260" s="4">
        <f t="shared" si="105"/>
        <v>800000</v>
      </c>
      <c r="Q2260" s="4">
        <f t="shared" si="106"/>
        <v>4</v>
      </c>
      <c r="R2260" s="4">
        <f t="shared" si="107"/>
        <v>200000</v>
      </c>
    </row>
    <row r="2261" spans="1:18" hidden="1">
      <c r="A2261" s="1">
        <v>2</v>
      </c>
      <c r="B2261" s="1" t="str">
        <f>"قطعات و لوازم يدكي"</f>
        <v>قطعات و لوازم يدكي</v>
      </c>
      <c r="C2261" s="1">
        <v>205</v>
      </c>
      <c r="D2261" s="1" t="str">
        <f>"انبار قطعات و لوازم يدكي بندرعباس"</f>
        <v>انبار قطعات و لوازم يدكي بندرعباس</v>
      </c>
      <c r="E2261" s="1" t="str">
        <f>"1800000073"</f>
        <v>1800000073</v>
      </c>
      <c r="F2261" s="1" t="str">
        <f>"زانو 8 اينچ"</f>
        <v>زانو 8 اينچ</v>
      </c>
      <c r="G2261" s="1" t="str">
        <f>"عدد"</f>
        <v>عدد</v>
      </c>
      <c r="H2261" s="1">
        <v>1</v>
      </c>
      <c r="I2261" s="1">
        <v>907000</v>
      </c>
      <c r="J2261" s="1">
        <v>0</v>
      </c>
      <c r="K2261" s="1">
        <v>0</v>
      </c>
      <c r="L2261" s="1">
        <v>1</v>
      </c>
      <c r="M2261" s="1">
        <v>907000</v>
      </c>
      <c r="O2261" s="1">
        <v>97</v>
      </c>
      <c r="P2261" s="1">
        <f t="shared" si="105"/>
        <v>0</v>
      </c>
      <c r="Q2261" s="1">
        <f t="shared" si="106"/>
        <v>0</v>
      </c>
      <c r="R2261" s="1" t="e">
        <f t="shared" si="107"/>
        <v>#DIV/0!</v>
      </c>
    </row>
    <row r="2262" spans="1:18">
      <c r="A2262" s="1">
        <v>2</v>
      </c>
      <c r="B2262" s="1" t="str">
        <f>"قطعات و لوازم يدكي"</f>
        <v>قطعات و لوازم يدكي</v>
      </c>
      <c r="C2262" s="1">
        <v>205</v>
      </c>
      <c r="D2262" s="1" t="str">
        <f>"انبار قطعات و لوازم يدكي بندرعباس"</f>
        <v>انبار قطعات و لوازم يدكي بندرعباس</v>
      </c>
      <c r="E2262" s="1" t="str">
        <f>"1800000074"</f>
        <v>1800000074</v>
      </c>
      <c r="F2262" s="1" t="str">
        <f>"زانو 10"</f>
        <v>زانو 10</v>
      </c>
      <c r="G2262" s="1" t="str">
        <f>"عدد"</f>
        <v>عدد</v>
      </c>
      <c r="H2262" s="1">
        <v>1</v>
      </c>
      <c r="I2262" s="1">
        <v>1621000</v>
      </c>
      <c r="J2262" s="1">
        <v>0</v>
      </c>
      <c r="K2262" s="1">
        <v>0</v>
      </c>
      <c r="L2262" s="1">
        <v>0</v>
      </c>
      <c r="M2262" s="1">
        <v>0</v>
      </c>
      <c r="O2262" s="1">
        <v>97</v>
      </c>
      <c r="P2262" s="4">
        <f t="shared" si="105"/>
        <v>1621000</v>
      </c>
      <c r="Q2262" s="4">
        <f t="shared" si="106"/>
        <v>1</v>
      </c>
      <c r="R2262" s="4">
        <f t="shared" si="107"/>
        <v>1621000</v>
      </c>
    </row>
    <row r="2263" spans="1:18" hidden="1">
      <c r="A2263" s="1">
        <v>2</v>
      </c>
      <c r="B2263" s="1" t="str">
        <f>"قطعات و لوازم يدكي"</f>
        <v>قطعات و لوازم يدكي</v>
      </c>
      <c r="C2263" s="1">
        <v>205</v>
      </c>
      <c r="D2263" s="1" t="str">
        <f>"انبار قطعات و لوازم يدكي بندرعباس"</f>
        <v>انبار قطعات و لوازم يدكي بندرعباس</v>
      </c>
      <c r="E2263" s="1" t="str">
        <f>"1800000092"</f>
        <v>1800000092</v>
      </c>
      <c r="F2263" s="1" t="str">
        <f>"تبديل 4-8"</f>
        <v>تبديل 4-8</v>
      </c>
      <c r="G2263" s="1" t="str">
        <f>"عدد"</f>
        <v>عدد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O2263" s="1">
        <v>97</v>
      </c>
      <c r="P2263" s="1">
        <f t="shared" si="105"/>
        <v>0</v>
      </c>
      <c r="Q2263" s="1">
        <f t="shared" si="106"/>
        <v>0</v>
      </c>
      <c r="R2263" s="1" t="e">
        <f t="shared" si="107"/>
        <v>#DIV/0!</v>
      </c>
    </row>
    <row r="2264" spans="1:18">
      <c r="A2264" s="1">
        <v>2</v>
      </c>
      <c r="B2264" s="1" t="str">
        <f>"قطعات و لوازم يدكي"</f>
        <v>قطعات و لوازم يدكي</v>
      </c>
      <c r="C2264" s="1">
        <v>205</v>
      </c>
      <c r="D2264" s="1" t="str">
        <f>"انبار قطعات و لوازم يدكي بندرعباس"</f>
        <v>انبار قطعات و لوازم يدكي بندرعباس</v>
      </c>
      <c r="E2264" s="1" t="str">
        <f>"1800000118"</f>
        <v>1800000118</v>
      </c>
      <c r="F2264" s="1" t="str">
        <f>"تي تبديل 12-6"</f>
        <v>تي تبديل 12-6</v>
      </c>
      <c r="G2264" s="1" t="str">
        <f>"عدد"</f>
        <v>عدد</v>
      </c>
      <c r="H2264" s="1">
        <v>1</v>
      </c>
      <c r="I2264" s="1">
        <v>2334000</v>
      </c>
      <c r="J2264" s="1">
        <v>0</v>
      </c>
      <c r="K2264" s="1">
        <v>0</v>
      </c>
      <c r="L2264" s="1">
        <v>0</v>
      </c>
      <c r="M2264" s="1">
        <v>0</v>
      </c>
      <c r="O2264" s="1">
        <v>97</v>
      </c>
      <c r="P2264" s="4">
        <f t="shared" si="105"/>
        <v>2334000</v>
      </c>
      <c r="Q2264" s="4">
        <f t="shared" si="106"/>
        <v>1</v>
      </c>
      <c r="R2264" s="4">
        <f t="shared" si="107"/>
        <v>2334000</v>
      </c>
    </row>
    <row r="2265" spans="1:18">
      <c r="A2265" s="1">
        <v>2</v>
      </c>
      <c r="B2265" s="1" t="str">
        <f>"قطعات و لوازم يدكي"</f>
        <v>قطعات و لوازم يدكي</v>
      </c>
      <c r="C2265" s="1">
        <v>205</v>
      </c>
      <c r="D2265" s="1" t="str">
        <f>"انبار قطعات و لوازم يدكي بندرعباس"</f>
        <v>انبار قطعات و لوازم يدكي بندرعباس</v>
      </c>
      <c r="E2265" s="1" t="str">
        <f>"1800000119"</f>
        <v>1800000119</v>
      </c>
      <c r="F2265" s="1" t="str">
        <f>"تي تبديل 8-3"</f>
        <v>تي تبديل 8-3</v>
      </c>
      <c r="G2265" s="1" t="str">
        <f>"عدد"</f>
        <v>عدد</v>
      </c>
      <c r="H2265" s="1">
        <v>1</v>
      </c>
      <c r="I2265" s="1">
        <v>1426000</v>
      </c>
      <c r="J2265" s="1">
        <v>0</v>
      </c>
      <c r="K2265" s="1">
        <v>0</v>
      </c>
      <c r="L2265" s="1">
        <v>0</v>
      </c>
      <c r="M2265" s="1">
        <v>0</v>
      </c>
      <c r="O2265" s="1">
        <v>97</v>
      </c>
      <c r="P2265" s="4">
        <f t="shared" si="105"/>
        <v>1426000</v>
      </c>
      <c r="Q2265" s="4">
        <f t="shared" si="106"/>
        <v>1</v>
      </c>
      <c r="R2265" s="4">
        <f t="shared" si="107"/>
        <v>1426000</v>
      </c>
    </row>
    <row r="2266" spans="1:18">
      <c r="A2266" s="1">
        <v>2</v>
      </c>
      <c r="B2266" s="1" t="str">
        <f>"قطعات و لوازم يدكي"</f>
        <v>قطعات و لوازم يدكي</v>
      </c>
      <c r="C2266" s="1">
        <v>205</v>
      </c>
      <c r="D2266" s="1" t="str">
        <f>"انبار قطعات و لوازم يدكي بندرعباس"</f>
        <v>انبار قطعات و لوازم يدكي بندرعباس</v>
      </c>
      <c r="E2266" s="1" t="str">
        <f>"1800000120"</f>
        <v>1800000120</v>
      </c>
      <c r="F2266" s="1" t="str">
        <f>"تي ولد 3/4"</f>
        <v>تي ولد 3/4</v>
      </c>
      <c r="G2266" s="1" t="str">
        <f>"عدد"</f>
        <v>عدد</v>
      </c>
      <c r="H2266" s="1">
        <v>160</v>
      </c>
      <c r="I2266" s="1">
        <v>41440000</v>
      </c>
      <c r="J2266" s="1">
        <v>0</v>
      </c>
      <c r="K2266" s="1">
        <v>0</v>
      </c>
      <c r="L2266" s="1">
        <v>35</v>
      </c>
      <c r="M2266" s="1">
        <v>9065000</v>
      </c>
      <c r="O2266" s="1">
        <v>97</v>
      </c>
      <c r="P2266" s="4">
        <f t="shared" si="105"/>
        <v>32375000</v>
      </c>
      <c r="Q2266" s="4">
        <f t="shared" si="106"/>
        <v>125</v>
      </c>
      <c r="R2266" s="4">
        <f t="shared" si="107"/>
        <v>259000</v>
      </c>
    </row>
    <row r="2267" spans="1:18">
      <c r="A2267" s="1">
        <v>2</v>
      </c>
      <c r="B2267" s="1" t="str">
        <f>"قطعات و لوازم يدكي"</f>
        <v>قطعات و لوازم يدكي</v>
      </c>
      <c r="C2267" s="1">
        <v>205</v>
      </c>
      <c r="D2267" s="1" t="str">
        <f>"انبار قطعات و لوازم يدكي بندرعباس"</f>
        <v>انبار قطعات و لوازم يدكي بندرعباس</v>
      </c>
      <c r="E2267" s="1" t="str">
        <f>"1800000123"</f>
        <v>1800000123</v>
      </c>
      <c r="F2267" s="1" t="str">
        <f>"تي ولد 1/2*1"</f>
        <v>تي ولد 1/2*1</v>
      </c>
      <c r="G2267" s="1" t="str">
        <f>"عدد"</f>
        <v>عدد</v>
      </c>
      <c r="H2267" s="1">
        <v>1</v>
      </c>
      <c r="I2267" s="1">
        <v>259000</v>
      </c>
      <c r="J2267" s="1">
        <v>0</v>
      </c>
      <c r="K2267" s="1">
        <v>0</v>
      </c>
      <c r="L2267" s="1">
        <v>0</v>
      </c>
      <c r="M2267" s="1">
        <v>0</v>
      </c>
      <c r="O2267" s="1">
        <v>97</v>
      </c>
      <c r="P2267" s="4">
        <f t="shared" si="105"/>
        <v>259000</v>
      </c>
      <c r="Q2267" s="4">
        <f t="shared" si="106"/>
        <v>1</v>
      </c>
      <c r="R2267" s="4">
        <f t="shared" si="107"/>
        <v>259000</v>
      </c>
    </row>
    <row r="2268" spans="1:18">
      <c r="A2268" s="1">
        <v>2</v>
      </c>
      <c r="B2268" s="1" t="str">
        <f>"قطعات و لوازم يدكي"</f>
        <v>قطعات و لوازم يدكي</v>
      </c>
      <c r="C2268" s="1">
        <v>205</v>
      </c>
      <c r="D2268" s="1" t="str">
        <f>"انبار قطعات و لوازم يدكي بندرعباس"</f>
        <v>انبار قطعات و لوازم يدكي بندرعباس</v>
      </c>
      <c r="E2268" s="1" t="str">
        <f>"1800000126"</f>
        <v>1800000126</v>
      </c>
      <c r="F2268" s="1" t="str">
        <f>"تي ولد تبديل 1/2*1-3/4"</f>
        <v>تي ولد تبديل 1/2*1-3/4</v>
      </c>
      <c r="G2268" s="1" t="str">
        <f>"عدد"</f>
        <v>عدد</v>
      </c>
      <c r="H2268" s="1">
        <v>13</v>
      </c>
      <c r="I2268" s="1">
        <v>2938000</v>
      </c>
      <c r="J2268" s="1">
        <v>0</v>
      </c>
      <c r="K2268" s="1">
        <v>0</v>
      </c>
      <c r="L2268" s="1">
        <v>0</v>
      </c>
      <c r="M2268" s="1">
        <v>0</v>
      </c>
      <c r="O2268" s="1">
        <v>97</v>
      </c>
      <c r="P2268" s="4">
        <f t="shared" si="105"/>
        <v>2938000</v>
      </c>
      <c r="Q2268" s="4">
        <f t="shared" si="106"/>
        <v>13</v>
      </c>
      <c r="R2268" s="4">
        <f t="shared" si="107"/>
        <v>226000</v>
      </c>
    </row>
    <row r="2269" spans="1:18">
      <c r="A2269" s="1">
        <v>2</v>
      </c>
      <c r="B2269" s="1" t="str">
        <f>"قطعات و لوازم يدكي"</f>
        <v>قطعات و لوازم يدكي</v>
      </c>
      <c r="C2269" s="1">
        <v>205</v>
      </c>
      <c r="D2269" s="1" t="str">
        <f>"انبار قطعات و لوازم يدكي بندرعباس"</f>
        <v>انبار قطعات و لوازم يدكي بندرعباس</v>
      </c>
      <c r="E2269" s="1" t="str">
        <f>"1800000139"</f>
        <v>1800000139</v>
      </c>
      <c r="F2269" s="1" t="str">
        <f>"اسپري کنتاکتور"</f>
        <v>اسپري کنتاکتور</v>
      </c>
      <c r="G2269" s="1" t="str">
        <f>"عدد"</f>
        <v>عدد</v>
      </c>
      <c r="H2269" s="1">
        <v>5</v>
      </c>
      <c r="I2269" s="1">
        <v>500000</v>
      </c>
      <c r="J2269" s="1">
        <v>0</v>
      </c>
      <c r="K2269" s="1">
        <v>0</v>
      </c>
      <c r="L2269" s="1">
        <v>3</v>
      </c>
      <c r="M2269" s="1">
        <v>300000</v>
      </c>
      <c r="O2269" s="1">
        <v>97</v>
      </c>
      <c r="P2269" s="4">
        <f t="shared" si="105"/>
        <v>200000</v>
      </c>
      <c r="Q2269" s="4">
        <f t="shared" si="106"/>
        <v>2</v>
      </c>
      <c r="R2269" s="4">
        <f t="shared" si="107"/>
        <v>100000</v>
      </c>
    </row>
    <row r="2270" spans="1:18">
      <c r="A2270" s="1">
        <v>2</v>
      </c>
      <c r="B2270" s="1" t="str">
        <f>"قطعات و لوازم يدكي"</f>
        <v>قطعات و لوازم يدكي</v>
      </c>
      <c r="C2270" s="1">
        <v>205</v>
      </c>
      <c r="D2270" s="1" t="str">
        <f>"انبار قطعات و لوازم يدكي بندرعباس"</f>
        <v>انبار قطعات و لوازم يدكي بندرعباس</v>
      </c>
      <c r="E2270" s="1" t="str">
        <f>"1800000141"</f>
        <v>1800000141</v>
      </c>
      <c r="F2270" s="1" t="str">
        <f>"اسپرينکر آتشنشاني افشانه"</f>
        <v>اسپرينکر آتشنشاني افشانه</v>
      </c>
      <c r="G2270" s="1" t="str">
        <f>"عدد"</f>
        <v>عدد</v>
      </c>
      <c r="H2270" s="1">
        <v>20</v>
      </c>
      <c r="I2270" s="1">
        <v>5000000</v>
      </c>
      <c r="J2270" s="1">
        <v>0</v>
      </c>
      <c r="K2270" s="1">
        <v>0</v>
      </c>
      <c r="L2270" s="1">
        <v>0</v>
      </c>
      <c r="M2270" s="1">
        <v>0</v>
      </c>
      <c r="O2270" s="1">
        <v>97</v>
      </c>
      <c r="P2270" s="4">
        <f t="shared" si="105"/>
        <v>5000000</v>
      </c>
      <c r="Q2270" s="4">
        <f t="shared" si="106"/>
        <v>20</v>
      </c>
      <c r="R2270" s="4">
        <f t="shared" si="107"/>
        <v>250000</v>
      </c>
    </row>
    <row r="2271" spans="1:18">
      <c r="A2271" s="1">
        <v>2</v>
      </c>
      <c r="B2271" s="1" t="str">
        <f>"قطعات و لوازم يدكي"</f>
        <v>قطعات و لوازم يدكي</v>
      </c>
      <c r="C2271" s="1">
        <v>205</v>
      </c>
      <c r="D2271" s="1" t="str">
        <f>"انبار قطعات و لوازم يدكي بندرعباس"</f>
        <v>انبار قطعات و لوازم يدكي بندرعباس</v>
      </c>
      <c r="E2271" s="1" t="str">
        <f>"1800000143"</f>
        <v>1800000143</v>
      </c>
      <c r="F2271" s="1" t="str">
        <f>"اکسپکشن جوينت4"</f>
        <v>اکسپکشن جوينت4</v>
      </c>
      <c r="G2271" s="1" t="str">
        <f>"عدد"</f>
        <v>عدد</v>
      </c>
      <c r="H2271" s="1">
        <v>1</v>
      </c>
      <c r="I2271" s="1">
        <v>16210000</v>
      </c>
      <c r="J2271" s="1">
        <v>0</v>
      </c>
      <c r="K2271" s="1">
        <v>0</v>
      </c>
      <c r="L2271" s="1">
        <v>0</v>
      </c>
      <c r="M2271" s="1">
        <v>0</v>
      </c>
      <c r="O2271" s="1">
        <v>97</v>
      </c>
      <c r="P2271" s="4">
        <f t="shared" si="105"/>
        <v>16210000</v>
      </c>
      <c r="Q2271" s="4">
        <f t="shared" si="106"/>
        <v>1</v>
      </c>
      <c r="R2271" s="4">
        <f t="shared" si="107"/>
        <v>16210000</v>
      </c>
    </row>
    <row r="2272" spans="1:18">
      <c r="A2272" s="1">
        <v>2</v>
      </c>
      <c r="B2272" s="1" t="str">
        <f>"قطعات و لوازم يدكي"</f>
        <v>قطعات و لوازم يدكي</v>
      </c>
      <c r="C2272" s="1">
        <v>205</v>
      </c>
      <c r="D2272" s="1" t="str">
        <f>"انبار قطعات و لوازم يدكي بندرعباس"</f>
        <v>انبار قطعات و لوازم يدكي بندرعباس</v>
      </c>
      <c r="E2272" s="1" t="str">
        <f>"1800000158"</f>
        <v>1800000158</v>
      </c>
      <c r="F2272" s="1" t="str">
        <f>"اورينگ پمپ سوخت مشعل 16"</f>
        <v>اورينگ پمپ سوخت مشعل 16</v>
      </c>
      <c r="G2272" s="1" t="str">
        <f>"عدد"</f>
        <v>عدد</v>
      </c>
      <c r="H2272" s="1">
        <v>13</v>
      </c>
      <c r="I2272" s="1">
        <v>15600</v>
      </c>
      <c r="J2272" s="1">
        <v>0</v>
      </c>
      <c r="K2272" s="1">
        <v>0</v>
      </c>
      <c r="L2272" s="1">
        <v>5</v>
      </c>
      <c r="M2272" s="1">
        <v>6000</v>
      </c>
      <c r="O2272" s="1">
        <v>97</v>
      </c>
      <c r="P2272" s="4">
        <f t="shared" si="105"/>
        <v>9600</v>
      </c>
      <c r="Q2272" s="4">
        <f t="shared" si="106"/>
        <v>8</v>
      </c>
      <c r="R2272" s="4">
        <f t="shared" si="107"/>
        <v>1200</v>
      </c>
    </row>
    <row r="2273" spans="1:18">
      <c r="A2273" s="1">
        <v>2</v>
      </c>
      <c r="B2273" s="1" t="str">
        <f>"قطعات و لوازم يدكي"</f>
        <v>قطعات و لوازم يدكي</v>
      </c>
      <c r="C2273" s="1">
        <v>205</v>
      </c>
      <c r="D2273" s="1" t="str">
        <f>"انبار قطعات و لوازم يدكي بندرعباس"</f>
        <v>انبار قطعات و لوازم يدكي بندرعباس</v>
      </c>
      <c r="E2273" s="1" t="str">
        <f>"1800000159"</f>
        <v>1800000159</v>
      </c>
      <c r="F2273" s="1" t="str">
        <f>"اورينگ شير تخليه ترانسفورماتور"</f>
        <v>اورينگ شير تخليه ترانسفورماتور</v>
      </c>
      <c r="G2273" s="1" t="str">
        <f>"عدد"</f>
        <v>عدد</v>
      </c>
      <c r="H2273" s="1">
        <v>12</v>
      </c>
      <c r="I2273" s="1">
        <v>12000</v>
      </c>
      <c r="J2273" s="1">
        <v>0</v>
      </c>
      <c r="K2273" s="1">
        <v>0</v>
      </c>
      <c r="L2273" s="1">
        <v>0</v>
      </c>
      <c r="M2273" s="1">
        <v>0</v>
      </c>
      <c r="O2273" s="1">
        <v>97</v>
      </c>
      <c r="P2273" s="4">
        <f t="shared" si="105"/>
        <v>12000</v>
      </c>
      <c r="Q2273" s="4">
        <f t="shared" si="106"/>
        <v>12</v>
      </c>
      <c r="R2273" s="4">
        <f t="shared" si="107"/>
        <v>1000</v>
      </c>
    </row>
    <row r="2274" spans="1:18">
      <c r="A2274" s="1">
        <v>2</v>
      </c>
      <c r="B2274" s="1" t="str">
        <f>"قطعات و لوازم يدكي"</f>
        <v>قطعات و لوازم يدكي</v>
      </c>
      <c r="C2274" s="1">
        <v>205</v>
      </c>
      <c r="D2274" s="1" t="str">
        <f>"انبار قطعات و لوازم يدكي بندرعباس"</f>
        <v>انبار قطعات و لوازم يدكي بندرعباس</v>
      </c>
      <c r="E2274" s="1" t="str">
        <f>"1800000169"</f>
        <v>1800000169</v>
      </c>
      <c r="F2274" s="1" t="str">
        <f>"برد الکتريکي"</f>
        <v>برد الکتريکي</v>
      </c>
      <c r="G2274" s="1" t="str">
        <f>"عدد"</f>
        <v>عدد</v>
      </c>
      <c r="H2274" s="1">
        <v>2</v>
      </c>
      <c r="I2274" s="1">
        <v>4000000</v>
      </c>
      <c r="J2274" s="1">
        <v>0</v>
      </c>
      <c r="K2274" s="1">
        <v>0</v>
      </c>
      <c r="L2274" s="1">
        <v>0</v>
      </c>
      <c r="M2274" s="1">
        <v>0</v>
      </c>
      <c r="O2274" s="1">
        <v>97</v>
      </c>
      <c r="P2274" s="4">
        <f t="shared" si="105"/>
        <v>4000000</v>
      </c>
      <c r="Q2274" s="4">
        <f t="shared" si="106"/>
        <v>2</v>
      </c>
      <c r="R2274" s="4">
        <f t="shared" si="107"/>
        <v>2000000</v>
      </c>
    </row>
    <row r="2275" spans="1:18">
      <c r="A2275" s="1">
        <v>2</v>
      </c>
      <c r="B2275" s="1" t="str">
        <f>"قطعات و لوازم يدكي"</f>
        <v>قطعات و لوازم يدكي</v>
      </c>
      <c r="C2275" s="1">
        <v>205</v>
      </c>
      <c r="D2275" s="1" t="str">
        <f>"انبار قطعات و لوازم يدكي بندرعباس"</f>
        <v>انبار قطعات و لوازم يدكي بندرعباس</v>
      </c>
      <c r="E2275" s="1" t="str">
        <f>"1800000192"</f>
        <v>1800000192</v>
      </c>
      <c r="F2275" s="1" t="str">
        <f>"بلبرينگ nachi"</f>
        <v>بلبرينگ nachi</v>
      </c>
      <c r="G2275" s="1" t="str">
        <f>"عدد"</f>
        <v>عدد</v>
      </c>
      <c r="H2275" s="1">
        <v>2</v>
      </c>
      <c r="I2275" s="1">
        <v>400000</v>
      </c>
      <c r="J2275" s="1">
        <v>0</v>
      </c>
      <c r="K2275" s="1">
        <v>0</v>
      </c>
      <c r="L2275" s="1">
        <v>0</v>
      </c>
      <c r="M2275" s="1">
        <v>0</v>
      </c>
      <c r="O2275" s="1">
        <v>97</v>
      </c>
      <c r="P2275" s="4">
        <f t="shared" si="105"/>
        <v>400000</v>
      </c>
      <c r="Q2275" s="4">
        <f t="shared" si="106"/>
        <v>2</v>
      </c>
      <c r="R2275" s="4">
        <f t="shared" si="107"/>
        <v>200000</v>
      </c>
    </row>
    <row r="2276" spans="1:18">
      <c r="A2276" s="1">
        <v>2</v>
      </c>
      <c r="B2276" s="1" t="str">
        <f>"قطعات و لوازم يدكي"</f>
        <v>قطعات و لوازم يدكي</v>
      </c>
      <c r="C2276" s="1">
        <v>205</v>
      </c>
      <c r="D2276" s="1" t="str">
        <f>"انبار قطعات و لوازم يدكي بندرعباس"</f>
        <v>انبار قطعات و لوازم يدكي بندرعباس</v>
      </c>
      <c r="E2276" s="1" t="str">
        <f>"1800000209"</f>
        <v>1800000209</v>
      </c>
      <c r="F2276" s="1" t="str">
        <f>"بوشن لوله سفيد25"</f>
        <v>بوشن لوله سفيد25</v>
      </c>
      <c r="G2276" s="1" t="str">
        <f>"عدد"</f>
        <v>عدد</v>
      </c>
      <c r="H2276" s="1">
        <v>2</v>
      </c>
      <c r="I2276" s="1">
        <v>80000</v>
      </c>
      <c r="J2276" s="1">
        <v>10</v>
      </c>
      <c r="K2276" s="1">
        <v>114000</v>
      </c>
      <c r="L2276" s="1">
        <v>7</v>
      </c>
      <c r="M2276" s="1">
        <v>127556</v>
      </c>
      <c r="O2276" s="1">
        <v>97</v>
      </c>
      <c r="P2276" s="4">
        <f t="shared" si="105"/>
        <v>66444</v>
      </c>
      <c r="Q2276" s="4">
        <f t="shared" si="106"/>
        <v>5</v>
      </c>
      <c r="R2276" s="4">
        <f t="shared" si="107"/>
        <v>13288.8</v>
      </c>
    </row>
    <row r="2277" spans="1:18">
      <c r="A2277" s="1">
        <v>2</v>
      </c>
      <c r="B2277" s="1" t="str">
        <f>"قطعات و لوازم يدكي"</f>
        <v>قطعات و لوازم يدكي</v>
      </c>
      <c r="C2277" s="1">
        <v>205</v>
      </c>
      <c r="D2277" s="1" t="str">
        <f>"انبار قطعات و لوازم يدكي بندرعباس"</f>
        <v>انبار قطعات و لوازم يدكي بندرعباس</v>
      </c>
      <c r="E2277" s="1" t="str">
        <f>"1800000210"</f>
        <v>1800000210</v>
      </c>
      <c r="F2277" s="1" t="str">
        <f>"بوشن لوله سفيد 32"</f>
        <v>بوشن لوله سفيد 32</v>
      </c>
      <c r="G2277" s="1" t="str">
        <f>"عدد"</f>
        <v>عدد</v>
      </c>
      <c r="H2277" s="1">
        <v>3</v>
      </c>
      <c r="I2277" s="1">
        <v>180000</v>
      </c>
      <c r="J2277" s="1">
        <v>0</v>
      </c>
      <c r="K2277" s="1">
        <v>0</v>
      </c>
      <c r="L2277" s="1">
        <v>0</v>
      </c>
      <c r="M2277" s="1">
        <v>0</v>
      </c>
      <c r="O2277" s="1">
        <v>97</v>
      </c>
      <c r="P2277" s="4">
        <f t="shared" si="105"/>
        <v>180000</v>
      </c>
      <c r="Q2277" s="4">
        <f t="shared" si="106"/>
        <v>3</v>
      </c>
      <c r="R2277" s="4">
        <f t="shared" si="107"/>
        <v>60000</v>
      </c>
    </row>
    <row r="2278" spans="1:18">
      <c r="A2278" s="1">
        <v>2</v>
      </c>
      <c r="B2278" s="1" t="str">
        <f>"قطعات و لوازم يدكي"</f>
        <v>قطعات و لوازم يدكي</v>
      </c>
      <c r="C2278" s="1">
        <v>205</v>
      </c>
      <c r="D2278" s="1" t="str">
        <f>"انبار قطعات و لوازم يدكي بندرعباس"</f>
        <v>انبار قطعات و لوازم يدكي بندرعباس</v>
      </c>
      <c r="E2278" s="1" t="str">
        <f>"1800000217"</f>
        <v>1800000217</v>
      </c>
      <c r="F2278" s="1" t="str">
        <f>"ولدولت6-16"</f>
        <v>ولدولت6-16</v>
      </c>
      <c r="G2278" s="1" t="str">
        <f>"عدد"</f>
        <v>عدد</v>
      </c>
      <c r="H2278" s="1">
        <v>2</v>
      </c>
      <c r="I2278" s="1">
        <v>8733944</v>
      </c>
      <c r="J2278" s="1">
        <v>0</v>
      </c>
      <c r="K2278" s="1">
        <v>0</v>
      </c>
      <c r="L2278" s="1">
        <v>0</v>
      </c>
      <c r="M2278" s="1">
        <v>0</v>
      </c>
      <c r="O2278" s="1">
        <v>97</v>
      </c>
      <c r="P2278" s="4">
        <f t="shared" si="105"/>
        <v>8733944</v>
      </c>
      <c r="Q2278" s="4">
        <f t="shared" si="106"/>
        <v>2</v>
      </c>
      <c r="R2278" s="4">
        <f t="shared" si="107"/>
        <v>4366972</v>
      </c>
    </row>
    <row r="2279" spans="1:18">
      <c r="A2279" s="1">
        <v>2</v>
      </c>
      <c r="B2279" s="1" t="str">
        <f>"قطعات و لوازم يدكي"</f>
        <v>قطعات و لوازم يدكي</v>
      </c>
      <c r="C2279" s="1">
        <v>205</v>
      </c>
      <c r="D2279" s="1" t="str">
        <f>"انبار قطعات و لوازم يدكي بندرعباس"</f>
        <v>انبار قطعات و لوازم يدكي بندرعباس</v>
      </c>
      <c r="E2279" s="1" t="str">
        <f>"1800000231"</f>
        <v>1800000231</v>
      </c>
      <c r="F2279" s="1" t="str">
        <f>"پريز تلفن شبکه روکار"</f>
        <v>پريز تلفن شبکه روکار</v>
      </c>
      <c r="G2279" s="1" t="str">
        <f>"عدد"</f>
        <v>عدد</v>
      </c>
      <c r="H2279" s="1">
        <v>2</v>
      </c>
      <c r="I2279" s="1">
        <v>140000</v>
      </c>
      <c r="J2279" s="1">
        <v>0</v>
      </c>
      <c r="K2279" s="1">
        <v>0</v>
      </c>
      <c r="L2279" s="1">
        <v>0</v>
      </c>
      <c r="M2279" s="1">
        <v>0</v>
      </c>
      <c r="O2279" s="1">
        <v>97</v>
      </c>
      <c r="P2279" s="4">
        <f t="shared" si="105"/>
        <v>140000</v>
      </c>
      <c r="Q2279" s="4">
        <f t="shared" si="106"/>
        <v>2</v>
      </c>
      <c r="R2279" s="4">
        <f t="shared" si="107"/>
        <v>70000</v>
      </c>
    </row>
    <row r="2280" spans="1:18">
      <c r="A2280" s="1">
        <v>2</v>
      </c>
      <c r="B2280" s="1" t="str">
        <f>"قطعات و لوازم يدكي"</f>
        <v>قطعات و لوازم يدكي</v>
      </c>
      <c r="C2280" s="1">
        <v>205</v>
      </c>
      <c r="D2280" s="1" t="str">
        <f>"انبار قطعات و لوازم يدكي بندرعباس"</f>
        <v>انبار قطعات و لوازم يدكي بندرعباس</v>
      </c>
      <c r="E2280" s="1" t="str">
        <f>"1800000268"</f>
        <v>1800000268</v>
      </c>
      <c r="F2280" s="1" t="str">
        <f>"پيچ mdf"</f>
        <v>پيچ mdf</v>
      </c>
      <c r="G2280" s="1" t="str">
        <f>"عدد"</f>
        <v>عدد</v>
      </c>
      <c r="H2280" s="1">
        <v>90</v>
      </c>
      <c r="I2280" s="1">
        <v>45000</v>
      </c>
      <c r="J2280" s="1">
        <v>0</v>
      </c>
      <c r="K2280" s="1">
        <v>0</v>
      </c>
      <c r="L2280" s="1">
        <v>0</v>
      </c>
      <c r="M2280" s="1">
        <v>0</v>
      </c>
      <c r="O2280" s="1">
        <v>97</v>
      </c>
      <c r="P2280" s="4">
        <f t="shared" si="105"/>
        <v>45000</v>
      </c>
      <c r="Q2280" s="4">
        <f t="shared" si="106"/>
        <v>90</v>
      </c>
      <c r="R2280" s="4">
        <f t="shared" si="107"/>
        <v>500</v>
      </c>
    </row>
    <row r="2281" spans="1:18">
      <c r="A2281" s="1">
        <v>2</v>
      </c>
      <c r="B2281" s="1" t="str">
        <f>"قطعات و لوازم يدكي"</f>
        <v>قطعات و لوازم يدكي</v>
      </c>
      <c r="C2281" s="1">
        <v>205</v>
      </c>
      <c r="D2281" s="1" t="str">
        <f>"انبار قطعات و لوازم يدكي بندرعباس"</f>
        <v>انبار قطعات و لوازم يدكي بندرعباس</v>
      </c>
      <c r="E2281" s="1" t="str">
        <f>"1800000272"</f>
        <v>1800000272</v>
      </c>
      <c r="F2281" s="1" t="str">
        <f>"تابلو برق 25"</f>
        <v>تابلو برق 25</v>
      </c>
      <c r="G2281" s="1" t="str">
        <f>"عدد"</f>
        <v>عدد</v>
      </c>
      <c r="H2281" s="1">
        <v>1</v>
      </c>
      <c r="I2281" s="1">
        <v>500000</v>
      </c>
      <c r="J2281" s="1">
        <v>0</v>
      </c>
      <c r="K2281" s="1">
        <v>0</v>
      </c>
      <c r="L2281" s="1">
        <v>0</v>
      </c>
      <c r="M2281" s="1">
        <v>0</v>
      </c>
      <c r="O2281" s="1">
        <v>97</v>
      </c>
      <c r="P2281" s="4">
        <f t="shared" si="105"/>
        <v>500000</v>
      </c>
      <c r="Q2281" s="4">
        <f t="shared" si="106"/>
        <v>1</v>
      </c>
      <c r="R2281" s="4">
        <f t="shared" si="107"/>
        <v>500000</v>
      </c>
    </row>
    <row r="2282" spans="1:18">
      <c r="A2282" s="1">
        <v>2</v>
      </c>
      <c r="B2282" s="1" t="str">
        <f>"قطعات و لوازم يدكي"</f>
        <v>قطعات و لوازم يدكي</v>
      </c>
      <c r="C2282" s="1">
        <v>205</v>
      </c>
      <c r="D2282" s="1" t="str">
        <f>"انبار قطعات و لوازم يدكي بندرعباس"</f>
        <v>انبار قطعات و لوازم يدكي بندرعباس</v>
      </c>
      <c r="E2282" s="1" t="str">
        <f>"1800000280"</f>
        <v>1800000280</v>
      </c>
      <c r="F2282" s="1" t="str">
        <f>"تبديل مغزي 1/4*1/2"</f>
        <v>تبديل مغزي 1/4*1/2</v>
      </c>
      <c r="G2282" s="1" t="str">
        <f>"عدد"</f>
        <v>عدد</v>
      </c>
      <c r="H2282" s="1">
        <v>14</v>
      </c>
      <c r="I2282" s="1">
        <v>4200000</v>
      </c>
      <c r="J2282" s="1">
        <v>0</v>
      </c>
      <c r="K2282" s="1">
        <v>0</v>
      </c>
      <c r="L2282" s="1">
        <v>6</v>
      </c>
      <c r="M2282" s="1">
        <v>1800000</v>
      </c>
      <c r="O2282" s="1">
        <v>97</v>
      </c>
      <c r="P2282" s="4">
        <f t="shared" si="105"/>
        <v>2400000</v>
      </c>
      <c r="Q2282" s="4">
        <f t="shared" si="106"/>
        <v>8</v>
      </c>
      <c r="R2282" s="4">
        <f t="shared" si="107"/>
        <v>300000</v>
      </c>
    </row>
    <row r="2283" spans="1:18">
      <c r="A2283" s="1">
        <v>2</v>
      </c>
      <c r="B2283" s="1" t="str">
        <f>"قطعات و لوازم يدكي"</f>
        <v>قطعات و لوازم يدكي</v>
      </c>
      <c r="C2283" s="1">
        <v>205</v>
      </c>
      <c r="D2283" s="1" t="str">
        <f>"انبار قطعات و لوازم يدكي بندرعباس"</f>
        <v>انبار قطعات و لوازم يدكي بندرعباس</v>
      </c>
      <c r="E2283" s="1" t="str">
        <f>"1800000289"</f>
        <v>1800000289</v>
      </c>
      <c r="F2283" s="1" t="str">
        <f>"ترمينال پلاستيکي برق 4"</f>
        <v>ترمينال پلاستيکي برق 4</v>
      </c>
      <c r="G2283" s="1" t="str">
        <f>"شاخه"</f>
        <v>شاخه</v>
      </c>
      <c r="H2283" s="1">
        <v>7</v>
      </c>
      <c r="I2283" s="1">
        <v>105000</v>
      </c>
      <c r="J2283" s="1">
        <v>0</v>
      </c>
      <c r="K2283" s="1">
        <v>0</v>
      </c>
      <c r="L2283" s="1">
        <v>1</v>
      </c>
      <c r="M2283" s="1">
        <v>15000</v>
      </c>
      <c r="O2283" s="1">
        <v>97</v>
      </c>
      <c r="P2283" s="4">
        <f t="shared" si="105"/>
        <v>90000</v>
      </c>
      <c r="Q2283" s="4">
        <f t="shared" si="106"/>
        <v>6</v>
      </c>
      <c r="R2283" s="4">
        <f t="shared" si="107"/>
        <v>15000</v>
      </c>
    </row>
    <row r="2284" spans="1:18">
      <c r="A2284" s="1">
        <v>2</v>
      </c>
      <c r="B2284" s="1" t="str">
        <f>"قطعات و لوازم يدكي"</f>
        <v>قطعات و لوازم يدكي</v>
      </c>
      <c r="C2284" s="1">
        <v>205</v>
      </c>
      <c r="D2284" s="1" t="str">
        <f>"انبار قطعات و لوازم يدكي بندرعباس"</f>
        <v>انبار قطعات و لوازم يدكي بندرعباس</v>
      </c>
      <c r="E2284" s="1" t="str">
        <f>"1800000292"</f>
        <v>1800000292</v>
      </c>
      <c r="F2284" s="1" t="str">
        <f>"ترمينال پلاستيکي برق 10"</f>
        <v>ترمينال پلاستيکي برق 10</v>
      </c>
      <c r="G2284" s="1" t="str">
        <f>"شاخه"</f>
        <v>شاخه</v>
      </c>
      <c r="H2284" s="1">
        <v>5</v>
      </c>
      <c r="I2284" s="1">
        <v>110000</v>
      </c>
      <c r="J2284" s="1">
        <v>0</v>
      </c>
      <c r="K2284" s="1">
        <v>0</v>
      </c>
      <c r="L2284" s="1">
        <v>1</v>
      </c>
      <c r="M2284" s="1">
        <v>22000</v>
      </c>
      <c r="O2284" s="1">
        <v>97</v>
      </c>
      <c r="P2284" s="4">
        <f t="shared" si="105"/>
        <v>88000</v>
      </c>
      <c r="Q2284" s="4">
        <f t="shared" si="106"/>
        <v>4</v>
      </c>
      <c r="R2284" s="4">
        <f t="shared" si="107"/>
        <v>22000</v>
      </c>
    </row>
    <row r="2285" spans="1:18">
      <c r="A2285" s="1">
        <v>2</v>
      </c>
      <c r="B2285" s="1" t="str">
        <f>"قطعات و لوازم يدكي"</f>
        <v>قطعات و لوازم يدكي</v>
      </c>
      <c r="C2285" s="1">
        <v>205</v>
      </c>
      <c r="D2285" s="1" t="str">
        <f>"انبار قطعات و لوازم يدكي بندرعباس"</f>
        <v>انبار قطعات و لوازم يدكي بندرعباس</v>
      </c>
      <c r="E2285" s="1" t="str">
        <f>"1800000298"</f>
        <v>1800000298</v>
      </c>
      <c r="F2285" s="1" t="str">
        <f>"ترمينال کائوچويي ريلي 4"</f>
        <v>ترمينال کائوچويي ريلي 4</v>
      </c>
      <c r="G2285" s="1" t="str">
        <f>"عدد"</f>
        <v>عدد</v>
      </c>
      <c r="H2285" s="1">
        <v>18</v>
      </c>
      <c r="I2285" s="1">
        <v>108000</v>
      </c>
      <c r="J2285" s="1">
        <v>0</v>
      </c>
      <c r="K2285" s="1">
        <v>0</v>
      </c>
      <c r="L2285" s="1">
        <v>5</v>
      </c>
      <c r="M2285" s="1">
        <v>30000</v>
      </c>
      <c r="O2285" s="1">
        <v>97</v>
      </c>
      <c r="P2285" s="4">
        <f t="shared" si="105"/>
        <v>78000</v>
      </c>
      <c r="Q2285" s="4">
        <f t="shared" si="106"/>
        <v>13</v>
      </c>
      <c r="R2285" s="4">
        <f t="shared" si="107"/>
        <v>6000</v>
      </c>
    </row>
    <row r="2286" spans="1:18">
      <c r="A2286" s="1">
        <v>2</v>
      </c>
      <c r="B2286" s="1" t="str">
        <f>"قطعات و لوازم يدكي"</f>
        <v>قطعات و لوازم يدكي</v>
      </c>
      <c r="C2286" s="1">
        <v>205</v>
      </c>
      <c r="D2286" s="1" t="str">
        <f>"انبار قطعات و لوازم يدكي بندرعباس"</f>
        <v>انبار قطعات و لوازم يدكي بندرعباس</v>
      </c>
      <c r="E2286" s="1" t="str">
        <f>"1800000303"</f>
        <v>1800000303</v>
      </c>
      <c r="F2286" s="1" t="str">
        <f>"تمپرچر گيج ويکا 10"</f>
        <v>تمپرچر گيج ويکا 10</v>
      </c>
      <c r="G2286" s="1" t="str">
        <f>"عدد"</f>
        <v>عدد</v>
      </c>
      <c r="H2286" s="1">
        <v>1</v>
      </c>
      <c r="I2286" s="1">
        <v>22340000</v>
      </c>
      <c r="J2286" s="1">
        <v>0</v>
      </c>
      <c r="K2286" s="1">
        <v>0</v>
      </c>
      <c r="L2286" s="1">
        <v>0</v>
      </c>
      <c r="M2286" s="1">
        <v>0</v>
      </c>
      <c r="O2286" s="1">
        <v>97</v>
      </c>
      <c r="P2286" s="4">
        <f t="shared" si="105"/>
        <v>22340000</v>
      </c>
      <c r="Q2286" s="4">
        <f t="shared" si="106"/>
        <v>1</v>
      </c>
      <c r="R2286" s="4">
        <f t="shared" si="107"/>
        <v>22340000</v>
      </c>
    </row>
    <row r="2287" spans="1:18">
      <c r="A2287" s="1">
        <v>2</v>
      </c>
      <c r="B2287" s="1" t="str">
        <f>"قطعات و لوازم يدكي"</f>
        <v>قطعات و لوازم يدكي</v>
      </c>
      <c r="C2287" s="1">
        <v>205</v>
      </c>
      <c r="D2287" s="1" t="str">
        <f>"انبار قطعات و لوازم يدكي بندرعباس"</f>
        <v>انبار قطعات و لوازم يدكي بندرعباس</v>
      </c>
      <c r="E2287" s="1" t="str">
        <f>"1800000305"</f>
        <v>1800000305</v>
      </c>
      <c r="F2287" s="1" t="str">
        <f>"تيغ موکت بري"</f>
        <v>تيغ موکت بري</v>
      </c>
      <c r="G2287" s="1" t="str">
        <f>"بسته"</f>
        <v>بسته</v>
      </c>
      <c r="H2287" s="1">
        <v>5</v>
      </c>
      <c r="I2287" s="1">
        <v>100000</v>
      </c>
      <c r="J2287" s="1">
        <v>5</v>
      </c>
      <c r="K2287" s="1">
        <v>200000</v>
      </c>
      <c r="L2287" s="1">
        <v>5</v>
      </c>
      <c r="M2287" s="1">
        <v>150000</v>
      </c>
      <c r="O2287" s="1">
        <v>97</v>
      </c>
      <c r="P2287" s="4">
        <f t="shared" si="105"/>
        <v>150000</v>
      </c>
      <c r="Q2287" s="4">
        <f t="shared" si="106"/>
        <v>5</v>
      </c>
      <c r="R2287" s="4">
        <f t="shared" si="107"/>
        <v>30000</v>
      </c>
    </row>
    <row r="2288" spans="1:18">
      <c r="A2288" s="1">
        <v>2</v>
      </c>
      <c r="B2288" s="1" t="str">
        <f>"قطعات و لوازم يدكي"</f>
        <v>قطعات و لوازم يدكي</v>
      </c>
      <c r="C2288" s="1">
        <v>205</v>
      </c>
      <c r="D2288" s="1" t="str">
        <f>"انبار قطعات و لوازم يدكي بندرعباس"</f>
        <v>انبار قطعات و لوازم يدكي بندرعباس</v>
      </c>
      <c r="E2288" s="1" t="str">
        <f>"1800000311"</f>
        <v>1800000311</v>
      </c>
      <c r="F2288" s="1" t="str">
        <f>"چراغ خطر"</f>
        <v>چراغ خطر</v>
      </c>
      <c r="G2288" s="1" t="str">
        <f>"عدد"</f>
        <v>عدد</v>
      </c>
      <c r="H2288" s="1">
        <v>1</v>
      </c>
      <c r="I2288" s="1">
        <v>550000</v>
      </c>
      <c r="J2288" s="1">
        <v>0</v>
      </c>
      <c r="K2288" s="1">
        <v>0</v>
      </c>
      <c r="L2288" s="1">
        <v>0</v>
      </c>
      <c r="M2288" s="1">
        <v>0</v>
      </c>
      <c r="O2288" s="1">
        <v>97</v>
      </c>
      <c r="P2288" s="4">
        <f t="shared" si="105"/>
        <v>550000</v>
      </c>
      <c r="Q2288" s="4">
        <f t="shared" si="106"/>
        <v>1</v>
      </c>
      <c r="R2288" s="4">
        <f t="shared" si="107"/>
        <v>550000</v>
      </c>
    </row>
    <row r="2289" spans="1:18">
      <c r="A2289" s="1">
        <v>2</v>
      </c>
      <c r="B2289" s="1" t="str">
        <f>"قطعات و لوازم يدكي"</f>
        <v>قطعات و لوازم يدكي</v>
      </c>
      <c r="C2289" s="1">
        <v>205</v>
      </c>
      <c r="D2289" s="1" t="str">
        <f>"انبار قطعات و لوازم يدكي بندرعباس"</f>
        <v>انبار قطعات و لوازم يدكي بندرعباس</v>
      </c>
      <c r="E2289" s="1" t="str">
        <f>"1800000318"</f>
        <v>1800000318</v>
      </c>
      <c r="F2289" s="1" t="str">
        <f>"چسب دوقلو"</f>
        <v>چسب دوقلو</v>
      </c>
      <c r="G2289" s="1" t="str">
        <f>"عدد"</f>
        <v>عدد</v>
      </c>
      <c r="H2289" s="1">
        <v>1</v>
      </c>
      <c r="I2289" s="1">
        <v>30000</v>
      </c>
      <c r="J2289" s="1">
        <v>0</v>
      </c>
      <c r="K2289" s="1">
        <v>0</v>
      </c>
      <c r="L2289" s="1">
        <v>0</v>
      </c>
      <c r="M2289" s="1">
        <v>0</v>
      </c>
      <c r="O2289" s="1">
        <v>97</v>
      </c>
      <c r="P2289" s="4">
        <f t="shared" si="105"/>
        <v>30000</v>
      </c>
      <c r="Q2289" s="4">
        <f t="shared" si="106"/>
        <v>1</v>
      </c>
      <c r="R2289" s="4">
        <f t="shared" si="107"/>
        <v>30000</v>
      </c>
    </row>
    <row r="2290" spans="1:18">
      <c r="A2290" s="1">
        <v>2</v>
      </c>
      <c r="B2290" s="1" t="str">
        <f>"قطعات و لوازم يدكي"</f>
        <v>قطعات و لوازم يدكي</v>
      </c>
      <c r="C2290" s="1">
        <v>205</v>
      </c>
      <c r="D2290" s="1" t="str">
        <f>"انبار قطعات و لوازم يدكي بندرعباس"</f>
        <v>انبار قطعات و لوازم يدكي بندرعباس</v>
      </c>
      <c r="E2290" s="1" t="str">
        <f>"1800000330"</f>
        <v>1800000330</v>
      </c>
      <c r="F2290" s="1" t="str">
        <f>"چک ولو 10"</f>
        <v>چک ولو 10</v>
      </c>
      <c r="G2290" s="1" t="str">
        <f>"عدد"</f>
        <v>عدد</v>
      </c>
      <c r="H2290" s="1">
        <v>2</v>
      </c>
      <c r="I2290" s="1">
        <v>74700000</v>
      </c>
      <c r="J2290" s="1">
        <v>0</v>
      </c>
      <c r="K2290" s="1">
        <v>0</v>
      </c>
      <c r="L2290" s="1">
        <v>0</v>
      </c>
      <c r="M2290" s="1">
        <v>0</v>
      </c>
      <c r="O2290" s="1">
        <v>97</v>
      </c>
      <c r="P2290" s="4">
        <f t="shared" si="105"/>
        <v>74700000</v>
      </c>
      <c r="Q2290" s="4">
        <f t="shared" si="106"/>
        <v>2</v>
      </c>
      <c r="R2290" s="4">
        <f t="shared" si="107"/>
        <v>37350000</v>
      </c>
    </row>
    <row r="2291" spans="1:18" hidden="1">
      <c r="A2291" s="1">
        <v>2</v>
      </c>
      <c r="B2291" s="1" t="str">
        <f>"قطعات و لوازم يدكي"</f>
        <v>قطعات و لوازم يدكي</v>
      </c>
      <c r="C2291" s="1">
        <v>205</v>
      </c>
      <c r="D2291" s="1" t="str">
        <f>"انبار قطعات و لوازم يدكي بندرعباس"</f>
        <v>انبار قطعات و لوازم يدكي بندرعباس</v>
      </c>
      <c r="E2291" s="1" t="str">
        <f>"1800000343"</f>
        <v>1800000343</v>
      </c>
      <c r="F2291" s="1" t="str">
        <f>"رابط پلي اتيلن 2"</f>
        <v>رابط پلي اتيلن 2</v>
      </c>
      <c r="G2291" s="1" t="str">
        <f>"عدد"</f>
        <v>عدد</v>
      </c>
      <c r="H2291" s="1">
        <v>2</v>
      </c>
      <c r="I2291" s="1">
        <v>2780000</v>
      </c>
      <c r="J2291" s="1">
        <v>0</v>
      </c>
      <c r="K2291" s="1">
        <v>0</v>
      </c>
      <c r="L2291" s="1">
        <v>2</v>
      </c>
      <c r="M2291" s="1">
        <v>2780000</v>
      </c>
      <c r="O2291" s="1">
        <v>97</v>
      </c>
      <c r="P2291" s="1">
        <f t="shared" si="105"/>
        <v>0</v>
      </c>
      <c r="Q2291" s="1">
        <f t="shared" si="106"/>
        <v>0</v>
      </c>
      <c r="R2291" s="1" t="e">
        <f t="shared" si="107"/>
        <v>#DIV/0!</v>
      </c>
    </row>
    <row r="2292" spans="1:18">
      <c r="A2292" s="1">
        <v>2</v>
      </c>
      <c r="B2292" s="1" t="str">
        <f>"قطعات و لوازم يدكي"</f>
        <v>قطعات و لوازم يدكي</v>
      </c>
      <c r="C2292" s="1">
        <v>205</v>
      </c>
      <c r="D2292" s="1" t="str">
        <f>"انبار قطعات و لوازم يدكي بندرعباس"</f>
        <v>انبار قطعات و لوازم يدكي بندرعباس</v>
      </c>
      <c r="E2292" s="1" t="str">
        <f>"1800000362"</f>
        <v>1800000362</v>
      </c>
      <c r="F2292" s="1" t="str">
        <f>"روغن بهران"</f>
        <v>روغن بهران</v>
      </c>
      <c r="G2292" s="1" t="str">
        <f>"ليتر"</f>
        <v>ليتر</v>
      </c>
      <c r="H2292" s="1">
        <v>135</v>
      </c>
      <c r="I2292" s="1">
        <v>101250000</v>
      </c>
      <c r="J2292" s="1">
        <v>0</v>
      </c>
      <c r="K2292" s="1">
        <v>0</v>
      </c>
      <c r="L2292" s="1">
        <v>42</v>
      </c>
      <c r="M2292" s="1">
        <v>31500000</v>
      </c>
      <c r="O2292" s="1">
        <v>97</v>
      </c>
      <c r="P2292" s="4">
        <f t="shared" si="105"/>
        <v>69750000</v>
      </c>
      <c r="Q2292" s="4">
        <f t="shared" si="106"/>
        <v>93</v>
      </c>
      <c r="R2292" s="4">
        <f t="shared" si="107"/>
        <v>750000</v>
      </c>
    </row>
    <row r="2293" spans="1:18">
      <c r="A2293" s="1">
        <v>2</v>
      </c>
      <c r="B2293" s="1" t="str">
        <f>"قطعات و لوازم يدكي"</f>
        <v>قطعات و لوازم يدكي</v>
      </c>
      <c r="C2293" s="1">
        <v>205</v>
      </c>
      <c r="D2293" s="1" t="str">
        <f>"انبار قطعات و لوازم يدكي بندرعباس"</f>
        <v>انبار قطعات و لوازم يدكي بندرعباس</v>
      </c>
      <c r="E2293" s="1" t="str">
        <f>"1800000366"</f>
        <v>1800000366</v>
      </c>
      <c r="F2293" s="1" t="str">
        <f>"روغن کمپرسور"</f>
        <v>روغن کمپرسور</v>
      </c>
      <c r="G2293" s="1" t="str">
        <f>"ليتر"</f>
        <v>ليتر</v>
      </c>
      <c r="H2293" s="1">
        <v>95</v>
      </c>
      <c r="I2293" s="1">
        <v>7220000</v>
      </c>
      <c r="J2293" s="1">
        <v>0</v>
      </c>
      <c r="K2293" s="1">
        <v>0</v>
      </c>
      <c r="L2293" s="1">
        <v>43</v>
      </c>
      <c r="M2293" s="1">
        <v>3268000</v>
      </c>
      <c r="O2293" s="1">
        <v>97</v>
      </c>
      <c r="P2293" s="4">
        <f t="shared" si="105"/>
        <v>3952000</v>
      </c>
      <c r="Q2293" s="4">
        <f t="shared" si="106"/>
        <v>52</v>
      </c>
      <c r="R2293" s="4">
        <f t="shared" si="107"/>
        <v>76000</v>
      </c>
    </row>
    <row r="2294" spans="1:18">
      <c r="A2294" s="1">
        <v>2</v>
      </c>
      <c r="B2294" s="1" t="str">
        <f>"قطعات و لوازم يدكي"</f>
        <v>قطعات و لوازم يدكي</v>
      </c>
      <c r="C2294" s="1">
        <v>205</v>
      </c>
      <c r="D2294" s="1" t="str">
        <f>"انبار قطعات و لوازم يدكي بندرعباس"</f>
        <v>انبار قطعات و لوازم يدكي بندرعباس</v>
      </c>
      <c r="E2294" s="1" t="str">
        <f>"1800000386"</f>
        <v>1800000386</v>
      </c>
      <c r="F2294" s="1" t="str">
        <f>"زانو سفيد آب 32"</f>
        <v>زانو سفيد آب 32</v>
      </c>
      <c r="G2294" s="1" t="str">
        <f>"عدد"</f>
        <v>عدد</v>
      </c>
      <c r="H2294" s="1">
        <v>1</v>
      </c>
      <c r="I2294" s="1">
        <v>30000</v>
      </c>
      <c r="J2294" s="1">
        <v>0</v>
      </c>
      <c r="K2294" s="1">
        <v>0</v>
      </c>
      <c r="L2294" s="1">
        <v>0</v>
      </c>
      <c r="M2294" s="1">
        <v>0</v>
      </c>
      <c r="O2294" s="1">
        <v>97</v>
      </c>
      <c r="P2294" s="4">
        <f t="shared" si="105"/>
        <v>30000</v>
      </c>
      <c r="Q2294" s="4">
        <f t="shared" si="106"/>
        <v>1</v>
      </c>
      <c r="R2294" s="4">
        <f t="shared" si="107"/>
        <v>30000</v>
      </c>
    </row>
    <row r="2295" spans="1:18">
      <c r="A2295" s="1">
        <v>2</v>
      </c>
      <c r="B2295" s="1" t="str">
        <f>"قطعات و لوازم يدكي"</f>
        <v>قطعات و لوازم يدكي</v>
      </c>
      <c r="C2295" s="1">
        <v>205</v>
      </c>
      <c r="D2295" s="1" t="str">
        <f>"انبار قطعات و لوازم يدكي بندرعباس"</f>
        <v>انبار قطعات و لوازم يدكي بندرعباس</v>
      </c>
      <c r="E2295" s="1" t="str">
        <f>"1800000391"</f>
        <v>1800000391</v>
      </c>
      <c r="F2295" s="1" t="str">
        <f>"زانويي pvc 63*90"</f>
        <v>زانويي pvc 63*90</v>
      </c>
      <c r="G2295" s="1" t="str">
        <f>"عدد"</f>
        <v>عدد</v>
      </c>
      <c r="H2295" s="1">
        <v>3</v>
      </c>
      <c r="I2295" s="1">
        <v>210000</v>
      </c>
      <c r="J2295" s="1">
        <v>0</v>
      </c>
      <c r="K2295" s="1">
        <v>0</v>
      </c>
      <c r="L2295" s="1">
        <v>0</v>
      </c>
      <c r="M2295" s="1">
        <v>0</v>
      </c>
      <c r="O2295" s="1">
        <v>97</v>
      </c>
      <c r="P2295" s="4">
        <f t="shared" si="105"/>
        <v>210000</v>
      </c>
      <c r="Q2295" s="4">
        <f t="shared" si="106"/>
        <v>3</v>
      </c>
      <c r="R2295" s="4">
        <f t="shared" si="107"/>
        <v>70000</v>
      </c>
    </row>
    <row r="2296" spans="1:18">
      <c r="A2296" s="1">
        <v>2</v>
      </c>
      <c r="B2296" s="1" t="str">
        <f>"قطعات و لوازم يدكي"</f>
        <v>قطعات و لوازم يدكي</v>
      </c>
      <c r="C2296" s="1">
        <v>205</v>
      </c>
      <c r="D2296" s="1" t="str">
        <f>"انبار قطعات و لوازم يدكي بندرعباس"</f>
        <v>انبار قطعات و لوازم يدكي بندرعباس</v>
      </c>
      <c r="E2296" s="1" t="str">
        <f>"1800000411"</f>
        <v>1800000411</v>
      </c>
      <c r="F2296" s="1" t="str">
        <f>"سه راه کاندويت"</f>
        <v>سه راه کاندويت</v>
      </c>
      <c r="G2296" s="1" t="str">
        <f>"عدد"</f>
        <v>عدد</v>
      </c>
      <c r="H2296" s="1">
        <v>20</v>
      </c>
      <c r="I2296" s="1">
        <v>1400000</v>
      </c>
      <c r="J2296" s="1">
        <v>0</v>
      </c>
      <c r="K2296" s="1">
        <v>0</v>
      </c>
      <c r="L2296" s="1">
        <v>1</v>
      </c>
      <c r="M2296" s="1">
        <v>70000</v>
      </c>
      <c r="O2296" s="1">
        <v>97</v>
      </c>
      <c r="P2296" s="4">
        <f t="shared" si="105"/>
        <v>1330000</v>
      </c>
      <c r="Q2296" s="4">
        <f t="shared" si="106"/>
        <v>19</v>
      </c>
      <c r="R2296" s="4">
        <f t="shared" si="107"/>
        <v>70000</v>
      </c>
    </row>
    <row r="2297" spans="1:18">
      <c r="A2297" s="1">
        <v>2</v>
      </c>
      <c r="B2297" s="1" t="str">
        <f>"قطعات و لوازم يدكي"</f>
        <v>قطعات و لوازم يدكي</v>
      </c>
      <c r="C2297" s="1">
        <v>205</v>
      </c>
      <c r="D2297" s="1" t="str">
        <f>"انبار قطعات و لوازم يدكي بندرعباس"</f>
        <v>انبار قطعات و لوازم يدكي بندرعباس</v>
      </c>
      <c r="E2297" s="1" t="str">
        <f>"1800000412"</f>
        <v>1800000412</v>
      </c>
      <c r="F2297" s="1" t="str">
        <f>"سوکت ارتدار تکفاز 32"</f>
        <v>سوکت ارتدار تکفاز 32</v>
      </c>
      <c r="G2297" s="1" t="str">
        <f>"عدد"</f>
        <v>عدد</v>
      </c>
      <c r="H2297" s="1">
        <v>5</v>
      </c>
      <c r="I2297" s="1">
        <v>500000</v>
      </c>
      <c r="J2297" s="1">
        <v>0</v>
      </c>
      <c r="K2297" s="1">
        <v>0</v>
      </c>
      <c r="L2297" s="1">
        <v>1</v>
      </c>
      <c r="M2297" s="1">
        <v>100000</v>
      </c>
      <c r="O2297" s="1">
        <v>97</v>
      </c>
      <c r="P2297" s="4">
        <f t="shared" si="105"/>
        <v>400000</v>
      </c>
      <c r="Q2297" s="4">
        <f t="shared" si="106"/>
        <v>4</v>
      </c>
      <c r="R2297" s="4">
        <f t="shared" si="107"/>
        <v>100000</v>
      </c>
    </row>
    <row r="2298" spans="1:18" hidden="1">
      <c r="A2298" s="1">
        <v>2</v>
      </c>
      <c r="B2298" s="1" t="str">
        <f>"قطعات و لوازم يدكي"</f>
        <v>قطعات و لوازم يدكي</v>
      </c>
      <c r="C2298" s="1">
        <v>205</v>
      </c>
      <c r="D2298" s="1" t="str">
        <f>"انبار قطعات و لوازم يدكي بندرعباس"</f>
        <v>انبار قطعات و لوازم يدكي بندرعباس</v>
      </c>
      <c r="E2298" s="1" t="str">
        <f>"1800000433"</f>
        <v>1800000433</v>
      </c>
      <c r="F2298" s="1" t="str">
        <f>"شورت نيپل دوسر رزوه."</f>
        <v>شورت نيپل دوسر رزوه.</v>
      </c>
      <c r="G2298" s="1" t="str">
        <f>"عدد"</f>
        <v>عدد</v>
      </c>
      <c r="H2298" s="1">
        <v>10</v>
      </c>
      <c r="I2298" s="1">
        <v>2000000</v>
      </c>
      <c r="J2298" s="1">
        <v>0</v>
      </c>
      <c r="K2298" s="1">
        <v>0</v>
      </c>
      <c r="L2298" s="1">
        <v>10</v>
      </c>
      <c r="M2298" s="1">
        <v>2000000</v>
      </c>
      <c r="O2298" s="1">
        <v>97</v>
      </c>
      <c r="P2298" s="1">
        <f t="shared" si="105"/>
        <v>0</v>
      </c>
      <c r="Q2298" s="1">
        <f t="shared" si="106"/>
        <v>0</v>
      </c>
      <c r="R2298" s="1" t="e">
        <f t="shared" si="107"/>
        <v>#DIV/0!</v>
      </c>
    </row>
    <row r="2299" spans="1:18" hidden="1">
      <c r="A2299" s="1">
        <v>2</v>
      </c>
      <c r="B2299" s="1" t="str">
        <f>"قطعات و لوازم يدكي"</f>
        <v>قطعات و لوازم يدكي</v>
      </c>
      <c r="C2299" s="1">
        <v>205</v>
      </c>
      <c r="D2299" s="1" t="str">
        <f>"انبار قطعات و لوازم يدكي بندرعباس"</f>
        <v>انبار قطعات و لوازم يدكي بندرعباس</v>
      </c>
      <c r="E2299" s="1" t="str">
        <f>"1800000434"</f>
        <v>1800000434</v>
      </c>
      <c r="F2299" s="1" t="str">
        <f>"شورت نيپل دوسررزوه"</f>
        <v>شورت نيپل دوسررزوه</v>
      </c>
      <c r="G2299" s="1" t="str">
        <f>"عدد"</f>
        <v>عدد</v>
      </c>
      <c r="H2299" s="1">
        <v>2</v>
      </c>
      <c r="I2299" s="1">
        <v>340000</v>
      </c>
      <c r="J2299" s="1">
        <v>0</v>
      </c>
      <c r="K2299" s="1">
        <v>0</v>
      </c>
      <c r="L2299" s="1">
        <v>2</v>
      </c>
      <c r="M2299" s="1">
        <v>340000</v>
      </c>
      <c r="O2299" s="1">
        <v>97</v>
      </c>
      <c r="P2299" s="1">
        <f t="shared" si="105"/>
        <v>0</v>
      </c>
      <c r="Q2299" s="1">
        <f t="shared" si="106"/>
        <v>0</v>
      </c>
      <c r="R2299" s="1" t="e">
        <f t="shared" si="107"/>
        <v>#DIV/0!</v>
      </c>
    </row>
    <row r="2300" spans="1:18">
      <c r="A2300" s="1">
        <v>2</v>
      </c>
      <c r="B2300" s="1" t="str">
        <f>"قطعات و لوازم يدكي"</f>
        <v>قطعات و لوازم يدكي</v>
      </c>
      <c r="C2300" s="1">
        <v>205</v>
      </c>
      <c r="D2300" s="1" t="str">
        <f>"انبار قطعات و لوازم يدكي بندرعباس"</f>
        <v>انبار قطعات و لوازم يدكي بندرعباس</v>
      </c>
      <c r="E2300" s="1" t="str">
        <f>"1800000448"</f>
        <v>1800000448</v>
      </c>
      <c r="F2300" s="1" t="str">
        <f>"شيلنگ فشار قوي دو سر پرس 60"</f>
        <v>شيلنگ فشار قوي دو سر پرس 60</v>
      </c>
      <c r="G2300" s="1" t="str">
        <f>"عدد"</f>
        <v>عدد</v>
      </c>
      <c r="H2300" s="1">
        <v>5</v>
      </c>
      <c r="I2300" s="1">
        <v>3500000</v>
      </c>
      <c r="J2300" s="1">
        <v>0</v>
      </c>
      <c r="K2300" s="1">
        <v>0</v>
      </c>
      <c r="L2300" s="1">
        <v>0</v>
      </c>
      <c r="M2300" s="1">
        <v>0</v>
      </c>
      <c r="O2300" s="1">
        <v>97</v>
      </c>
      <c r="P2300" s="4">
        <f t="shared" si="105"/>
        <v>3500000</v>
      </c>
      <c r="Q2300" s="4">
        <f t="shared" si="106"/>
        <v>5</v>
      </c>
      <c r="R2300" s="4">
        <f t="shared" si="107"/>
        <v>700000</v>
      </c>
    </row>
    <row r="2301" spans="1:18">
      <c r="A2301" s="1">
        <v>2</v>
      </c>
      <c r="B2301" s="1" t="str">
        <f>"قطعات و لوازم يدكي"</f>
        <v>قطعات و لوازم يدكي</v>
      </c>
      <c r="C2301" s="1">
        <v>205</v>
      </c>
      <c r="D2301" s="1" t="str">
        <f>"انبار قطعات و لوازم يدكي بندرعباس"</f>
        <v>انبار قطعات و لوازم يدكي بندرعباس</v>
      </c>
      <c r="E2301" s="1" t="str">
        <f>"1800000458"</f>
        <v>1800000458</v>
      </c>
      <c r="F2301" s="1" t="str">
        <f>"ضد يخ - ضد جوش کاسپين"</f>
        <v>ضد يخ - ضد جوش کاسپين</v>
      </c>
      <c r="G2301" s="1" t="str">
        <f>"ليتر"</f>
        <v>ليتر</v>
      </c>
      <c r="H2301" s="1">
        <v>4</v>
      </c>
      <c r="I2301" s="1">
        <v>424000</v>
      </c>
      <c r="J2301" s="1">
        <v>0</v>
      </c>
      <c r="K2301" s="1">
        <v>0</v>
      </c>
      <c r="L2301" s="1">
        <v>0</v>
      </c>
      <c r="M2301" s="1">
        <v>0</v>
      </c>
      <c r="O2301" s="1">
        <v>97</v>
      </c>
      <c r="P2301" s="4">
        <f t="shared" si="105"/>
        <v>424000</v>
      </c>
      <c r="Q2301" s="4">
        <f t="shared" si="106"/>
        <v>4</v>
      </c>
      <c r="R2301" s="4">
        <f t="shared" si="107"/>
        <v>106000</v>
      </c>
    </row>
    <row r="2302" spans="1:18">
      <c r="A2302" s="1">
        <v>2</v>
      </c>
      <c r="B2302" s="1" t="str">
        <f>"قطعات و لوازم يدكي"</f>
        <v>قطعات و لوازم يدكي</v>
      </c>
      <c r="C2302" s="1">
        <v>205</v>
      </c>
      <c r="D2302" s="1" t="str">
        <f>"انبار قطعات و لوازم يدكي بندرعباس"</f>
        <v>انبار قطعات و لوازم يدكي بندرعباس</v>
      </c>
      <c r="E2302" s="1" t="str">
        <f>"1800000463"</f>
        <v>1800000463</v>
      </c>
      <c r="F2302" s="1" t="str">
        <f>"فتوسل شيوا 16"</f>
        <v>فتوسل شيوا 16</v>
      </c>
      <c r="G2302" s="1" t="str">
        <f>"عدد"</f>
        <v>عدد</v>
      </c>
      <c r="H2302" s="1">
        <v>3</v>
      </c>
      <c r="I2302" s="1">
        <v>9000000</v>
      </c>
      <c r="J2302" s="1">
        <v>0</v>
      </c>
      <c r="K2302" s="1">
        <v>0</v>
      </c>
      <c r="L2302" s="1">
        <v>1</v>
      </c>
      <c r="M2302" s="1">
        <v>3000000</v>
      </c>
      <c r="O2302" s="1">
        <v>97</v>
      </c>
      <c r="P2302" s="4">
        <f t="shared" si="105"/>
        <v>6000000</v>
      </c>
      <c r="Q2302" s="4">
        <f t="shared" si="106"/>
        <v>2</v>
      </c>
      <c r="R2302" s="4">
        <f t="shared" si="107"/>
        <v>3000000</v>
      </c>
    </row>
    <row r="2303" spans="1:18">
      <c r="A2303" s="1">
        <v>2</v>
      </c>
      <c r="B2303" s="1" t="str">
        <f>"قطعات و لوازم يدكي"</f>
        <v>قطعات و لوازم يدكي</v>
      </c>
      <c r="C2303" s="1">
        <v>120</v>
      </c>
      <c r="D2303" s="1" t="str">
        <f>"انبار قطعات و لوازم يدكي بشکه سازي اصفهان"</f>
        <v>انبار قطعات و لوازم يدكي بشکه سازي اصفهان</v>
      </c>
      <c r="E2303" s="1" t="str">
        <f>"4311700067"</f>
        <v>4311700067</v>
      </c>
      <c r="F2303" s="1" t="str">
        <f>"اورينگ 3*25 ميليمتر"</f>
        <v>اورينگ 3*25 ميليمتر</v>
      </c>
      <c r="G2303" s="1" t="str">
        <f>"عدد"</f>
        <v>عدد</v>
      </c>
      <c r="H2303" s="1">
        <v>0</v>
      </c>
      <c r="I2303" s="1">
        <v>0</v>
      </c>
      <c r="J2303" s="1">
        <v>12</v>
      </c>
      <c r="K2303" s="1">
        <v>60000</v>
      </c>
      <c r="L2303" s="1">
        <v>1</v>
      </c>
      <c r="M2303" s="1">
        <v>5000</v>
      </c>
      <c r="O2303" s="1">
        <v>97</v>
      </c>
      <c r="P2303" s="4">
        <f t="shared" si="105"/>
        <v>55000</v>
      </c>
      <c r="Q2303" s="4">
        <f t="shared" si="106"/>
        <v>11</v>
      </c>
      <c r="R2303" s="4">
        <f t="shared" si="107"/>
        <v>5000</v>
      </c>
    </row>
    <row r="2304" spans="1:18">
      <c r="A2304" s="1">
        <v>2</v>
      </c>
      <c r="B2304" s="1" t="str">
        <f>"قطعات و لوازم يدكي"</f>
        <v>قطعات و لوازم يدكي</v>
      </c>
      <c r="C2304" s="1">
        <v>120</v>
      </c>
      <c r="D2304" s="1" t="str">
        <f>"انبار قطعات و لوازم يدكي بشکه سازي اصفهان"</f>
        <v>انبار قطعات و لوازم يدكي بشکه سازي اصفهان</v>
      </c>
      <c r="E2304" s="1" t="str">
        <f>"4311700072"</f>
        <v>4311700072</v>
      </c>
      <c r="F2304" s="1" t="str">
        <f>"اورينگ 60*3/5 م م"</f>
        <v>اورينگ 60*3/5 م م</v>
      </c>
      <c r="G2304" s="1" t="str">
        <f>"عدد"</f>
        <v>عدد</v>
      </c>
      <c r="H2304" s="1">
        <v>0</v>
      </c>
      <c r="I2304" s="1">
        <v>0</v>
      </c>
      <c r="J2304" s="1">
        <v>9</v>
      </c>
      <c r="K2304" s="1">
        <v>45000</v>
      </c>
      <c r="L2304" s="1">
        <v>1</v>
      </c>
      <c r="M2304" s="1">
        <v>5000</v>
      </c>
      <c r="O2304" s="1">
        <v>97</v>
      </c>
      <c r="P2304" s="4">
        <f t="shared" si="105"/>
        <v>40000</v>
      </c>
      <c r="Q2304" s="4">
        <f t="shared" si="106"/>
        <v>8</v>
      </c>
      <c r="R2304" s="4">
        <f t="shared" si="107"/>
        <v>5000</v>
      </c>
    </row>
    <row r="2305" spans="1:18">
      <c r="A2305" s="1">
        <v>2</v>
      </c>
      <c r="B2305" s="1" t="str">
        <f>"قطعات و لوازم يدكي"</f>
        <v>قطعات و لوازم يدكي</v>
      </c>
      <c r="C2305" s="1">
        <v>120</v>
      </c>
      <c r="D2305" s="1" t="str">
        <f>"انبار قطعات و لوازم يدكي بشکه سازي اصفهان"</f>
        <v>انبار قطعات و لوازم يدكي بشکه سازي اصفهان</v>
      </c>
      <c r="E2305" s="1" t="str">
        <f>"4311700087"</f>
        <v>4311700087</v>
      </c>
      <c r="F2305" s="1" t="str">
        <f>"اورينگ 2/5*160"</f>
        <v>اورينگ 2/5*160</v>
      </c>
      <c r="G2305" s="1" t="str">
        <f>"عدد"</f>
        <v>عدد</v>
      </c>
      <c r="H2305" s="1">
        <v>0</v>
      </c>
      <c r="I2305" s="1">
        <v>0</v>
      </c>
      <c r="J2305" s="1">
        <v>6</v>
      </c>
      <c r="K2305" s="1">
        <v>180000</v>
      </c>
      <c r="L2305" s="1">
        <v>0</v>
      </c>
      <c r="M2305" s="1">
        <v>0</v>
      </c>
      <c r="O2305" s="1">
        <v>97</v>
      </c>
      <c r="P2305" s="4">
        <f t="shared" si="105"/>
        <v>180000</v>
      </c>
      <c r="Q2305" s="4">
        <f t="shared" si="106"/>
        <v>6</v>
      </c>
      <c r="R2305" s="4">
        <f t="shared" si="107"/>
        <v>30000</v>
      </c>
    </row>
    <row r="2306" spans="1:18">
      <c r="A2306" s="1">
        <v>2</v>
      </c>
      <c r="B2306" s="1" t="str">
        <f>"قطعات و لوازم يدكي"</f>
        <v>قطعات و لوازم يدكي</v>
      </c>
      <c r="C2306" s="1">
        <v>120</v>
      </c>
      <c r="D2306" s="1" t="str">
        <f>"انبار قطعات و لوازم يدكي بشکه سازي اصفهان"</f>
        <v>انبار قطعات و لوازم يدكي بشکه سازي اصفهان</v>
      </c>
      <c r="E2306" s="1" t="str">
        <f>"4311700089"</f>
        <v>4311700089</v>
      </c>
      <c r="F2306" s="1" t="str">
        <f>"اورينگ 130*2/5"</f>
        <v>اورينگ 130*2/5</v>
      </c>
      <c r="G2306" s="1" t="str">
        <f>"عدد"</f>
        <v>عدد</v>
      </c>
      <c r="H2306" s="1">
        <v>0</v>
      </c>
      <c r="I2306" s="1">
        <v>0</v>
      </c>
      <c r="J2306" s="1">
        <v>10</v>
      </c>
      <c r="K2306" s="1">
        <v>160000</v>
      </c>
      <c r="L2306" s="1">
        <v>1</v>
      </c>
      <c r="M2306" s="1">
        <v>10000</v>
      </c>
      <c r="O2306" s="1">
        <v>97</v>
      </c>
      <c r="P2306" s="4">
        <f t="shared" si="105"/>
        <v>150000</v>
      </c>
      <c r="Q2306" s="4">
        <f t="shared" si="106"/>
        <v>9</v>
      </c>
      <c r="R2306" s="4">
        <f t="shared" si="107"/>
        <v>16666.666666666668</v>
      </c>
    </row>
    <row r="2307" spans="1:18">
      <c r="A2307" s="1">
        <v>2</v>
      </c>
      <c r="B2307" s="1" t="str">
        <f>"قطعات و لوازم يدكي"</f>
        <v>قطعات و لوازم يدكي</v>
      </c>
      <c r="C2307" s="1">
        <v>120</v>
      </c>
      <c r="D2307" s="1" t="str">
        <f>"انبار قطعات و لوازم يدكي بشکه سازي اصفهان"</f>
        <v>انبار قطعات و لوازم يدكي بشکه سازي اصفهان</v>
      </c>
      <c r="E2307" s="1" t="str">
        <f>"4311700090"</f>
        <v>4311700090</v>
      </c>
      <c r="F2307" s="1" t="str">
        <f>"اورينگ 130*3/5"</f>
        <v>اورينگ 130*3/5</v>
      </c>
      <c r="G2307" s="1" t="str">
        <f>"عدد"</f>
        <v>عدد</v>
      </c>
      <c r="H2307" s="1">
        <v>0</v>
      </c>
      <c r="I2307" s="1">
        <v>0</v>
      </c>
      <c r="J2307" s="1">
        <v>5</v>
      </c>
      <c r="K2307" s="1">
        <v>50000</v>
      </c>
      <c r="L2307" s="1">
        <v>1</v>
      </c>
      <c r="M2307" s="1">
        <v>10000</v>
      </c>
      <c r="O2307" s="1">
        <v>97</v>
      </c>
      <c r="P2307" s="4">
        <f t="shared" ref="P2307:P2370" si="108">I2307+K2307-M2307</f>
        <v>40000</v>
      </c>
      <c r="Q2307" s="4">
        <f t="shared" ref="Q2307:Q2370" si="109">H2307+J2307-L2307</f>
        <v>4</v>
      </c>
      <c r="R2307" s="4">
        <f t="shared" ref="R2307:R2370" si="110">P2307/Q2307</f>
        <v>10000</v>
      </c>
    </row>
    <row r="2308" spans="1:18">
      <c r="A2308" s="1">
        <v>2</v>
      </c>
      <c r="B2308" s="1" t="str">
        <f>"قطعات و لوازم يدكي"</f>
        <v>قطعات و لوازم يدكي</v>
      </c>
      <c r="C2308" s="1">
        <v>120</v>
      </c>
      <c r="D2308" s="1" t="str">
        <f>"انبار قطعات و لوازم يدكي بشکه سازي اصفهان"</f>
        <v>انبار قطعات و لوازم يدكي بشکه سازي اصفهان</v>
      </c>
      <c r="E2308" s="1" t="str">
        <f>"4311700115"</f>
        <v>4311700115</v>
      </c>
      <c r="F2308" s="1" t="str">
        <f>"پيچ چرخ عغب ليفتراک"</f>
        <v>پيچ چرخ عغب ليفتراک</v>
      </c>
      <c r="G2308" s="1" t="str">
        <f>"عدد"</f>
        <v>عدد</v>
      </c>
      <c r="H2308" s="1">
        <v>0</v>
      </c>
      <c r="I2308" s="1">
        <v>0</v>
      </c>
      <c r="J2308" s="1">
        <v>18</v>
      </c>
      <c r="K2308" s="1">
        <v>900000</v>
      </c>
      <c r="L2308" s="1">
        <v>0</v>
      </c>
      <c r="M2308" s="1">
        <v>0</v>
      </c>
      <c r="O2308" s="1">
        <v>97</v>
      </c>
      <c r="P2308" s="4">
        <f t="shared" si="108"/>
        <v>900000</v>
      </c>
      <c r="Q2308" s="4">
        <f t="shared" si="109"/>
        <v>18</v>
      </c>
      <c r="R2308" s="4">
        <f t="shared" si="110"/>
        <v>50000</v>
      </c>
    </row>
    <row r="2309" spans="1:18">
      <c r="A2309" s="1">
        <v>2</v>
      </c>
      <c r="B2309" s="1" t="str">
        <f>"قطعات و لوازم يدكي"</f>
        <v>قطعات و لوازم يدكي</v>
      </c>
      <c r="C2309" s="1">
        <v>120</v>
      </c>
      <c r="D2309" s="1" t="str">
        <f>"انبار قطعات و لوازم يدكي بشکه سازي اصفهان"</f>
        <v>انبار قطعات و لوازم يدكي بشکه سازي اصفهان</v>
      </c>
      <c r="E2309" s="1" t="str">
        <f>"4311700117"</f>
        <v>4311700117</v>
      </c>
      <c r="F2309" s="1" t="str">
        <f>"پيچ 5*M 24"</f>
        <v>پيچ 5*M 24</v>
      </c>
      <c r="G2309" s="1" t="str">
        <f>"عدد"</f>
        <v>عدد</v>
      </c>
      <c r="H2309" s="1">
        <v>0</v>
      </c>
      <c r="I2309" s="1">
        <v>0</v>
      </c>
      <c r="J2309" s="1">
        <v>19</v>
      </c>
      <c r="K2309" s="1">
        <v>47500</v>
      </c>
      <c r="L2309" s="1">
        <v>0</v>
      </c>
      <c r="M2309" s="1">
        <v>0</v>
      </c>
      <c r="O2309" s="1">
        <v>97</v>
      </c>
      <c r="P2309" s="4">
        <f t="shared" si="108"/>
        <v>47500</v>
      </c>
      <c r="Q2309" s="4">
        <f t="shared" si="109"/>
        <v>19</v>
      </c>
      <c r="R2309" s="4">
        <f t="shared" si="110"/>
        <v>2500</v>
      </c>
    </row>
    <row r="2310" spans="1:18" hidden="1">
      <c r="A2310" s="1">
        <v>2</v>
      </c>
      <c r="B2310" s="1" t="str">
        <f>"قطعات و لوازم يدكي"</f>
        <v>قطعات و لوازم يدكي</v>
      </c>
      <c r="C2310" s="1">
        <v>120</v>
      </c>
      <c r="D2310" s="1" t="str">
        <f>"انبار قطعات و لوازم يدكي بشکه سازي اصفهان"</f>
        <v>انبار قطعات و لوازم يدكي بشکه سازي اصفهان</v>
      </c>
      <c r="E2310" s="1" t="str">
        <f>"4311700118"</f>
        <v>4311700118</v>
      </c>
      <c r="F2310" s="1" t="str">
        <f>"پيچ 1/5 * M 8"</f>
        <v>پيچ 1/5 * M 8</v>
      </c>
      <c r="G2310" s="1" t="str">
        <f>"عدد"</f>
        <v>عدد</v>
      </c>
      <c r="H2310" s="1">
        <v>0</v>
      </c>
      <c r="I2310" s="1">
        <v>0</v>
      </c>
      <c r="J2310" s="1">
        <v>91</v>
      </c>
      <c r="K2310" s="1">
        <v>227500</v>
      </c>
      <c r="L2310" s="1">
        <v>91</v>
      </c>
      <c r="M2310" s="1">
        <v>227500</v>
      </c>
      <c r="O2310" s="1">
        <v>97</v>
      </c>
      <c r="P2310" s="1">
        <f t="shared" si="108"/>
        <v>0</v>
      </c>
      <c r="Q2310" s="1">
        <f t="shared" si="109"/>
        <v>0</v>
      </c>
      <c r="R2310" s="1" t="e">
        <f t="shared" si="110"/>
        <v>#DIV/0!</v>
      </c>
    </row>
    <row r="2311" spans="1:18">
      <c r="A2311" s="1">
        <v>2</v>
      </c>
      <c r="B2311" s="1" t="str">
        <f>"قطعات و لوازم يدكي"</f>
        <v>قطعات و لوازم يدكي</v>
      </c>
      <c r="C2311" s="1">
        <v>120</v>
      </c>
      <c r="D2311" s="1" t="str">
        <f>"انبار قطعات و لوازم يدكي بشکه سازي اصفهان"</f>
        <v>انبار قطعات و لوازم يدكي بشکه سازي اصفهان</v>
      </c>
      <c r="E2311" s="1" t="str">
        <f>"4311700136"</f>
        <v>4311700136</v>
      </c>
      <c r="F2311" s="1" t="str">
        <f>"پيچ آلن 10 * M 18"</f>
        <v>پيچ آلن 10 * M 18</v>
      </c>
      <c r="G2311" s="1" t="str">
        <f>"عدد"</f>
        <v>عدد</v>
      </c>
      <c r="H2311" s="1">
        <v>0</v>
      </c>
      <c r="I2311" s="1">
        <v>0</v>
      </c>
      <c r="J2311" s="1">
        <v>15</v>
      </c>
      <c r="K2311" s="1">
        <v>37500</v>
      </c>
      <c r="L2311" s="1">
        <v>0</v>
      </c>
      <c r="M2311" s="1">
        <v>0</v>
      </c>
      <c r="O2311" s="1">
        <v>97</v>
      </c>
      <c r="P2311" s="4">
        <f t="shared" si="108"/>
        <v>37500</v>
      </c>
      <c r="Q2311" s="4">
        <f t="shared" si="109"/>
        <v>15</v>
      </c>
      <c r="R2311" s="4">
        <f t="shared" si="110"/>
        <v>2500</v>
      </c>
    </row>
    <row r="2312" spans="1:18">
      <c r="A2312" s="1">
        <v>2</v>
      </c>
      <c r="B2312" s="1" t="str">
        <f>"قطعات و لوازم يدكي"</f>
        <v>قطعات و لوازم يدكي</v>
      </c>
      <c r="C2312" s="1">
        <v>120</v>
      </c>
      <c r="D2312" s="1" t="str">
        <f>"انبار قطعات و لوازم يدكي بشکه سازي اصفهان"</f>
        <v>انبار قطعات و لوازم يدكي بشکه سازي اصفهان</v>
      </c>
      <c r="E2312" s="1" t="str">
        <f>"4311700147"</f>
        <v>4311700147</v>
      </c>
      <c r="F2312" s="1" t="str">
        <f>"پيچ 7*M8"</f>
        <v>پيچ 7*M8</v>
      </c>
      <c r="G2312" s="1" t="str">
        <f>"عدد"</f>
        <v>عدد</v>
      </c>
      <c r="H2312" s="1">
        <v>0</v>
      </c>
      <c r="I2312" s="1">
        <v>0</v>
      </c>
      <c r="J2312" s="1">
        <v>2</v>
      </c>
      <c r="K2312" s="1">
        <v>5000</v>
      </c>
      <c r="L2312" s="1">
        <v>0</v>
      </c>
      <c r="M2312" s="1">
        <v>0</v>
      </c>
      <c r="O2312" s="1">
        <v>97</v>
      </c>
      <c r="P2312" s="4">
        <f t="shared" si="108"/>
        <v>5000</v>
      </c>
      <c r="Q2312" s="4">
        <f t="shared" si="109"/>
        <v>2</v>
      </c>
      <c r="R2312" s="4">
        <f t="shared" si="110"/>
        <v>2500</v>
      </c>
    </row>
    <row r="2313" spans="1:18">
      <c r="A2313" s="1">
        <v>2</v>
      </c>
      <c r="B2313" s="1" t="str">
        <f>"قطعات و لوازم يدكي"</f>
        <v>قطعات و لوازم يدكي</v>
      </c>
      <c r="C2313" s="1">
        <v>120</v>
      </c>
      <c r="D2313" s="1" t="str">
        <f>"انبار قطعات و لوازم يدكي بشکه سازي اصفهان"</f>
        <v>انبار قطعات و لوازم يدكي بشکه سازي اصفهان</v>
      </c>
      <c r="E2313" s="1" t="str">
        <f>"4311700160"</f>
        <v>4311700160</v>
      </c>
      <c r="F2313" s="1" t="str">
        <f>"پيچ آلن 4*M12"</f>
        <v>پيچ آلن 4*M12</v>
      </c>
      <c r="G2313" s="1" t="str">
        <f>"عدد"</f>
        <v>عدد</v>
      </c>
      <c r="H2313" s="1">
        <v>0</v>
      </c>
      <c r="I2313" s="1">
        <v>0</v>
      </c>
      <c r="J2313" s="1">
        <v>32</v>
      </c>
      <c r="K2313" s="1">
        <v>80000</v>
      </c>
      <c r="L2313" s="1">
        <v>0</v>
      </c>
      <c r="M2313" s="1">
        <v>0</v>
      </c>
      <c r="O2313" s="1">
        <v>97</v>
      </c>
      <c r="P2313" s="4">
        <f t="shared" si="108"/>
        <v>80000</v>
      </c>
      <c r="Q2313" s="4">
        <f t="shared" si="109"/>
        <v>32</v>
      </c>
      <c r="R2313" s="4">
        <f t="shared" si="110"/>
        <v>2500</v>
      </c>
    </row>
    <row r="2314" spans="1:18">
      <c r="A2314" s="1">
        <v>2</v>
      </c>
      <c r="B2314" s="1" t="str">
        <f>"قطعات و لوازم يدكي"</f>
        <v>قطعات و لوازم يدكي</v>
      </c>
      <c r="C2314" s="1">
        <v>120</v>
      </c>
      <c r="D2314" s="1" t="str">
        <f>"انبار قطعات و لوازم يدكي بشکه سازي اصفهان"</f>
        <v>انبار قطعات و لوازم يدكي بشکه سازي اصفهان</v>
      </c>
      <c r="E2314" s="1" t="str">
        <f>"4311700161"</f>
        <v>4311700161</v>
      </c>
      <c r="F2314" s="1" t="str">
        <f>"پيچ آلن 7*M14"</f>
        <v>پيچ آلن 7*M14</v>
      </c>
      <c r="G2314" s="1" t="str">
        <f>"عدد"</f>
        <v>عدد</v>
      </c>
      <c r="H2314" s="1">
        <v>0</v>
      </c>
      <c r="I2314" s="1">
        <v>0</v>
      </c>
      <c r="J2314" s="1">
        <v>8</v>
      </c>
      <c r="K2314" s="1">
        <v>20000</v>
      </c>
      <c r="L2314" s="1">
        <v>0</v>
      </c>
      <c r="M2314" s="1">
        <v>0</v>
      </c>
      <c r="O2314" s="1">
        <v>97</v>
      </c>
      <c r="P2314" s="4">
        <f t="shared" si="108"/>
        <v>20000</v>
      </c>
      <c r="Q2314" s="4">
        <f t="shared" si="109"/>
        <v>8</v>
      </c>
      <c r="R2314" s="4">
        <f t="shared" si="110"/>
        <v>2500</v>
      </c>
    </row>
    <row r="2315" spans="1:18">
      <c r="A2315" s="1">
        <v>2</v>
      </c>
      <c r="B2315" s="1" t="str">
        <f>"قطعات و لوازم يدكي"</f>
        <v>قطعات و لوازم يدكي</v>
      </c>
      <c r="C2315" s="1">
        <v>120</v>
      </c>
      <c r="D2315" s="1" t="str">
        <f>"انبار قطعات و لوازم يدكي بشکه سازي اصفهان"</f>
        <v>انبار قطعات و لوازم يدكي بشکه سازي اصفهان</v>
      </c>
      <c r="E2315" s="1" t="str">
        <f>"4311700164"</f>
        <v>4311700164</v>
      </c>
      <c r="F2315" s="1" t="str">
        <f>"پيچ آلن 8*M10"</f>
        <v>پيچ آلن 8*M10</v>
      </c>
      <c r="G2315" s="1" t="str">
        <f>"عدد"</f>
        <v>عدد</v>
      </c>
      <c r="H2315" s="1">
        <v>0</v>
      </c>
      <c r="I2315" s="1">
        <v>0</v>
      </c>
      <c r="J2315" s="1">
        <v>12</v>
      </c>
      <c r="K2315" s="1">
        <v>30000</v>
      </c>
      <c r="L2315" s="1">
        <v>0</v>
      </c>
      <c r="M2315" s="1">
        <v>0</v>
      </c>
      <c r="O2315" s="1">
        <v>97</v>
      </c>
      <c r="P2315" s="4">
        <f t="shared" si="108"/>
        <v>30000</v>
      </c>
      <c r="Q2315" s="4">
        <f t="shared" si="109"/>
        <v>12</v>
      </c>
      <c r="R2315" s="4">
        <f t="shared" si="110"/>
        <v>2500</v>
      </c>
    </row>
    <row r="2316" spans="1:18">
      <c r="A2316" s="1">
        <v>2</v>
      </c>
      <c r="B2316" s="1" t="str">
        <f>"قطعات و لوازم يدكي"</f>
        <v>قطعات و لوازم يدكي</v>
      </c>
      <c r="C2316" s="1">
        <v>120</v>
      </c>
      <c r="D2316" s="1" t="str">
        <f>"انبار قطعات و لوازم يدكي بشکه سازي اصفهان"</f>
        <v>انبار قطعات و لوازم يدكي بشکه سازي اصفهان</v>
      </c>
      <c r="E2316" s="1" t="str">
        <f>"4311700169"</f>
        <v>4311700169</v>
      </c>
      <c r="F2316" s="1" t="str">
        <f>"پيچ آلن 5*M18"</f>
        <v>پيچ آلن 5*M18</v>
      </c>
      <c r="G2316" s="1" t="str">
        <f>"عدد"</f>
        <v>عدد</v>
      </c>
      <c r="H2316" s="1">
        <v>0</v>
      </c>
      <c r="I2316" s="1">
        <v>0</v>
      </c>
      <c r="J2316" s="1">
        <v>10</v>
      </c>
      <c r="K2316" s="1">
        <v>25000</v>
      </c>
      <c r="L2316" s="1">
        <v>0</v>
      </c>
      <c r="M2316" s="1">
        <v>0</v>
      </c>
      <c r="O2316" s="1">
        <v>97</v>
      </c>
      <c r="P2316" s="4">
        <f t="shared" si="108"/>
        <v>25000</v>
      </c>
      <c r="Q2316" s="4">
        <f t="shared" si="109"/>
        <v>10</v>
      </c>
      <c r="R2316" s="4">
        <f t="shared" si="110"/>
        <v>2500</v>
      </c>
    </row>
    <row r="2317" spans="1:18">
      <c r="A2317" s="1">
        <v>2</v>
      </c>
      <c r="B2317" s="1" t="str">
        <f>"قطعات و لوازم يدكي"</f>
        <v>قطعات و لوازم يدكي</v>
      </c>
      <c r="C2317" s="1">
        <v>120</v>
      </c>
      <c r="D2317" s="1" t="str">
        <f>"انبار قطعات و لوازم يدكي بشکه سازي اصفهان"</f>
        <v>انبار قطعات و لوازم يدكي بشکه سازي اصفهان</v>
      </c>
      <c r="E2317" s="1" t="str">
        <f>"4311700202"</f>
        <v>4311700202</v>
      </c>
      <c r="F2317" s="1" t="str">
        <f>"بوشن 1/2"</f>
        <v>بوشن 1/2</v>
      </c>
      <c r="G2317" s="1" t="str">
        <f>"عدد"</f>
        <v>عدد</v>
      </c>
      <c r="H2317" s="1">
        <v>0</v>
      </c>
      <c r="I2317" s="1">
        <v>0</v>
      </c>
      <c r="J2317" s="1">
        <v>28</v>
      </c>
      <c r="K2317" s="1">
        <v>280000</v>
      </c>
      <c r="L2317" s="1">
        <v>0</v>
      </c>
      <c r="M2317" s="1">
        <v>0</v>
      </c>
      <c r="O2317" s="1">
        <v>97</v>
      </c>
      <c r="P2317" s="4">
        <f t="shared" si="108"/>
        <v>280000</v>
      </c>
      <c r="Q2317" s="4">
        <f t="shared" si="109"/>
        <v>28</v>
      </c>
      <c r="R2317" s="4">
        <f t="shared" si="110"/>
        <v>10000</v>
      </c>
    </row>
    <row r="2318" spans="1:18">
      <c r="A2318" s="1">
        <v>2</v>
      </c>
      <c r="B2318" s="1" t="str">
        <f>"قطعات و لوازم يدكي"</f>
        <v>قطعات و لوازم يدكي</v>
      </c>
      <c r="C2318" s="1">
        <v>120</v>
      </c>
      <c r="D2318" s="1" t="str">
        <f>"انبار قطعات و لوازم يدكي بشکه سازي اصفهان"</f>
        <v>انبار قطعات و لوازم يدكي بشکه سازي اصفهان</v>
      </c>
      <c r="E2318" s="1" t="str">
        <f>"4311700205"</f>
        <v>4311700205</v>
      </c>
      <c r="F2318" s="1" t="str">
        <f>"شيشه ماسک جوشکاري"</f>
        <v>شيشه ماسک جوشکاري</v>
      </c>
      <c r="G2318" s="1" t="str">
        <f>"عدد"</f>
        <v>عدد</v>
      </c>
      <c r="H2318" s="1">
        <v>0</v>
      </c>
      <c r="I2318" s="1">
        <v>0</v>
      </c>
      <c r="J2318" s="1">
        <v>21</v>
      </c>
      <c r="K2318" s="1">
        <v>21000</v>
      </c>
      <c r="L2318" s="1">
        <v>0</v>
      </c>
      <c r="M2318" s="1">
        <v>0</v>
      </c>
      <c r="O2318" s="1">
        <v>97</v>
      </c>
      <c r="P2318" s="4">
        <f t="shared" si="108"/>
        <v>21000</v>
      </c>
      <c r="Q2318" s="4">
        <f t="shared" si="109"/>
        <v>21</v>
      </c>
      <c r="R2318" s="4">
        <f t="shared" si="110"/>
        <v>1000</v>
      </c>
    </row>
    <row r="2319" spans="1:18">
      <c r="A2319" s="1">
        <v>2</v>
      </c>
      <c r="B2319" s="1" t="str">
        <f>"قطعات و لوازم يدكي"</f>
        <v>قطعات و لوازم يدكي</v>
      </c>
      <c r="C2319" s="1">
        <v>120</v>
      </c>
      <c r="D2319" s="1" t="str">
        <f>"انبار قطعات و لوازم يدكي بشکه سازي اصفهان"</f>
        <v>انبار قطعات و لوازم يدكي بشکه سازي اصفهان</v>
      </c>
      <c r="E2319" s="1" t="str">
        <f>"4311700210"</f>
        <v>4311700210</v>
      </c>
      <c r="F2319" s="1" t="str">
        <f>"فشار شکن سايز 8*1/2"</f>
        <v>فشار شکن سايز 8*1/2</v>
      </c>
      <c r="G2319" s="1" t="str">
        <f>"عدد"</f>
        <v>عدد</v>
      </c>
      <c r="H2319" s="1">
        <v>0</v>
      </c>
      <c r="I2319" s="1">
        <v>0</v>
      </c>
      <c r="J2319" s="1">
        <v>15</v>
      </c>
      <c r="K2319" s="1">
        <v>2700000</v>
      </c>
      <c r="L2319" s="1">
        <v>0</v>
      </c>
      <c r="M2319" s="1">
        <v>0</v>
      </c>
      <c r="O2319" s="1">
        <v>97</v>
      </c>
      <c r="P2319" s="4">
        <f t="shared" si="108"/>
        <v>2700000</v>
      </c>
      <c r="Q2319" s="4">
        <f t="shared" si="109"/>
        <v>15</v>
      </c>
      <c r="R2319" s="4">
        <f t="shared" si="110"/>
        <v>180000</v>
      </c>
    </row>
    <row r="2320" spans="1:18">
      <c r="A2320" s="1">
        <v>2</v>
      </c>
      <c r="B2320" s="1" t="str">
        <f>"قطعات و لوازم يدكي"</f>
        <v>قطعات و لوازم يدكي</v>
      </c>
      <c r="C2320" s="1">
        <v>120</v>
      </c>
      <c r="D2320" s="1" t="str">
        <f>"انبار قطعات و لوازم يدكي بشکه سازي اصفهان"</f>
        <v>انبار قطعات و لوازم يدكي بشکه سازي اصفهان</v>
      </c>
      <c r="E2320" s="1" t="str">
        <f>"4311700219"</f>
        <v>4311700219</v>
      </c>
      <c r="F2320" s="1" t="str">
        <f>"خار سايز 10"</f>
        <v>خار سايز 10</v>
      </c>
      <c r="G2320" s="1" t="str">
        <f>"عدد"</f>
        <v>عدد</v>
      </c>
      <c r="H2320" s="1">
        <v>0</v>
      </c>
      <c r="I2320" s="1">
        <v>0</v>
      </c>
      <c r="J2320" s="1">
        <v>28</v>
      </c>
      <c r="K2320" s="1">
        <v>140000</v>
      </c>
      <c r="L2320" s="1">
        <v>0</v>
      </c>
      <c r="M2320" s="1">
        <v>0</v>
      </c>
      <c r="O2320" s="1">
        <v>97</v>
      </c>
      <c r="P2320" s="4">
        <f t="shared" si="108"/>
        <v>140000</v>
      </c>
      <c r="Q2320" s="4">
        <f t="shared" si="109"/>
        <v>28</v>
      </c>
      <c r="R2320" s="4">
        <f t="shared" si="110"/>
        <v>5000</v>
      </c>
    </row>
    <row r="2321" spans="1:18">
      <c r="A2321" s="1">
        <v>2</v>
      </c>
      <c r="B2321" s="1" t="str">
        <f>"قطعات و لوازم يدكي"</f>
        <v>قطعات و لوازم يدكي</v>
      </c>
      <c r="C2321" s="1">
        <v>120</v>
      </c>
      <c r="D2321" s="1" t="str">
        <f>"انبار قطعات و لوازم يدكي بشکه سازي اصفهان"</f>
        <v>انبار قطعات و لوازم يدكي بشکه سازي اصفهان</v>
      </c>
      <c r="E2321" s="1" t="str">
        <f>"4311700223"</f>
        <v>4311700223</v>
      </c>
      <c r="F2321" s="1" t="str">
        <f>"خار سايز 85"</f>
        <v>خار سايز 85</v>
      </c>
      <c r="G2321" s="1" t="str">
        <f>"عدد"</f>
        <v>عدد</v>
      </c>
      <c r="H2321" s="1">
        <v>0</v>
      </c>
      <c r="I2321" s="1">
        <v>0</v>
      </c>
      <c r="J2321" s="1">
        <v>7</v>
      </c>
      <c r="K2321" s="1">
        <v>35000</v>
      </c>
      <c r="L2321" s="1">
        <v>1</v>
      </c>
      <c r="M2321" s="1">
        <v>5000</v>
      </c>
      <c r="O2321" s="1">
        <v>97</v>
      </c>
      <c r="P2321" s="4">
        <f t="shared" si="108"/>
        <v>30000</v>
      </c>
      <c r="Q2321" s="4">
        <f t="shared" si="109"/>
        <v>6</v>
      </c>
      <c r="R2321" s="4">
        <f t="shared" si="110"/>
        <v>5000</v>
      </c>
    </row>
    <row r="2322" spans="1:18">
      <c r="A2322" s="1">
        <v>2</v>
      </c>
      <c r="B2322" s="1" t="str">
        <f>"قطعات و لوازم يدكي"</f>
        <v>قطعات و لوازم يدكي</v>
      </c>
      <c r="C2322" s="1">
        <v>120</v>
      </c>
      <c r="D2322" s="1" t="str">
        <f>"انبار قطعات و لوازم يدكي بشکه سازي اصفهان"</f>
        <v>انبار قطعات و لوازم يدكي بشکه سازي اصفهان</v>
      </c>
      <c r="E2322" s="1" t="str">
        <f>"4311700225"</f>
        <v>4311700225</v>
      </c>
      <c r="F2322" s="1" t="str">
        <f>"کاسه نمد 9/7-70-548"</f>
        <v>کاسه نمد 9/7-70-548</v>
      </c>
      <c r="G2322" s="1" t="str">
        <f>"عدد"</f>
        <v>عدد</v>
      </c>
      <c r="H2322" s="1">
        <v>0</v>
      </c>
      <c r="I2322" s="1">
        <v>0</v>
      </c>
      <c r="J2322" s="1">
        <v>6</v>
      </c>
      <c r="K2322" s="1">
        <v>210000</v>
      </c>
      <c r="L2322" s="1">
        <v>0</v>
      </c>
      <c r="M2322" s="1">
        <v>0</v>
      </c>
      <c r="O2322" s="1">
        <v>97</v>
      </c>
      <c r="P2322" s="4">
        <f t="shared" si="108"/>
        <v>210000</v>
      </c>
      <c r="Q2322" s="4">
        <f t="shared" si="109"/>
        <v>6</v>
      </c>
      <c r="R2322" s="4">
        <f t="shared" si="110"/>
        <v>35000</v>
      </c>
    </row>
    <row r="2323" spans="1:18">
      <c r="A2323" s="1">
        <v>2</v>
      </c>
      <c r="B2323" s="1" t="str">
        <f>"قطعات و لوازم يدكي"</f>
        <v>قطعات و لوازم يدكي</v>
      </c>
      <c r="C2323" s="1">
        <v>120</v>
      </c>
      <c r="D2323" s="1" t="str">
        <f>"انبار قطعات و لوازم يدكي بشکه سازي اصفهان"</f>
        <v>انبار قطعات و لوازم يدكي بشکه سازي اصفهان</v>
      </c>
      <c r="E2323" s="1" t="str">
        <f>"4311700232"</f>
        <v>4311700232</v>
      </c>
      <c r="F2323" s="1" t="str">
        <f>"بوشن فلزي 2 اينچ"</f>
        <v>بوشن فلزي 2 اينچ</v>
      </c>
      <c r="G2323" s="1" t="str">
        <f>"عدد"</f>
        <v>عدد</v>
      </c>
      <c r="H2323" s="1">
        <v>0</v>
      </c>
      <c r="I2323" s="1">
        <v>0</v>
      </c>
      <c r="J2323" s="1">
        <v>10</v>
      </c>
      <c r="K2323" s="1">
        <v>300000</v>
      </c>
      <c r="L2323" s="1">
        <v>0</v>
      </c>
      <c r="M2323" s="1">
        <v>0</v>
      </c>
      <c r="O2323" s="1">
        <v>97</v>
      </c>
      <c r="P2323" s="4">
        <f t="shared" si="108"/>
        <v>300000</v>
      </c>
      <c r="Q2323" s="4">
        <f t="shared" si="109"/>
        <v>10</v>
      </c>
      <c r="R2323" s="4">
        <f t="shared" si="110"/>
        <v>30000</v>
      </c>
    </row>
    <row r="2324" spans="1:18">
      <c r="A2324" s="1">
        <v>2</v>
      </c>
      <c r="B2324" s="1" t="str">
        <f>"قطعات و لوازم يدكي"</f>
        <v>قطعات و لوازم يدكي</v>
      </c>
      <c r="C2324" s="1">
        <v>120</v>
      </c>
      <c r="D2324" s="1" t="str">
        <f>"انبار قطعات و لوازم يدكي بشکه سازي اصفهان"</f>
        <v>انبار قطعات و لوازم يدكي بشکه سازي اصفهان</v>
      </c>
      <c r="E2324" s="1" t="str">
        <f>"4311700241"</f>
        <v>4311700241</v>
      </c>
      <c r="F2324" s="1" t="str">
        <f>"توري سيمي (واحد سنجش متر مي باشد )"</f>
        <v>توري سيمي (واحد سنجش متر مي باشد )</v>
      </c>
      <c r="G2324" s="1" t="str">
        <f>"عدد"</f>
        <v>عدد</v>
      </c>
      <c r="H2324" s="1">
        <v>0</v>
      </c>
      <c r="I2324" s="1">
        <v>0</v>
      </c>
      <c r="J2324" s="1">
        <v>4</v>
      </c>
      <c r="K2324" s="1">
        <v>200000</v>
      </c>
      <c r="L2324" s="1">
        <v>1</v>
      </c>
      <c r="M2324" s="1">
        <v>50000</v>
      </c>
      <c r="O2324" s="1">
        <v>97</v>
      </c>
      <c r="P2324" s="4">
        <f t="shared" si="108"/>
        <v>150000</v>
      </c>
      <c r="Q2324" s="4">
        <f t="shared" si="109"/>
        <v>3</v>
      </c>
      <c r="R2324" s="4">
        <f t="shared" si="110"/>
        <v>50000</v>
      </c>
    </row>
    <row r="2325" spans="1:18" hidden="1">
      <c r="A2325" s="1">
        <v>2</v>
      </c>
      <c r="B2325" s="1" t="str">
        <f>"قطعات و لوازم يدكي"</f>
        <v>قطعات و لوازم يدكي</v>
      </c>
      <c r="C2325" s="1">
        <v>120</v>
      </c>
      <c r="D2325" s="1" t="str">
        <f>"انبار قطعات و لوازم يدكي بشکه سازي اصفهان"</f>
        <v>انبار قطعات و لوازم يدكي بشکه سازي اصفهان</v>
      </c>
      <c r="E2325" s="1" t="str">
        <f>"4311700259"</f>
        <v>4311700259</v>
      </c>
      <c r="F2325" s="1" t="str">
        <f>"روغن 30"</f>
        <v>روغن 30</v>
      </c>
      <c r="G2325" s="1" t="str">
        <f>"ليتر"</f>
        <v>ليتر</v>
      </c>
      <c r="H2325" s="1">
        <v>0</v>
      </c>
      <c r="I2325" s="1">
        <v>0</v>
      </c>
      <c r="J2325" s="1">
        <v>30</v>
      </c>
      <c r="K2325" s="1">
        <v>1500000</v>
      </c>
      <c r="L2325" s="1">
        <v>30</v>
      </c>
      <c r="M2325" s="1">
        <v>1500000</v>
      </c>
      <c r="O2325" s="1">
        <v>97</v>
      </c>
      <c r="P2325" s="1">
        <f t="shared" si="108"/>
        <v>0</v>
      </c>
      <c r="Q2325" s="1">
        <f t="shared" si="109"/>
        <v>0</v>
      </c>
      <c r="R2325" s="1" t="e">
        <f t="shared" si="110"/>
        <v>#DIV/0!</v>
      </c>
    </row>
    <row r="2326" spans="1:18">
      <c r="A2326" s="1">
        <v>2</v>
      </c>
      <c r="B2326" s="1" t="str">
        <f>"قطعات و لوازم يدكي"</f>
        <v>قطعات و لوازم يدكي</v>
      </c>
      <c r="C2326" s="1">
        <v>120</v>
      </c>
      <c r="D2326" s="1" t="str">
        <f>"انبار قطعات و لوازم يدكي بشکه سازي اصفهان"</f>
        <v>انبار قطعات و لوازم يدكي بشکه سازي اصفهان</v>
      </c>
      <c r="E2326" s="1" t="str">
        <f>"4311700266"</f>
        <v>4311700266</v>
      </c>
      <c r="F2326" s="1" t="str">
        <f>"روغن 85-90"</f>
        <v>روغن 85-90</v>
      </c>
      <c r="G2326" s="1" t="str">
        <f>"ليتر"</f>
        <v>ليتر</v>
      </c>
      <c r="H2326" s="1">
        <v>0</v>
      </c>
      <c r="I2326" s="1">
        <v>0</v>
      </c>
      <c r="J2326" s="1">
        <v>31</v>
      </c>
      <c r="K2326" s="1">
        <v>3332500</v>
      </c>
      <c r="L2326" s="1">
        <v>7</v>
      </c>
      <c r="M2326" s="1">
        <v>752500</v>
      </c>
      <c r="O2326" s="1">
        <v>97</v>
      </c>
      <c r="P2326" s="4">
        <f t="shared" si="108"/>
        <v>2580000</v>
      </c>
      <c r="Q2326" s="4">
        <f t="shared" si="109"/>
        <v>24</v>
      </c>
      <c r="R2326" s="4">
        <f t="shared" si="110"/>
        <v>107500</v>
      </c>
    </row>
    <row r="2327" spans="1:18">
      <c r="A2327" s="1">
        <v>2</v>
      </c>
      <c r="B2327" s="1" t="str">
        <f>"قطعات و لوازم يدكي"</f>
        <v>قطعات و لوازم يدكي</v>
      </c>
      <c r="C2327" s="1">
        <v>120</v>
      </c>
      <c r="D2327" s="1" t="str">
        <f>"انبار قطعات و لوازم يدكي بشکه سازي اصفهان"</f>
        <v>انبار قطعات و لوازم يدكي بشکه سازي اصفهان</v>
      </c>
      <c r="E2327" s="1" t="str">
        <f>"4311700272"</f>
        <v>4311700272</v>
      </c>
      <c r="F2327" s="1" t="str">
        <f>"نبشي قفسه 2 متري"</f>
        <v>نبشي قفسه 2 متري</v>
      </c>
      <c r="G2327" s="1" t="str">
        <f>"عدد"</f>
        <v>عدد</v>
      </c>
      <c r="H2327" s="1">
        <v>0</v>
      </c>
      <c r="I2327" s="1">
        <v>0</v>
      </c>
      <c r="J2327" s="1">
        <v>32</v>
      </c>
      <c r="K2327" s="1">
        <v>1600000</v>
      </c>
      <c r="L2327" s="1">
        <v>28</v>
      </c>
      <c r="M2327" s="1">
        <v>1400000</v>
      </c>
      <c r="O2327" s="1">
        <v>97</v>
      </c>
      <c r="P2327" s="4">
        <f t="shared" si="108"/>
        <v>200000</v>
      </c>
      <c r="Q2327" s="4">
        <f t="shared" si="109"/>
        <v>4</v>
      </c>
      <c r="R2327" s="4">
        <f t="shared" si="110"/>
        <v>50000</v>
      </c>
    </row>
    <row r="2328" spans="1:18">
      <c r="A2328" s="1">
        <v>2</v>
      </c>
      <c r="B2328" s="1" t="str">
        <f>"قطعات و لوازم يدكي"</f>
        <v>قطعات و لوازم يدكي</v>
      </c>
      <c r="C2328" s="1">
        <v>120</v>
      </c>
      <c r="D2328" s="1" t="str">
        <f>"انبار قطعات و لوازم يدكي بشکه سازي اصفهان"</f>
        <v>انبار قطعات و لوازم يدكي بشکه سازي اصفهان</v>
      </c>
      <c r="E2328" s="1" t="str">
        <f>"4311700274"</f>
        <v>4311700274</v>
      </c>
      <c r="F2328" s="1" t="str">
        <f>"گسکت سايز 16"</f>
        <v>گسکت سايز 16</v>
      </c>
      <c r="G2328" s="1" t="str">
        <f>"عدد"</f>
        <v>عدد</v>
      </c>
      <c r="H2328" s="1">
        <v>0</v>
      </c>
      <c r="I2328" s="1">
        <v>0</v>
      </c>
      <c r="J2328" s="1">
        <v>18</v>
      </c>
      <c r="K2328" s="1">
        <v>1872000</v>
      </c>
      <c r="L2328" s="1">
        <v>0</v>
      </c>
      <c r="M2328" s="1">
        <v>0</v>
      </c>
      <c r="O2328" s="1">
        <v>97</v>
      </c>
      <c r="P2328" s="4">
        <f t="shared" si="108"/>
        <v>1872000</v>
      </c>
      <c r="Q2328" s="4">
        <f t="shared" si="109"/>
        <v>18</v>
      </c>
      <c r="R2328" s="4">
        <f t="shared" si="110"/>
        <v>104000</v>
      </c>
    </row>
    <row r="2329" spans="1:18">
      <c r="A2329" s="1">
        <v>2</v>
      </c>
      <c r="B2329" s="1" t="str">
        <f>"قطعات و لوازم يدكي"</f>
        <v>قطعات و لوازم يدكي</v>
      </c>
      <c r="C2329" s="1">
        <v>120</v>
      </c>
      <c r="D2329" s="1" t="str">
        <f>"انبار قطعات و لوازم يدكي بشکه سازي اصفهان"</f>
        <v>انبار قطعات و لوازم يدكي بشکه سازي اصفهان</v>
      </c>
      <c r="E2329" s="1" t="str">
        <f>"4311700279"</f>
        <v>4311700279</v>
      </c>
      <c r="F2329" s="1" t="str">
        <f>"گسکت سايز 28"</f>
        <v>گسکت سايز 28</v>
      </c>
      <c r="G2329" s="1" t="str">
        <f>"عدد"</f>
        <v>عدد</v>
      </c>
      <c r="H2329" s="1">
        <v>0</v>
      </c>
      <c r="I2329" s="1">
        <v>0</v>
      </c>
      <c r="J2329" s="1">
        <v>1</v>
      </c>
      <c r="K2329" s="1">
        <v>182000</v>
      </c>
      <c r="L2329" s="1">
        <v>0</v>
      </c>
      <c r="M2329" s="1">
        <v>0</v>
      </c>
      <c r="O2329" s="1">
        <v>97</v>
      </c>
      <c r="P2329" s="4">
        <f t="shared" si="108"/>
        <v>182000</v>
      </c>
      <c r="Q2329" s="4">
        <f t="shared" si="109"/>
        <v>1</v>
      </c>
      <c r="R2329" s="4">
        <f t="shared" si="110"/>
        <v>182000</v>
      </c>
    </row>
    <row r="2330" spans="1:18">
      <c r="A2330" s="1">
        <v>2</v>
      </c>
      <c r="B2330" s="1" t="str">
        <f>"قطعات و لوازم يدكي"</f>
        <v>قطعات و لوازم يدكي</v>
      </c>
      <c r="C2330" s="1">
        <v>120</v>
      </c>
      <c r="D2330" s="1" t="str">
        <f>"انبار قطعات و لوازم يدكي بشکه سازي اصفهان"</f>
        <v>انبار قطعات و لوازم يدكي بشکه سازي اصفهان</v>
      </c>
      <c r="E2330" s="1" t="str">
        <f>"4311700287"</f>
        <v>4311700287</v>
      </c>
      <c r="F2330" s="1" t="str">
        <f>"کاسه نمد 50*65*8"</f>
        <v>کاسه نمد 50*65*8</v>
      </c>
      <c r="G2330" s="1" t="str">
        <f>"عدد"</f>
        <v>عدد</v>
      </c>
      <c r="H2330" s="1">
        <v>0</v>
      </c>
      <c r="I2330" s="1">
        <v>0</v>
      </c>
      <c r="J2330" s="1">
        <v>7</v>
      </c>
      <c r="K2330" s="1">
        <v>1575000</v>
      </c>
      <c r="L2330" s="1">
        <v>0</v>
      </c>
      <c r="M2330" s="1">
        <v>0</v>
      </c>
      <c r="O2330" s="1">
        <v>97</v>
      </c>
      <c r="P2330" s="4">
        <f t="shared" si="108"/>
        <v>1575000</v>
      </c>
      <c r="Q2330" s="4">
        <f t="shared" si="109"/>
        <v>7</v>
      </c>
      <c r="R2330" s="4">
        <f t="shared" si="110"/>
        <v>225000</v>
      </c>
    </row>
    <row r="2331" spans="1:18">
      <c r="A2331" s="1">
        <v>2</v>
      </c>
      <c r="B2331" s="1" t="str">
        <f>"قطعات و لوازم يدكي"</f>
        <v>قطعات و لوازم يدكي</v>
      </c>
      <c r="C2331" s="1">
        <v>120</v>
      </c>
      <c r="D2331" s="1" t="str">
        <f>"انبار قطعات و لوازم يدكي بشکه سازي اصفهان"</f>
        <v>انبار قطعات و لوازم يدكي بشکه سازي اصفهان</v>
      </c>
      <c r="E2331" s="1" t="str">
        <f>"4311700298"</f>
        <v>4311700298</v>
      </c>
      <c r="F2331" s="1" t="str">
        <f>"مته کبالت 9"</f>
        <v>مته کبالت 9</v>
      </c>
      <c r="G2331" s="1" t="str">
        <f>"عدد"</f>
        <v>عدد</v>
      </c>
      <c r="H2331" s="1">
        <v>0</v>
      </c>
      <c r="I2331" s="1">
        <v>0</v>
      </c>
      <c r="J2331" s="1">
        <v>2</v>
      </c>
      <c r="K2331" s="1">
        <v>250000</v>
      </c>
      <c r="L2331" s="1">
        <v>0</v>
      </c>
      <c r="M2331" s="1">
        <v>0</v>
      </c>
      <c r="O2331" s="1">
        <v>97</v>
      </c>
      <c r="P2331" s="4">
        <f t="shared" si="108"/>
        <v>250000</v>
      </c>
      <c r="Q2331" s="4">
        <f t="shared" si="109"/>
        <v>2</v>
      </c>
      <c r="R2331" s="4">
        <f t="shared" si="110"/>
        <v>125000</v>
      </c>
    </row>
    <row r="2332" spans="1:18">
      <c r="A2332" s="1">
        <v>2</v>
      </c>
      <c r="B2332" s="1" t="str">
        <f>"قطعات و لوازم يدكي"</f>
        <v>قطعات و لوازم يدكي</v>
      </c>
      <c r="C2332" s="1">
        <v>120</v>
      </c>
      <c r="D2332" s="1" t="str">
        <f>"انبار قطعات و لوازم يدكي بشکه سازي اصفهان"</f>
        <v>انبار قطعات و لوازم يدكي بشکه سازي اصفهان</v>
      </c>
      <c r="E2332" s="1" t="str">
        <f>"4311700307"</f>
        <v>4311700307</v>
      </c>
      <c r="F2332" s="1" t="str">
        <f>"فيتينگي 8*1/4"</f>
        <v>فيتينگي 8*1/4</v>
      </c>
      <c r="G2332" s="1" t="str">
        <f>"عدد"</f>
        <v>عدد</v>
      </c>
      <c r="H2332" s="1">
        <v>0</v>
      </c>
      <c r="I2332" s="1">
        <v>0</v>
      </c>
      <c r="J2332" s="1">
        <v>6</v>
      </c>
      <c r="K2332" s="1">
        <v>180000</v>
      </c>
      <c r="L2332" s="1">
        <v>1</v>
      </c>
      <c r="M2332" s="1">
        <v>30000</v>
      </c>
      <c r="O2332" s="1">
        <v>97</v>
      </c>
      <c r="P2332" s="4">
        <f t="shared" si="108"/>
        <v>150000</v>
      </c>
      <c r="Q2332" s="4">
        <f t="shared" si="109"/>
        <v>5</v>
      </c>
      <c r="R2332" s="4">
        <f t="shared" si="110"/>
        <v>30000</v>
      </c>
    </row>
    <row r="2333" spans="1:18">
      <c r="A2333" s="1">
        <v>2</v>
      </c>
      <c r="B2333" s="1" t="str">
        <f>"قطعات و لوازم يدكي"</f>
        <v>قطعات و لوازم يدكي</v>
      </c>
      <c r="C2333" s="1">
        <v>120</v>
      </c>
      <c r="D2333" s="1" t="str">
        <f>"انبار قطعات و لوازم يدكي بشکه سازي اصفهان"</f>
        <v>انبار قطعات و لوازم يدكي بشکه سازي اصفهان</v>
      </c>
      <c r="E2333" s="1" t="str">
        <f>"4311700315"</f>
        <v>4311700315</v>
      </c>
      <c r="F2333" s="1" t="str">
        <f>"پيچ آلن 8"</f>
        <v>پيچ آلن 8</v>
      </c>
      <c r="G2333" s="1" t="str">
        <f>"عدد"</f>
        <v>عدد</v>
      </c>
      <c r="H2333" s="1">
        <v>0</v>
      </c>
      <c r="I2333" s="1">
        <v>0</v>
      </c>
      <c r="J2333" s="1">
        <v>16</v>
      </c>
      <c r="K2333" s="1">
        <v>80000</v>
      </c>
      <c r="L2333" s="1">
        <v>6</v>
      </c>
      <c r="M2333" s="1">
        <v>30000</v>
      </c>
      <c r="O2333" s="1">
        <v>97</v>
      </c>
      <c r="P2333" s="4">
        <f t="shared" si="108"/>
        <v>50000</v>
      </c>
      <c r="Q2333" s="4">
        <f t="shared" si="109"/>
        <v>10</v>
      </c>
      <c r="R2333" s="4">
        <f t="shared" si="110"/>
        <v>5000</v>
      </c>
    </row>
    <row r="2334" spans="1:18">
      <c r="A2334" s="1">
        <v>2</v>
      </c>
      <c r="B2334" s="1" t="str">
        <f>"قطعات و لوازم يدكي"</f>
        <v>قطعات و لوازم يدكي</v>
      </c>
      <c r="C2334" s="1">
        <v>120</v>
      </c>
      <c r="D2334" s="1" t="str">
        <f>"انبار قطعات و لوازم يدكي بشکه سازي اصفهان"</f>
        <v>انبار قطعات و لوازم يدكي بشکه سازي اصفهان</v>
      </c>
      <c r="E2334" s="1" t="str">
        <f>"4311700322"</f>
        <v>4311700322</v>
      </c>
      <c r="F2334" s="1" t="str">
        <f>"فيوز مکانيکي پرس 200 تن"</f>
        <v>فيوز مکانيکي پرس 200 تن</v>
      </c>
      <c r="G2334" s="1" t="str">
        <f>"عدد"</f>
        <v>عدد</v>
      </c>
      <c r="H2334" s="1">
        <v>0</v>
      </c>
      <c r="I2334" s="1">
        <v>0</v>
      </c>
      <c r="J2334" s="1">
        <v>1</v>
      </c>
      <c r="K2334" s="1">
        <v>1960000</v>
      </c>
      <c r="L2334" s="1">
        <v>0</v>
      </c>
      <c r="M2334" s="1">
        <v>0</v>
      </c>
      <c r="O2334" s="1">
        <v>97</v>
      </c>
      <c r="P2334" s="4">
        <f t="shared" si="108"/>
        <v>1960000</v>
      </c>
      <c r="Q2334" s="4">
        <f t="shared" si="109"/>
        <v>1</v>
      </c>
      <c r="R2334" s="4">
        <f t="shared" si="110"/>
        <v>1960000</v>
      </c>
    </row>
    <row r="2335" spans="1:18">
      <c r="A2335" s="1">
        <v>2</v>
      </c>
      <c r="B2335" s="1" t="str">
        <f>"قطعات و لوازم يدكي"</f>
        <v>قطعات و لوازم يدكي</v>
      </c>
      <c r="C2335" s="1">
        <v>120</v>
      </c>
      <c r="D2335" s="1" t="str">
        <f>"انبار قطعات و لوازم يدكي بشکه سازي اصفهان"</f>
        <v>انبار قطعات و لوازم يدكي بشکه سازي اصفهان</v>
      </c>
      <c r="E2335" s="1" t="str">
        <f>"4311700326"</f>
        <v>4311700326</v>
      </c>
      <c r="F2335" s="1" t="str">
        <f>"مته 6.5"</f>
        <v>مته 6.5</v>
      </c>
      <c r="G2335" s="1" t="str">
        <f>"عدد"</f>
        <v>عدد</v>
      </c>
      <c r="H2335" s="1">
        <v>0</v>
      </c>
      <c r="I2335" s="1">
        <v>0</v>
      </c>
      <c r="J2335" s="1">
        <v>1</v>
      </c>
      <c r="K2335" s="1">
        <v>35000</v>
      </c>
      <c r="L2335" s="1">
        <v>0</v>
      </c>
      <c r="M2335" s="1">
        <v>0</v>
      </c>
      <c r="O2335" s="1">
        <v>97</v>
      </c>
      <c r="P2335" s="4">
        <f t="shared" si="108"/>
        <v>35000</v>
      </c>
      <c r="Q2335" s="4">
        <f t="shared" si="109"/>
        <v>1</v>
      </c>
      <c r="R2335" s="4">
        <f t="shared" si="110"/>
        <v>35000</v>
      </c>
    </row>
    <row r="2336" spans="1:18">
      <c r="A2336" s="1">
        <v>2</v>
      </c>
      <c r="B2336" s="1" t="str">
        <f>"قطعات و لوازم يدكي"</f>
        <v>قطعات و لوازم يدكي</v>
      </c>
      <c r="C2336" s="1">
        <v>120</v>
      </c>
      <c r="D2336" s="1" t="str">
        <f>"انبار قطعات و لوازم يدكي بشکه سازي اصفهان"</f>
        <v>انبار قطعات و لوازم يدكي بشکه سازي اصفهان</v>
      </c>
      <c r="E2336" s="1" t="str">
        <f>"4311700329"</f>
        <v>4311700329</v>
      </c>
      <c r="F2336" s="1" t="str">
        <f>"اورينگ 3*140"</f>
        <v>اورينگ 3*140</v>
      </c>
      <c r="G2336" s="1" t="str">
        <f>"عدد"</f>
        <v>عدد</v>
      </c>
      <c r="H2336" s="1">
        <v>0</v>
      </c>
      <c r="I2336" s="1">
        <v>0</v>
      </c>
      <c r="J2336" s="1">
        <v>20</v>
      </c>
      <c r="K2336" s="1">
        <v>90000</v>
      </c>
      <c r="L2336" s="1">
        <v>0</v>
      </c>
      <c r="M2336" s="1">
        <v>0</v>
      </c>
      <c r="O2336" s="1">
        <v>97</v>
      </c>
      <c r="P2336" s="4">
        <f t="shared" si="108"/>
        <v>90000</v>
      </c>
      <c r="Q2336" s="4">
        <f t="shared" si="109"/>
        <v>20</v>
      </c>
      <c r="R2336" s="4">
        <f t="shared" si="110"/>
        <v>4500</v>
      </c>
    </row>
    <row r="2337" spans="1:18">
      <c r="A2337" s="1">
        <v>2</v>
      </c>
      <c r="B2337" s="1" t="str">
        <f>"قطعات و لوازم يدكي"</f>
        <v>قطعات و لوازم يدكي</v>
      </c>
      <c r="C2337" s="1">
        <v>120</v>
      </c>
      <c r="D2337" s="1" t="str">
        <f>"انبار قطعات و لوازم يدكي بشکه سازي اصفهان"</f>
        <v>انبار قطعات و لوازم يدكي بشکه سازي اصفهان</v>
      </c>
      <c r="E2337" s="1" t="str">
        <f>"4311700333"</f>
        <v>4311700333</v>
      </c>
      <c r="F2337" s="1" t="str">
        <f>"کاسه نمد 7-45-25"</f>
        <v>کاسه نمد 7-45-25</v>
      </c>
      <c r="G2337" s="1" t="str">
        <f>"عدد"</f>
        <v>عدد</v>
      </c>
      <c r="H2337" s="1">
        <v>0</v>
      </c>
      <c r="I2337" s="1">
        <v>0</v>
      </c>
      <c r="J2337" s="1">
        <v>4</v>
      </c>
      <c r="K2337" s="1">
        <v>260000</v>
      </c>
      <c r="L2337" s="1">
        <v>2</v>
      </c>
      <c r="M2337" s="1">
        <v>130000</v>
      </c>
      <c r="O2337" s="1">
        <v>97</v>
      </c>
      <c r="P2337" s="4">
        <f t="shared" si="108"/>
        <v>130000</v>
      </c>
      <c r="Q2337" s="4">
        <f t="shared" si="109"/>
        <v>2</v>
      </c>
      <c r="R2337" s="4">
        <f t="shared" si="110"/>
        <v>65000</v>
      </c>
    </row>
    <row r="2338" spans="1:18">
      <c r="A2338" s="1">
        <v>2</v>
      </c>
      <c r="B2338" s="1" t="str">
        <f>"قطعات و لوازم يدكي"</f>
        <v>قطعات و لوازم يدكي</v>
      </c>
      <c r="C2338" s="1">
        <v>120</v>
      </c>
      <c r="D2338" s="1" t="str">
        <f>"انبار قطعات و لوازم يدكي بشکه سازي اصفهان"</f>
        <v>انبار قطعات و لوازم يدكي بشکه سازي اصفهان</v>
      </c>
      <c r="E2338" s="1" t="str">
        <f>"4311700366"</f>
        <v>4311700366</v>
      </c>
      <c r="F2338" s="1" t="str">
        <f>"پکينگ پرس 200 تن"</f>
        <v>پکينگ پرس 200 تن</v>
      </c>
      <c r="G2338" s="1" t="str">
        <f>"عدد"</f>
        <v>عدد</v>
      </c>
      <c r="H2338" s="1">
        <v>0</v>
      </c>
      <c r="I2338" s="1">
        <v>0</v>
      </c>
      <c r="J2338" s="1">
        <v>2</v>
      </c>
      <c r="K2338" s="1">
        <v>800000</v>
      </c>
      <c r="L2338" s="1">
        <v>0</v>
      </c>
      <c r="M2338" s="1">
        <v>0</v>
      </c>
      <c r="O2338" s="1">
        <v>97</v>
      </c>
      <c r="P2338" s="4">
        <f t="shared" si="108"/>
        <v>800000</v>
      </c>
      <c r="Q2338" s="4">
        <f t="shared" si="109"/>
        <v>2</v>
      </c>
      <c r="R2338" s="4">
        <f t="shared" si="110"/>
        <v>400000</v>
      </c>
    </row>
    <row r="2339" spans="1:18">
      <c r="A2339" s="1">
        <v>2</v>
      </c>
      <c r="B2339" s="1" t="str">
        <f>"قطعات و لوازم يدكي"</f>
        <v>قطعات و لوازم يدكي</v>
      </c>
      <c r="C2339" s="1">
        <v>205</v>
      </c>
      <c r="D2339" s="1" t="str">
        <f>"انبار قطعات و لوازم يدكي بندرعباس"</f>
        <v>انبار قطعات و لوازم يدكي بندرعباس</v>
      </c>
      <c r="E2339" s="1" t="str">
        <f>"1800000470"</f>
        <v>1800000470</v>
      </c>
      <c r="F2339" s="1" t="str">
        <f>"فلنج ترموول ويکا 2"</f>
        <v>فلنج ترموول ويکا 2</v>
      </c>
      <c r="G2339" s="1" t="str">
        <f>"عدد"</f>
        <v>عدد</v>
      </c>
      <c r="H2339" s="1">
        <v>1</v>
      </c>
      <c r="I2339" s="1">
        <v>10000000</v>
      </c>
      <c r="J2339" s="1">
        <v>0</v>
      </c>
      <c r="K2339" s="1">
        <v>0</v>
      </c>
      <c r="L2339" s="1">
        <v>0</v>
      </c>
      <c r="M2339" s="1">
        <v>0</v>
      </c>
      <c r="O2339" s="1">
        <v>97</v>
      </c>
      <c r="P2339" s="4">
        <f t="shared" si="108"/>
        <v>10000000</v>
      </c>
      <c r="Q2339" s="4">
        <f t="shared" si="109"/>
        <v>1</v>
      </c>
      <c r="R2339" s="4">
        <f t="shared" si="110"/>
        <v>10000000</v>
      </c>
    </row>
    <row r="2340" spans="1:18">
      <c r="A2340" s="1">
        <v>2</v>
      </c>
      <c r="B2340" s="1" t="str">
        <f>"قطعات و لوازم يدكي"</f>
        <v>قطعات و لوازم يدكي</v>
      </c>
      <c r="C2340" s="1">
        <v>205</v>
      </c>
      <c r="D2340" s="1" t="str">
        <f>"انبار قطعات و لوازم يدكي بندرعباس"</f>
        <v>انبار قطعات و لوازم يدكي بندرعباس</v>
      </c>
      <c r="E2340" s="1" t="str">
        <f>"1800000471"</f>
        <v>1800000471</v>
      </c>
      <c r="F2340" s="1" t="str">
        <f>"فندک برشکاري"</f>
        <v>فندک برشکاري</v>
      </c>
      <c r="G2340" s="1" t="str">
        <f>"عدد"</f>
        <v>عدد</v>
      </c>
      <c r="H2340" s="1">
        <v>2</v>
      </c>
      <c r="I2340" s="1">
        <v>200000</v>
      </c>
      <c r="J2340" s="1">
        <v>0</v>
      </c>
      <c r="K2340" s="1">
        <v>0</v>
      </c>
      <c r="L2340" s="1">
        <v>1</v>
      </c>
      <c r="M2340" s="1">
        <v>100000</v>
      </c>
      <c r="O2340" s="1">
        <v>97</v>
      </c>
      <c r="P2340" s="4">
        <f t="shared" si="108"/>
        <v>100000</v>
      </c>
      <c r="Q2340" s="4">
        <f t="shared" si="109"/>
        <v>1</v>
      </c>
      <c r="R2340" s="4">
        <f t="shared" si="110"/>
        <v>100000</v>
      </c>
    </row>
    <row r="2341" spans="1:18">
      <c r="A2341" s="1">
        <v>2</v>
      </c>
      <c r="B2341" s="1" t="str">
        <f>"قطعات و لوازم يدكي"</f>
        <v>قطعات و لوازم يدكي</v>
      </c>
      <c r="C2341" s="1">
        <v>205</v>
      </c>
      <c r="D2341" s="1" t="str">
        <f>"انبار قطعات و لوازم يدكي بندرعباس"</f>
        <v>انبار قطعات و لوازم يدكي بندرعباس</v>
      </c>
      <c r="E2341" s="1" t="str">
        <f>"1800000479"</f>
        <v>1800000479</v>
      </c>
      <c r="F2341" s="1" t="str">
        <f>"فيلتر روغن کمپرسور هوا"</f>
        <v>فيلتر روغن کمپرسور هوا</v>
      </c>
      <c r="G2341" s="1" t="str">
        <f>"عدد"</f>
        <v>عدد</v>
      </c>
      <c r="H2341" s="1">
        <v>10</v>
      </c>
      <c r="I2341" s="1">
        <v>6800000</v>
      </c>
      <c r="J2341" s="1">
        <v>0</v>
      </c>
      <c r="K2341" s="1">
        <v>0</v>
      </c>
      <c r="L2341" s="1">
        <v>0</v>
      </c>
      <c r="M2341" s="1">
        <v>0</v>
      </c>
      <c r="O2341" s="1">
        <v>97</v>
      </c>
      <c r="P2341" s="4">
        <f t="shared" si="108"/>
        <v>6800000</v>
      </c>
      <c r="Q2341" s="4">
        <f t="shared" si="109"/>
        <v>10</v>
      </c>
      <c r="R2341" s="4">
        <f t="shared" si="110"/>
        <v>680000</v>
      </c>
    </row>
    <row r="2342" spans="1:18">
      <c r="A2342" s="1">
        <v>2</v>
      </c>
      <c r="B2342" s="1" t="str">
        <f>"قطعات و لوازم يدكي"</f>
        <v>قطعات و لوازم يدكي</v>
      </c>
      <c r="C2342" s="1">
        <v>205</v>
      </c>
      <c r="D2342" s="1" t="str">
        <f>"انبار قطعات و لوازم يدكي بندرعباس"</f>
        <v>انبار قطعات و لوازم يدكي بندرعباس</v>
      </c>
      <c r="E2342" s="1" t="str">
        <f>"1800000481"</f>
        <v>1800000481</v>
      </c>
      <c r="F2342" s="1" t="str">
        <f>"فيلتر هوا"</f>
        <v>فيلتر هوا</v>
      </c>
      <c r="G2342" s="1" t="str">
        <f>"عدد"</f>
        <v>عدد</v>
      </c>
      <c r="H2342" s="1">
        <v>1</v>
      </c>
      <c r="I2342" s="1">
        <v>800000</v>
      </c>
      <c r="J2342" s="1">
        <v>0</v>
      </c>
      <c r="K2342" s="1">
        <v>0</v>
      </c>
      <c r="L2342" s="1">
        <v>0</v>
      </c>
      <c r="M2342" s="1">
        <v>0</v>
      </c>
      <c r="O2342" s="1">
        <v>97</v>
      </c>
      <c r="P2342" s="4">
        <f t="shared" si="108"/>
        <v>800000</v>
      </c>
      <c r="Q2342" s="4">
        <f t="shared" si="109"/>
        <v>1</v>
      </c>
      <c r="R2342" s="4">
        <f t="shared" si="110"/>
        <v>800000</v>
      </c>
    </row>
    <row r="2343" spans="1:18">
      <c r="A2343" s="1">
        <v>2</v>
      </c>
      <c r="B2343" s="1" t="str">
        <f>"قطعات و لوازم يدكي"</f>
        <v>قطعات و لوازم يدكي</v>
      </c>
      <c r="C2343" s="1">
        <v>205</v>
      </c>
      <c r="D2343" s="1" t="str">
        <f>"انبار قطعات و لوازم يدكي بندرعباس"</f>
        <v>انبار قطعات و لوازم يدكي بندرعباس</v>
      </c>
      <c r="E2343" s="1" t="str">
        <f>"1800000493"</f>
        <v>1800000493</v>
      </c>
      <c r="F2343" s="1" t="str">
        <f>"فيوز مينياتور دوپل اشنايدر 20"</f>
        <v>فيوز مينياتور دوپل اشنايدر 20</v>
      </c>
      <c r="G2343" s="1" t="str">
        <f>"عدد"</f>
        <v>عدد</v>
      </c>
      <c r="H2343" s="1">
        <v>2</v>
      </c>
      <c r="I2343" s="1">
        <v>1600000</v>
      </c>
      <c r="J2343" s="1">
        <v>0</v>
      </c>
      <c r="K2343" s="1">
        <v>0</v>
      </c>
      <c r="L2343" s="1">
        <v>0</v>
      </c>
      <c r="M2343" s="1">
        <v>0</v>
      </c>
      <c r="O2343" s="1">
        <v>97</v>
      </c>
      <c r="P2343" s="4">
        <f t="shared" si="108"/>
        <v>1600000</v>
      </c>
      <c r="Q2343" s="4">
        <f t="shared" si="109"/>
        <v>2</v>
      </c>
      <c r="R2343" s="4">
        <f t="shared" si="110"/>
        <v>800000</v>
      </c>
    </row>
    <row r="2344" spans="1:18" hidden="1">
      <c r="A2344" s="1">
        <v>2</v>
      </c>
      <c r="B2344" s="1" t="str">
        <f>"قطعات و لوازم يدكي"</f>
        <v>قطعات و لوازم يدكي</v>
      </c>
      <c r="C2344" s="1">
        <v>205</v>
      </c>
      <c r="D2344" s="1" t="str">
        <f>"انبار قطعات و لوازم يدكي بندرعباس"</f>
        <v>انبار قطعات و لوازم يدكي بندرعباس</v>
      </c>
      <c r="E2344" s="1" t="str">
        <f>"1800000494"</f>
        <v>1800000494</v>
      </c>
      <c r="F2344" s="1" t="str">
        <f>"فيوز مينياتور سه فاز 63"</f>
        <v>فيوز مينياتور سه فاز 63</v>
      </c>
      <c r="G2344" s="1" t="str">
        <f>"عدد"</f>
        <v>عدد</v>
      </c>
      <c r="H2344" s="1">
        <v>2</v>
      </c>
      <c r="I2344" s="1">
        <v>2400000</v>
      </c>
      <c r="J2344" s="1">
        <v>0</v>
      </c>
      <c r="K2344" s="1">
        <v>0</v>
      </c>
      <c r="L2344" s="1">
        <v>2</v>
      </c>
      <c r="M2344" s="1">
        <v>2400000</v>
      </c>
      <c r="O2344" s="1">
        <v>97</v>
      </c>
      <c r="P2344" s="1">
        <f t="shared" si="108"/>
        <v>0</v>
      </c>
      <c r="Q2344" s="1">
        <f t="shared" si="109"/>
        <v>0</v>
      </c>
      <c r="R2344" s="1" t="e">
        <f t="shared" si="110"/>
        <v>#DIV/0!</v>
      </c>
    </row>
    <row r="2345" spans="1:18" hidden="1">
      <c r="A2345" s="1">
        <v>2</v>
      </c>
      <c r="B2345" s="1" t="str">
        <f>"قطعات و لوازم يدكي"</f>
        <v>قطعات و لوازم يدكي</v>
      </c>
      <c r="C2345" s="1">
        <v>205</v>
      </c>
      <c r="D2345" s="1" t="str">
        <f>"انبار قطعات و لوازم يدكي بندرعباس"</f>
        <v>انبار قطعات و لوازم يدكي بندرعباس</v>
      </c>
      <c r="E2345" s="1" t="str">
        <f>"1800000506"</f>
        <v>1800000506</v>
      </c>
      <c r="F2345" s="1" t="str">
        <f>"کابل 1.5*3"</f>
        <v>کابل 1.5*3</v>
      </c>
      <c r="G2345" s="1" t="str">
        <f>"متر"</f>
        <v>متر</v>
      </c>
      <c r="H2345" s="1">
        <v>73</v>
      </c>
      <c r="I2345" s="1">
        <v>1825000</v>
      </c>
      <c r="J2345" s="1">
        <v>0</v>
      </c>
      <c r="K2345" s="1">
        <v>0</v>
      </c>
      <c r="L2345" s="1">
        <v>73</v>
      </c>
      <c r="M2345" s="1">
        <v>1825000</v>
      </c>
      <c r="O2345" s="1">
        <v>97</v>
      </c>
      <c r="P2345" s="1">
        <f t="shared" si="108"/>
        <v>0</v>
      </c>
      <c r="Q2345" s="1">
        <f t="shared" si="109"/>
        <v>0</v>
      </c>
      <c r="R2345" s="1" t="e">
        <f t="shared" si="110"/>
        <v>#DIV/0!</v>
      </c>
    </row>
    <row r="2346" spans="1:18">
      <c r="A2346" s="1">
        <v>2</v>
      </c>
      <c r="B2346" s="1" t="str">
        <f>"قطعات و لوازم يدكي"</f>
        <v>قطعات و لوازم يدكي</v>
      </c>
      <c r="C2346" s="1">
        <v>205</v>
      </c>
      <c r="D2346" s="1" t="str">
        <f>"انبار قطعات و لوازم يدكي بندرعباس"</f>
        <v>انبار قطعات و لوازم يدكي بندرعباس</v>
      </c>
      <c r="E2346" s="1" t="str">
        <f>"1800000518"</f>
        <v>1800000518</v>
      </c>
      <c r="F2346" s="1" t="str">
        <f>"کابلشو فلزي 16*240"</f>
        <v>کابلشو فلزي 16*240</v>
      </c>
      <c r="G2346" s="1" t="str">
        <f>"عدد"</f>
        <v>عدد</v>
      </c>
      <c r="H2346" s="1">
        <v>25</v>
      </c>
      <c r="I2346" s="1">
        <v>1750000</v>
      </c>
      <c r="J2346" s="1">
        <v>0</v>
      </c>
      <c r="K2346" s="1">
        <v>0</v>
      </c>
      <c r="L2346" s="1">
        <v>8</v>
      </c>
      <c r="M2346" s="1">
        <v>560000</v>
      </c>
      <c r="O2346" s="1">
        <v>97</v>
      </c>
      <c r="P2346" s="4">
        <f t="shared" si="108"/>
        <v>1190000</v>
      </c>
      <c r="Q2346" s="4">
        <f t="shared" si="109"/>
        <v>17</v>
      </c>
      <c r="R2346" s="4">
        <f t="shared" si="110"/>
        <v>70000</v>
      </c>
    </row>
    <row r="2347" spans="1:18">
      <c r="A2347" s="1">
        <v>2</v>
      </c>
      <c r="B2347" s="1" t="str">
        <f>"قطعات و لوازم يدكي"</f>
        <v>قطعات و لوازم يدكي</v>
      </c>
      <c r="C2347" s="1">
        <v>205</v>
      </c>
      <c r="D2347" s="1" t="str">
        <f>"انبار قطعات و لوازم يدكي بندرعباس"</f>
        <v>انبار قطعات و لوازم يدكي بندرعباس</v>
      </c>
      <c r="E2347" s="1" t="str">
        <f>"1800000551"</f>
        <v>1800000551</v>
      </c>
      <c r="F2347" s="1" t="str">
        <f>"کنتاکتور اشنايدر 40"</f>
        <v>کنتاکتور اشنايدر 40</v>
      </c>
      <c r="G2347" s="1" t="str">
        <f>"عدد"</f>
        <v>عدد</v>
      </c>
      <c r="H2347" s="1">
        <v>4</v>
      </c>
      <c r="I2347" s="1">
        <v>4000000</v>
      </c>
      <c r="J2347" s="1">
        <v>0</v>
      </c>
      <c r="K2347" s="1">
        <v>0</v>
      </c>
      <c r="L2347" s="1">
        <v>1</v>
      </c>
      <c r="M2347" s="1">
        <v>1000000</v>
      </c>
      <c r="O2347" s="1">
        <v>97</v>
      </c>
      <c r="P2347" s="4">
        <f t="shared" si="108"/>
        <v>3000000</v>
      </c>
      <c r="Q2347" s="4">
        <f t="shared" si="109"/>
        <v>3</v>
      </c>
      <c r="R2347" s="4">
        <f t="shared" si="110"/>
        <v>1000000</v>
      </c>
    </row>
    <row r="2348" spans="1:18">
      <c r="A2348" s="1">
        <v>2</v>
      </c>
      <c r="B2348" s="1" t="str">
        <f>"قطعات و لوازم يدكي"</f>
        <v>قطعات و لوازم يدكي</v>
      </c>
      <c r="C2348" s="1">
        <v>205</v>
      </c>
      <c r="D2348" s="1" t="str">
        <f>"انبار قطعات و لوازم يدكي بندرعباس"</f>
        <v>انبار قطعات و لوازم يدكي بندرعباس</v>
      </c>
      <c r="E2348" s="1" t="str">
        <f>"1800000557"</f>
        <v>1800000557</v>
      </c>
      <c r="F2348" s="1" t="str">
        <f>"کوپلينگ 1/2*1-2"</f>
        <v>کوپلينگ 1/2*1-2</v>
      </c>
      <c r="G2348" s="1" t="str">
        <f>"عدد"</f>
        <v>عدد</v>
      </c>
      <c r="H2348" s="1">
        <v>1</v>
      </c>
      <c r="I2348" s="1">
        <v>43228</v>
      </c>
      <c r="J2348" s="1">
        <v>0</v>
      </c>
      <c r="K2348" s="1">
        <v>0</v>
      </c>
      <c r="L2348" s="1">
        <v>0</v>
      </c>
      <c r="M2348" s="1">
        <v>0</v>
      </c>
      <c r="O2348" s="1">
        <v>97</v>
      </c>
      <c r="P2348" s="4">
        <f t="shared" si="108"/>
        <v>43228</v>
      </c>
      <c r="Q2348" s="4">
        <f t="shared" si="109"/>
        <v>1</v>
      </c>
      <c r="R2348" s="4">
        <f t="shared" si="110"/>
        <v>43228</v>
      </c>
    </row>
    <row r="2349" spans="1:18">
      <c r="A2349" s="1">
        <v>2</v>
      </c>
      <c r="B2349" s="1" t="str">
        <f>"قطعات و لوازم يدكي"</f>
        <v>قطعات و لوازم يدكي</v>
      </c>
      <c r="C2349" s="1">
        <v>205</v>
      </c>
      <c r="D2349" s="1" t="str">
        <f>"انبار قطعات و لوازم يدكي بندرعباس"</f>
        <v>انبار قطعات و لوازم يدكي بندرعباس</v>
      </c>
      <c r="E2349" s="1" t="str">
        <f>"1800000565"</f>
        <v>1800000565</v>
      </c>
      <c r="F2349" s="1" t="str">
        <f>"گريس نسوز"</f>
        <v>گريس نسوز</v>
      </c>
      <c r="G2349" s="1" t="str">
        <f>"ليتر"</f>
        <v>ليتر</v>
      </c>
      <c r="H2349" s="1">
        <v>1</v>
      </c>
      <c r="I2349" s="1">
        <v>560000</v>
      </c>
      <c r="J2349" s="1">
        <v>51</v>
      </c>
      <c r="K2349" s="1">
        <v>6600000</v>
      </c>
      <c r="L2349" s="1">
        <v>0</v>
      </c>
      <c r="M2349" s="1">
        <v>0</v>
      </c>
      <c r="O2349" s="1">
        <v>97</v>
      </c>
      <c r="P2349" s="4">
        <f t="shared" si="108"/>
        <v>7160000</v>
      </c>
      <c r="Q2349" s="4">
        <f t="shared" si="109"/>
        <v>52</v>
      </c>
      <c r="R2349" s="4">
        <f t="shared" si="110"/>
        <v>137692.30769230769</v>
      </c>
    </row>
    <row r="2350" spans="1:18">
      <c r="A2350" s="1">
        <v>2</v>
      </c>
      <c r="B2350" s="1" t="str">
        <f>"قطعات و لوازم يدكي"</f>
        <v>قطعات و لوازم يدكي</v>
      </c>
      <c r="C2350" s="1">
        <v>205</v>
      </c>
      <c r="D2350" s="1" t="str">
        <f>"انبار قطعات و لوازم يدكي بندرعباس"</f>
        <v>انبار قطعات و لوازم يدكي بندرعباس</v>
      </c>
      <c r="E2350" s="1" t="str">
        <f>"1800000567"</f>
        <v>1800000567</v>
      </c>
      <c r="F2350" s="1" t="str">
        <f>"گسکت فلزي 3/4"</f>
        <v>گسکت فلزي 3/4</v>
      </c>
      <c r="G2350" s="1" t="str">
        <f>"عدد"</f>
        <v>عدد</v>
      </c>
      <c r="H2350" s="1">
        <v>11</v>
      </c>
      <c r="I2350" s="1">
        <v>946000</v>
      </c>
      <c r="J2350" s="1">
        <v>0</v>
      </c>
      <c r="K2350" s="1">
        <v>0</v>
      </c>
      <c r="L2350" s="1">
        <v>0</v>
      </c>
      <c r="M2350" s="1">
        <v>0</v>
      </c>
      <c r="O2350" s="1">
        <v>97</v>
      </c>
      <c r="P2350" s="4">
        <f t="shared" si="108"/>
        <v>946000</v>
      </c>
      <c r="Q2350" s="4">
        <f t="shared" si="109"/>
        <v>11</v>
      </c>
      <c r="R2350" s="4">
        <f t="shared" si="110"/>
        <v>86000</v>
      </c>
    </row>
    <row r="2351" spans="1:18">
      <c r="A2351" s="1">
        <v>2</v>
      </c>
      <c r="B2351" s="1" t="str">
        <f>"قطعات و لوازم يدكي"</f>
        <v>قطعات و لوازم يدكي</v>
      </c>
      <c r="C2351" s="1">
        <v>205</v>
      </c>
      <c r="D2351" s="1" t="str">
        <f>"انبار قطعات و لوازم يدكي بندرعباس"</f>
        <v>انبار قطعات و لوازم يدكي بندرعباس</v>
      </c>
      <c r="E2351" s="1" t="str">
        <f>"1800000573"</f>
        <v>1800000573</v>
      </c>
      <c r="F2351" s="1" t="str">
        <f>"گسکت فلزي 4"</f>
        <v>گسکت فلزي 4</v>
      </c>
      <c r="G2351" s="1" t="str">
        <f>"عدد"</f>
        <v>عدد</v>
      </c>
      <c r="H2351" s="1">
        <v>119</v>
      </c>
      <c r="I2351" s="1">
        <v>26894000</v>
      </c>
      <c r="J2351" s="1">
        <v>0</v>
      </c>
      <c r="K2351" s="1">
        <v>0</v>
      </c>
      <c r="L2351" s="1">
        <v>6</v>
      </c>
      <c r="M2351" s="1">
        <v>1356000</v>
      </c>
      <c r="O2351" s="1">
        <v>97</v>
      </c>
      <c r="P2351" s="4">
        <f t="shared" si="108"/>
        <v>25538000</v>
      </c>
      <c r="Q2351" s="4">
        <f t="shared" si="109"/>
        <v>113</v>
      </c>
      <c r="R2351" s="4">
        <f t="shared" si="110"/>
        <v>226000</v>
      </c>
    </row>
    <row r="2352" spans="1:18">
      <c r="A2352" s="1">
        <v>2</v>
      </c>
      <c r="B2352" s="1" t="str">
        <f>"قطعات و لوازم يدكي"</f>
        <v>قطعات و لوازم يدكي</v>
      </c>
      <c r="C2352" s="1">
        <v>205</v>
      </c>
      <c r="D2352" s="1" t="str">
        <f>"انبار قطعات و لوازم يدكي بندرعباس"</f>
        <v>انبار قطعات و لوازم يدكي بندرعباس</v>
      </c>
      <c r="E2352" s="1" t="str">
        <f>"1800000579"</f>
        <v>1800000579</v>
      </c>
      <c r="F2352" s="1" t="str">
        <f>"گسکت کاغذي 1/2*1"</f>
        <v>گسکت کاغذي 1/2*1</v>
      </c>
      <c r="G2352" s="1" t="str">
        <f>"عدد"</f>
        <v>عدد</v>
      </c>
      <c r="H2352" s="1">
        <v>62</v>
      </c>
      <c r="I2352" s="1">
        <v>5332000</v>
      </c>
      <c r="J2352" s="1">
        <v>0</v>
      </c>
      <c r="K2352" s="1">
        <v>0</v>
      </c>
      <c r="L2352" s="1">
        <v>0</v>
      </c>
      <c r="M2352" s="1">
        <v>0</v>
      </c>
      <c r="O2352" s="1">
        <v>97</v>
      </c>
      <c r="P2352" s="4">
        <f t="shared" si="108"/>
        <v>5332000</v>
      </c>
      <c r="Q2352" s="4">
        <f t="shared" si="109"/>
        <v>62</v>
      </c>
      <c r="R2352" s="4">
        <f t="shared" si="110"/>
        <v>86000</v>
      </c>
    </row>
    <row r="2353" spans="1:18">
      <c r="A2353" s="1">
        <v>2</v>
      </c>
      <c r="B2353" s="1" t="str">
        <f>"قطعات و لوازم يدكي"</f>
        <v>قطعات و لوازم يدكي</v>
      </c>
      <c r="C2353" s="1">
        <v>205</v>
      </c>
      <c r="D2353" s="1" t="str">
        <f>"انبار قطعات و لوازم يدكي بندرعباس"</f>
        <v>انبار قطعات و لوازم يدكي بندرعباس</v>
      </c>
      <c r="E2353" s="1" t="str">
        <f>"1800000580"</f>
        <v>1800000580</v>
      </c>
      <c r="F2353" s="1" t="str">
        <f>"گسکت کاغذي 2"</f>
        <v>گسکت کاغذي 2</v>
      </c>
      <c r="G2353" s="1" t="str">
        <f>"عدد"</f>
        <v>عدد</v>
      </c>
      <c r="H2353" s="1">
        <v>58</v>
      </c>
      <c r="I2353" s="1">
        <v>4988000</v>
      </c>
      <c r="J2353" s="1">
        <v>0</v>
      </c>
      <c r="K2353" s="1">
        <v>0</v>
      </c>
      <c r="L2353" s="1">
        <v>0</v>
      </c>
      <c r="M2353" s="1">
        <v>0</v>
      </c>
      <c r="O2353" s="1">
        <v>97</v>
      </c>
      <c r="P2353" s="4">
        <f t="shared" si="108"/>
        <v>4988000</v>
      </c>
      <c r="Q2353" s="4">
        <f t="shared" si="109"/>
        <v>58</v>
      </c>
      <c r="R2353" s="4">
        <f t="shared" si="110"/>
        <v>86000</v>
      </c>
    </row>
    <row r="2354" spans="1:18">
      <c r="A2354" s="1">
        <v>2</v>
      </c>
      <c r="B2354" s="1" t="str">
        <f>"قطعات و لوازم يدكي"</f>
        <v>قطعات و لوازم يدكي</v>
      </c>
      <c r="C2354" s="1">
        <v>205</v>
      </c>
      <c r="D2354" s="1" t="str">
        <f>"انبار قطعات و لوازم يدكي بندرعباس"</f>
        <v>انبار قطعات و لوازم يدكي بندرعباس</v>
      </c>
      <c r="E2354" s="1" t="str">
        <f>"1800000589"</f>
        <v>1800000589</v>
      </c>
      <c r="F2354" s="1" t="str">
        <f>"گسکت سپراتور کمپرسور هوا"</f>
        <v>گسکت سپراتور کمپرسور هوا</v>
      </c>
      <c r="G2354" s="1" t="str">
        <f>"عدد"</f>
        <v>عدد</v>
      </c>
      <c r="H2354" s="1">
        <v>20</v>
      </c>
      <c r="I2354" s="1">
        <v>2400000</v>
      </c>
      <c r="J2354" s="1">
        <v>0</v>
      </c>
      <c r="K2354" s="1">
        <v>0</v>
      </c>
      <c r="L2354" s="1">
        <v>0</v>
      </c>
      <c r="M2354" s="1">
        <v>0</v>
      </c>
      <c r="O2354" s="1">
        <v>97</v>
      </c>
      <c r="P2354" s="4">
        <f t="shared" si="108"/>
        <v>2400000</v>
      </c>
      <c r="Q2354" s="4">
        <f t="shared" si="109"/>
        <v>20</v>
      </c>
      <c r="R2354" s="4">
        <f t="shared" si="110"/>
        <v>120000</v>
      </c>
    </row>
    <row r="2355" spans="1:18">
      <c r="A2355" s="1">
        <v>2</v>
      </c>
      <c r="B2355" s="1" t="str">
        <f>"قطعات و لوازم يدكي"</f>
        <v>قطعات و لوازم يدكي</v>
      </c>
      <c r="C2355" s="1">
        <v>205</v>
      </c>
      <c r="D2355" s="1" t="str">
        <f>"انبار قطعات و لوازم يدكي بندرعباس"</f>
        <v>انبار قطعات و لوازم يدكي بندرعباس</v>
      </c>
      <c r="E2355" s="1" t="str">
        <f>"1800000598"</f>
        <v>1800000598</v>
      </c>
      <c r="F2355" s="1" t="str">
        <f>"گلند فلزي باهيت شيرينگ 75"</f>
        <v>گلند فلزي باهيت شيرينگ 75</v>
      </c>
      <c r="G2355" s="1" t="str">
        <f>"عدد"</f>
        <v>عدد</v>
      </c>
      <c r="H2355" s="1">
        <v>16</v>
      </c>
      <c r="I2355" s="1">
        <v>19200000</v>
      </c>
      <c r="J2355" s="1">
        <v>0</v>
      </c>
      <c r="K2355" s="1">
        <v>0</v>
      </c>
      <c r="L2355" s="1">
        <v>0</v>
      </c>
      <c r="M2355" s="1">
        <v>0</v>
      </c>
      <c r="O2355" s="1">
        <v>97</v>
      </c>
      <c r="P2355" s="4">
        <f t="shared" si="108"/>
        <v>19200000</v>
      </c>
      <c r="Q2355" s="4">
        <f t="shared" si="109"/>
        <v>16</v>
      </c>
      <c r="R2355" s="4">
        <f t="shared" si="110"/>
        <v>1200000</v>
      </c>
    </row>
    <row r="2356" spans="1:18">
      <c r="A2356" s="1">
        <v>2</v>
      </c>
      <c r="B2356" s="1" t="str">
        <f>"قطعات و لوازم يدكي"</f>
        <v>قطعات و لوازم يدكي</v>
      </c>
      <c r="C2356" s="1">
        <v>205</v>
      </c>
      <c r="D2356" s="1" t="str">
        <f>"انبار قطعات و لوازم يدكي بندرعباس"</f>
        <v>انبار قطعات و لوازم يدكي بندرعباس</v>
      </c>
      <c r="E2356" s="1" t="str">
        <f>"1800000601"</f>
        <v>1800000601</v>
      </c>
      <c r="F2356" s="1" t="str">
        <f>"گلند کابل شارک 20"</f>
        <v>گلند کابل شارک 20</v>
      </c>
      <c r="G2356" s="1" t="str">
        <f>"عدد"</f>
        <v>عدد</v>
      </c>
      <c r="H2356" s="1">
        <v>10</v>
      </c>
      <c r="I2356" s="1">
        <v>200000</v>
      </c>
      <c r="J2356" s="1">
        <v>0</v>
      </c>
      <c r="K2356" s="1">
        <v>0</v>
      </c>
      <c r="L2356" s="1">
        <v>0</v>
      </c>
      <c r="M2356" s="1">
        <v>0</v>
      </c>
      <c r="O2356" s="1">
        <v>97</v>
      </c>
      <c r="P2356" s="4">
        <f t="shared" si="108"/>
        <v>200000</v>
      </c>
      <c r="Q2356" s="4">
        <f t="shared" si="109"/>
        <v>10</v>
      </c>
      <c r="R2356" s="4">
        <f t="shared" si="110"/>
        <v>20000</v>
      </c>
    </row>
    <row r="2357" spans="1:18">
      <c r="A2357" s="1">
        <v>2</v>
      </c>
      <c r="B2357" s="1" t="str">
        <f>"قطعات و لوازم يدكي"</f>
        <v>قطعات و لوازم يدكي</v>
      </c>
      <c r="C2357" s="1">
        <v>205</v>
      </c>
      <c r="D2357" s="1" t="str">
        <f>"انبار قطعات و لوازم يدكي بندرعباس"</f>
        <v>انبار قطعات و لوازم يدكي بندرعباس</v>
      </c>
      <c r="E2357" s="1" t="str">
        <f>"1800000612"</f>
        <v>1800000612</v>
      </c>
      <c r="F2357" s="1" t="str">
        <f>"لاستيم ضربه گير بافر"</f>
        <v>لاستيم ضربه گير بافر</v>
      </c>
      <c r="G2357" s="1" t="str">
        <f>"عدد"</f>
        <v>عدد</v>
      </c>
      <c r="H2357" s="1">
        <v>8</v>
      </c>
      <c r="I2357" s="1">
        <v>8000000</v>
      </c>
      <c r="J2357" s="1">
        <v>0</v>
      </c>
      <c r="K2357" s="1">
        <v>0</v>
      </c>
      <c r="L2357" s="1">
        <v>0</v>
      </c>
      <c r="M2357" s="1">
        <v>0</v>
      </c>
      <c r="O2357" s="1">
        <v>97</v>
      </c>
      <c r="P2357" s="4">
        <f t="shared" si="108"/>
        <v>8000000</v>
      </c>
      <c r="Q2357" s="4">
        <f t="shared" si="109"/>
        <v>8</v>
      </c>
      <c r="R2357" s="4">
        <f t="shared" si="110"/>
        <v>1000000</v>
      </c>
    </row>
    <row r="2358" spans="1:18">
      <c r="A2358" s="1">
        <v>2</v>
      </c>
      <c r="B2358" s="1" t="str">
        <f>"قطعات و لوازم يدكي"</f>
        <v>قطعات و لوازم يدكي</v>
      </c>
      <c r="C2358" s="1">
        <v>205</v>
      </c>
      <c r="D2358" s="1" t="str">
        <f>"انبار قطعات و لوازم يدكي بندرعباس"</f>
        <v>انبار قطعات و لوازم يدكي بندرعباس</v>
      </c>
      <c r="E2358" s="1" t="str">
        <f>"1800000614"</f>
        <v>1800000614</v>
      </c>
      <c r="F2358" s="1" t="str">
        <f>"لامپ سفيد با ترانس"</f>
        <v>لامپ سفيد با ترانس</v>
      </c>
      <c r="G2358" s="1" t="str">
        <f>"عدد"</f>
        <v>عدد</v>
      </c>
      <c r="H2358" s="1">
        <v>4</v>
      </c>
      <c r="I2358" s="1">
        <v>800000</v>
      </c>
      <c r="J2358" s="1">
        <v>0</v>
      </c>
      <c r="K2358" s="1">
        <v>0</v>
      </c>
      <c r="L2358" s="1">
        <v>2</v>
      </c>
      <c r="M2358" s="1">
        <v>400000</v>
      </c>
      <c r="O2358" s="1">
        <v>97</v>
      </c>
      <c r="P2358" s="4">
        <f t="shared" si="108"/>
        <v>400000</v>
      </c>
      <c r="Q2358" s="4">
        <f t="shared" si="109"/>
        <v>2</v>
      </c>
      <c r="R2358" s="4">
        <f t="shared" si="110"/>
        <v>200000</v>
      </c>
    </row>
    <row r="2359" spans="1:18">
      <c r="A2359" s="1">
        <v>2</v>
      </c>
      <c r="B2359" s="1" t="str">
        <f>"قطعات و لوازم يدكي"</f>
        <v>قطعات و لوازم يدكي</v>
      </c>
      <c r="C2359" s="1">
        <v>205</v>
      </c>
      <c r="D2359" s="1" t="str">
        <f>"انبار قطعات و لوازم يدكي بندرعباس"</f>
        <v>انبار قطعات و لوازم يدكي بندرعباس</v>
      </c>
      <c r="E2359" s="1" t="str">
        <f>"1800000659"</f>
        <v>1800000659</v>
      </c>
      <c r="F2359" s="1" t="str">
        <f>"مغزي 1/4 اينچ"</f>
        <v>مغزي 1/4 اينچ</v>
      </c>
      <c r="G2359" s="1" t="str">
        <f>"عدد"</f>
        <v>عدد</v>
      </c>
      <c r="H2359" s="1">
        <v>4</v>
      </c>
      <c r="I2359" s="1">
        <v>80000</v>
      </c>
      <c r="J2359" s="1">
        <v>0</v>
      </c>
      <c r="K2359" s="1">
        <v>0</v>
      </c>
      <c r="L2359" s="1">
        <v>0</v>
      </c>
      <c r="M2359" s="1">
        <v>0</v>
      </c>
      <c r="O2359" s="1">
        <v>97</v>
      </c>
      <c r="P2359" s="4">
        <f t="shared" si="108"/>
        <v>80000</v>
      </c>
      <c r="Q2359" s="4">
        <f t="shared" si="109"/>
        <v>4</v>
      </c>
      <c r="R2359" s="4">
        <f t="shared" si="110"/>
        <v>20000</v>
      </c>
    </row>
    <row r="2360" spans="1:18" hidden="1">
      <c r="A2360" s="1">
        <v>2</v>
      </c>
      <c r="B2360" s="1" t="str">
        <f>"قطعات و لوازم يدكي"</f>
        <v>قطعات و لوازم يدكي</v>
      </c>
      <c r="C2360" s="1">
        <v>205</v>
      </c>
      <c r="D2360" s="1" t="str">
        <f>"انبار قطعات و لوازم يدكي بندرعباس"</f>
        <v>انبار قطعات و لوازم يدكي بندرعباس</v>
      </c>
      <c r="E2360" s="1" t="str">
        <f>"1800000664"</f>
        <v>1800000664</v>
      </c>
      <c r="F2360" s="1" t="str">
        <f>"مهره m12"</f>
        <v>مهره m12</v>
      </c>
      <c r="G2360" s="1" t="str">
        <f>"عدد"</f>
        <v>عدد</v>
      </c>
      <c r="H2360" s="1">
        <v>3</v>
      </c>
      <c r="I2360" s="1">
        <v>1500</v>
      </c>
      <c r="J2360" s="1">
        <v>0</v>
      </c>
      <c r="K2360" s="1">
        <v>0</v>
      </c>
      <c r="L2360" s="1">
        <v>3</v>
      </c>
      <c r="M2360" s="1">
        <v>1500</v>
      </c>
      <c r="O2360" s="1">
        <v>97</v>
      </c>
      <c r="P2360" s="1">
        <f t="shared" si="108"/>
        <v>0</v>
      </c>
      <c r="Q2360" s="1">
        <f t="shared" si="109"/>
        <v>0</v>
      </c>
      <c r="R2360" s="1" t="e">
        <f t="shared" si="110"/>
        <v>#DIV/0!</v>
      </c>
    </row>
    <row r="2361" spans="1:18">
      <c r="A2361" s="1">
        <v>2</v>
      </c>
      <c r="B2361" s="1" t="str">
        <f>"قطعات و لوازم يدكي"</f>
        <v>قطعات و لوازم يدكي</v>
      </c>
      <c r="C2361" s="1">
        <v>205</v>
      </c>
      <c r="D2361" s="1" t="str">
        <f>"انبار قطعات و لوازم يدكي بندرعباس"</f>
        <v>انبار قطعات و لوازم يدكي بندرعباس</v>
      </c>
      <c r="E2361" s="1" t="str">
        <f>"1800000670"</f>
        <v>1800000670</v>
      </c>
      <c r="F2361" s="1" t="str">
        <f>"مکانيکال سيل"</f>
        <v>مکانيکال سيل</v>
      </c>
      <c r="G2361" s="1" t="str">
        <f>"عدد"</f>
        <v>عدد</v>
      </c>
      <c r="H2361" s="1">
        <v>1</v>
      </c>
      <c r="I2361" s="1">
        <v>4000000</v>
      </c>
      <c r="J2361" s="1">
        <v>0</v>
      </c>
      <c r="K2361" s="1">
        <v>0</v>
      </c>
      <c r="L2361" s="1">
        <v>0</v>
      </c>
      <c r="M2361" s="1">
        <v>0</v>
      </c>
      <c r="O2361" s="1">
        <v>97</v>
      </c>
      <c r="P2361" s="4">
        <f t="shared" si="108"/>
        <v>4000000</v>
      </c>
      <c r="Q2361" s="4">
        <f t="shared" si="109"/>
        <v>1</v>
      </c>
      <c r="R2361" s="4">
        <f t="shared" si="110"/>
        <v>4000000</v>
      </c>
    </row>
    <row r="2362" spans="1:18">
      <c r="A2362" s="1">
        <v>2</v>
      </c>
      <c r="B2362" s="1" t="str">
        <f>"قطعات و لوازم يدكي"</f>
        <v>قطعات و لوازم يدكي</v>
      </c>
      <c r="C2362" s="1">
        <v>205</v>
      </c>
      <c r="D2362" s="1" t="str">
        <f>"انبار قطعات و لوازم يدكي بندرعباس"</f>
        <v>انبار قطعات و لوازم يدكي بندرعباس</v>
      </c>
      <c r="E2362" s="1" t="str">
        <f>"1800000679"</f>
        <v>1800000679</v>
      </c>
      <c r="F2362" s="1" t="str">
        <f>"واشر تخت"</f>
        <v>واشر تخت</v>
      </c>
      <c r="G2362" s="1" t="str">
        <f>"عدد"</f>
        <v>عدد</v>
      </c>
      <c r="H2362" s="1">
        <v>20</v>
      </c>
      <c r="I2362" s="1">
        <v>4000</v>
      </c>
      <c r="J2362" s="1">
        <v>0</v>
      </c>
      <c r="K2362" s="1">
        <v>0</v>
      </c>
      <c r="L2362" s="1">
        <v>0</v>
      </c>
      <c r="M2362" s="1">
        <v>0</v>
      </c>
      <c r="O2362" s="1">
        <v>97</v>
      </c>
      <c r="P2362" s="4">
        <f t="shared" si="108"/>
        <v>4000</v>
      </c>
      <c r="Q2362" s="4">
        <f t="shared" si="109"/>
        <v>20</v>
      </c>
      <c r="R2362" s="4">
        <f t="shared" si="110"/>
        <v>200</v>
      </c>
    </row>
    <row r="2363" spans="1:18">
      <c r="A2363" s="1">
        <v>2</v>
      </c>
      <c r="B2363" s="1" t="str">
        <f>"قطعات و لوازم يدكي"</f>
        <v>قطعات و لوازم يدكي</v>
      </c>
      <c r="C2363" s="1">
        <v>205</v>
      </c>
      <c r="D2363" s="1" t="str">
        <f>"انبار قطعات و لوازم يدكي بندرعباس"</f>
        <v>انبار قطعات و لوازم يدكي بندرعباس</v>
      </c>
      <c r="E2363" s="1" t="str">
        <f>"1800000688"</f>
        <v>1800000688</v>
      </c>
      <c r="F2363" s="1" t="str">
        <f>"واشر اسپرينگ"</f>
        <v>واشر اسپرينگ</v>
      </c>
      <c r="G2363" s="1" t="str">
        <f>"عدد"</f>
        <v>عدد</v>
      </c>
      <c r="H2363" s="1">
        <v>100</v>
      </c>
      <c r="I2363" s="1">
        <v>20000</v>
      </c>
      <c r="J2363" s="1">
        <v>0</v>
      </c>
      <c r="K2363" s="1">
        <v>0</v>
      </c>
      <c r="L2363" s="1">
        <v>0</v>
      </c>
      <c r="M2363" s="1">
        <v>0</v>
      </c>
      <c r="O2363" s="1">
        <v>97</v>
      </c>
      <c r="P2363" s="4">
        <f t="shared" si="108"/>
        <v>20000</v>
      </c>
      <c r="Q2363" s="4">
        <f t="shared" si="109"/>
        <v>100</v>
      </c>
      <c r="R2363" s="4">
        <f t="shared" si="110"/>
        <v>200</v>
      </c>
    </row>
    <row r="2364" spans="1:18">
      <c r="A2364" s="1">
        <v>2</v>
      </c>
      <c r="B2364" s="1" t="str">
        <f>"قطعات و لوازم يدكي"</f>
        <v>قطعات و لوازم يدكي</v>
      </c>
      <c r="C2364" s="1">
        <v>205</v>
      </c>
      <c r="D2364" s="1" t="str">
        <f>"انبار قطعات و لوازم يدكي بندرعباس"</f>
        <v>انبار قطعات و لوازم يدكي بندرعباس</v>
      </c>
      <c r="E2364" s="1" t="str">
        <f>"1800000689"</f>
        <v>1800000689</v>
      </c>
      <c r="F2364" s="1" t="str">
        <f>"مکانيکال سيل 116"</f>
        <v>مکانيکال سيل 116</v>
      </c>
      <c r="G2364" s="1" t="str">
        <f>"ST"</f>
        <v>ST</v>
      </c>
      <c r="H2364" s="1">
        <v>1</v>
      </c>
      <c r="I2364" s="1">
        <v>120754500</v>
      </c>
      <c r="J2364" s="1">
        <v>2</v>
      </c>
      <c r="K2364" s="1">
        <v>1058130666</v>
      </c>
      <c r="L2364" s="1">
        <v>1</v>
      </c>
      <c r="M2364" s="1">
        <v>392961722</v>
      </c>
      <c r="O2364" s="1">
        <v>97</v>
      </c>
      <c r="P2364" s="4">
        <f t="shared" si="108"/>
        <v>785923444</v>
      </c>
      <c r="Q2364" s="4">
        <f t="shared" si="109"/>
        <v>2</v>
      </c>
      <c r="R2364" s="4">
        <f t="shared" si="110"/>
        <v>392961722</v>
      </c>
    </row>
    <row r="2365" spans="1:18">
      <c r="A2365" s="1">
        <v>2</v>
      </c>
      <c r="B2365" s="1" t="str">
        <f>"قطعات و لوازم يدكي"</f>
        <v>قطعات و لوازم يدكي</v>
      </c>
      <c r="C2365" s="1">
        <v>205</v>
      </c>
      <c r="D2365" s="1" t="str">
        <f>"انبار قطعات و لوازم يدكي بندرعباس"</f>
        <v>انبار قطعات و لوازم يدكي بندرعباس</v>
      </c>
      <c r="E2365" s="1" t="str">
        <f>"1800000699"</f>
        <v>1800000699</v>
      </c>
      <c r="F2365" s="1" t="str">
        <f>"radial groove ball bearing - 170"</f>
        <v>radial groove ball bearing - 170</v>
      </c>
      <c r="G2365" s="1" t="str">
        <f>"عدد"</f>
        <v>عدد</v>
      </c>
      <c r="H2365" s="1">
        <v>3</v>
      </c>
      <c r="I2365" s="1">
        <v>8770590</v>
      </c>
      <c r="J2365" s="1">
        <v>0</v>
      </c>
      <c r="K2365" s="1">
        <v>0</v>
      </c>
      <c r="L2365" s="1">
        <v>0</v>
      </c>
      <c r="M2365" s="1">
        <v>0</v>
      </c>
      <c r="O2365" s="1">
        <v>97</v>
      </c>
      <c r="P2365" s="4">
        <f t="shared" si="108"/>
        <v>8770590</v>
      </c>
      <c r="Q2365" s="4">
        <f t="shared" si="109"/>
        <v>3</v>
      </c>
      <c r="R2365" s="4">
        <f t="shared" si="110"/>
        <v>2923530</v>
      </c>
    </row>
    <row r="2366" spans="1:18">
      <c r="A2366" s="1">
        <v>2</v>
      </c>
      <c r="B2366" s="1" t="str">
        <f>"قطعات و لوازم يدكي"</f>
        <v>قطعات و لوازم يدكي</v>
      </c>
      <c r="C2366" s="1">
        <v>205</v>
      </c>
      <c r="D2366" s="1" t="str">
        <f>"انبار قطعات و لوازم يدكي بندرعباس"</f>
        <v>انبار قطعات و لوازم يدكي بندرعباس</v>
      </c>
      <c r="E2366" s="1" t="str">
        <f>"1800000700"</f>
        <v>1800000700</v>
      </c>
      <c r="F2366" s="1" t="str">
        <f>"shaft collar-106"</f>
        <v>shaft collar-106</v>
      </c>
      <c r="G2366" s="1" t="str">
        <f>"عدد"</f>
        <v>عدد</v>
      </c>
      <c r="H2366" s="1">
        <v>1</v>
      </c>
      <c r="I2366" s="1">
        <v>36734790</v>
      </c>
      <c r="J2366" s="1">
        <v>0</v>
      </c>
      <c r="K2366" s="1">
        <v>0</v>
      </c>
      <c r="L2366" s="1">
        <v>0</v>
      </c>
      <c r="M2366" s="1">
        <v>0</v>
      </c>
      <c r="O2366" s="1">
        <v>97</v>
      </c>
      <c r="P2366" s="4">
        <f t="shared" si="108"/>
        <v>36734790</v>
      </c>
      <c r="Q2366" s="4">
        <f t="shared" si="109"/>
        <v>1</v>
      </c>
      <c r="R2366" s="4">
        <f t="shared" si="110"/>
        <v>36734790</v>
      </c>
    </row>
    <row r="2367" spans="1:18">
      <c r="A2367" s="1">
        <v>2</v>
      </c>
      <c r="B2367" s="1" t="str">
        <f>"قطعات و لوازم يدكي"</f>
        <v>قطعات و لوازم يدكي</v>
      </c>
      <c r="C2367" s="1">
        <v>205</v>
      </c>
      <c r="D2367" s="1" t="str">
        <f>"انبار قطعات و لوازم يدكي بندرعباس"</f>
        <v>انبار قطعات و لوازم يدكي بندرعباس</v>
      </c>
      <c r="E2367" s="1" t="str">
        <f>"1800000703"</f>
        <v>1800000703</v>
      </c>
      <c r="F2367" s="1" t="str">
        <f>"radial groove ball bearing-106"</f>
        <v>radial groove ball bearing-106</v>
      </c>
      <c r="G2367" s="1" t="str">
        <f>"عدد"</f>
        <v>عدد</v>
      </c>
      <c r="H2367" s="1">
        <v>1</v>
      </c>
      <c r="I2367" s="1">
        <v>24574600</v>
      </c>
      <c r="J2367" s="1">
        <v>0</v>
      </c>
      <c r="K2367" s="1">
        <v>0</v>
      </c>
      <c r="L2367" s="1">
        <v>0</v>
      </c>
      <c r="M2367" s="1">
        <v>0</v>
      </c>
      <c r="O2367" s="1">
        <v>97</v>
      </c>
      <c r="P2367" s="4">
        <f t="shared" si="108"/>
        <v>24574600</v>
      </c>
      <c r="Q2367" s="4">
        <f t="shared" si="109"/>
        <v>1</v>
      </c>
      <c r="R2367" s="4">
        <f t="shared" si="110"/>
        <v>24574600</v>
      </c>
    </row>
    <row r="2368" spans="1:18">
      <c r="A2368" s="1">
        <v>2</v>
      </c>
      <c r="B2368" s="1" t="str">
        <f>"قطعات و لوازم يدكي"</f>
        <v>قطعات و لوازم يدكي</v>
      </c>
      <c r="C2368" s="1">
        <v>205</v>
      </c>
      <c r="D2368" s="1" t="str">
        <f>"انبار قطعات و لوازم يدكي بندرعباس"</f>
        <v>انبار قطعات و لوازم يدكي بندرعباس</v>
      </c>
      <c r="E2368" s="1" t="str">
        <f>"1800000710"</f>
        <v>1800000710</v>
      </c>
      <c r="F2368" s="1" t="str">
        <f>"زانو 90 درجه 3 مانيسمان"</f>
        <v>زانو 90 درجه 3 مانيسمان</v>
      </c>
      <c r="G2368" s="1" t="str">
        <f>"عدد"</f>
        <v>عدد</v>
      </c>
      <c r="H2368" s="1">
        <v>1</v>
      </c>
      <c r="I2368" s="1">
        <v>595000</v>
      </c>
      <c r="J2368" s="1">
        <v>0</v>
      </c>
      <c r="K2368" s="1">
        <v>0</v>
      </c>
      <c r="L2368" s="1">
        <v>0</v>
      </c>
      <c r="M2368" s="1">
        <v>0</v>
      </c>
      <c r="O2368" s="1">
        <v>97</v>
      </c>
      <c r="P2368" s="4">
        <f t="shared" si="108"/>
        <v>595000</v>
      </c>
      <c r="Q2368" s="4">
        <f t="shared" si="109"/>
        <v>1</v>
      </c>
      <c r="R2368" s="4">
        <f t="shared" si="110"/>
        <v>595000</v>
      </c>
    </row>
    <row r="2369" spans="1:18">
      <c r="A2369" s="1">
        <v>2</v>
      </c>
      <c r="B2369" s="1" t="str">
        <f>"قطعات و لوازم يدكي"</f>
        <v>قطعات و لوازم يدكي</v>
      </c>
      <c r="C2369" s="1">
        <v>205</v>
      </c>
      <c r="D2369" s="1" t="str">
        <f>"انبار قطعات و لوازم يدكي بندرعباس"</f>
        <v>انبار قطعات و لوازم يدكي بندرعباس</v>
      </c>
      <c r="E2369" s="1" t="str">
        <f>"1800000733"</f>
        <v>1800000733</v>
      </c>
      <c r="F2369" s="1" t="str">
        <f>"شيلنگ فشار قوي"</f>
        <v>شيلنگ فشار قوي</v>
      </c>
      <c r="G2369" s="1" t="str">
        <f>"متر"</f>
        <v>متر</v>
      </c>
      <c r="H2369" s="1">
        <v>1.5</v>
      </c>
      <c r="I2369" s="1">
        <v>300000</v>
      </c>
      <c r="J2369" s="1">
        <v>0</v>
      </c>
      <c r="K2369" s="1">
        <v>0</v>
      </c>
      <c r="L2369" s="1">
        <v>0</v>
      </c>
      <c r="M2369" s="1">
        <v>0</v>
      </c>
      <c r="O2369" s="1">
        <v>97</v>
      </c>
      <c r="P2369" s="4">
        <f t="shared" si="108"/>
        <v>300000</v>
      </c>
      <c r="Q2369" s="4">
        <f t="shared" si="109"/>
        <v>1.5</v>
      </c>
      <c r="R2369" s="4">
        <f t="shared" si="110"/>
        <v>200000</v>
      </c>
    </row>
    <row r="2370" spans="1:18">
      <c r="A2370" s="1">
        <v>2</v>
      </c>
      <c r="B2370" s="1" t="str">
        <f>"قطعات و لوازم يدكي"</f>
        <v>قطعات و لوازم يدكي</v>
      </c>
      <c r="C2370" s="1">
        <v>205</v>
      </c>
      <c r="D2370" s="1" t="str">
        <f>"انبار قطعات و لوازم يدكي بندرعباس"</f>
        <v>انبار قطعات و لوازم يدكي بندرعباس</v>
      </c>
      <c r="E2370" s="1" t="str">
        <f>"1800000736"</f>
        <v>1800000736</v>
      </c>
      <c r="F2370" s="1" t="str">
        <f>"غلتک رنگ 20"</f>
        <v>غلتک رنگ 20</v>
      </c>
      <c r="G2370" s="1" t="str">
        <f>"عدد"</f>
        <v>عدد</v>
      </c>
      <c r="H2370" s="1">
        <v>1</v>
      </c>
      <c r="I2370" s="1">
        <v>130000</v>
      </c>
      <c r="J2370" s="1">
        <v>0</v>
      </c>
      <c r="K2370" s="1">
        <v>0</v>
      </c>
      <c r="L2370" s="1">
        <v>0</v>
      </c>
      <c r="M2370" s="1">
        <v>0</v>
      </c>
      <c r="O2370" s="1">
        <v>97</v>
      </c>
      <c r="P2370" s="4">
        <f t="shared" si="108"/>
        <v>130000</v>
      </c>
      <c r="Q2370" s="4">
        <f t="shared" si="109"/>
        <v>1</v>
      </c>
      <c r="R2370" s="4">
        <f t="shared" si="110"/>
        <v>130000</v>
      </c>
    </row>
    <row r="2371" spans="1:18" hidden="1">
      <c r="A2371" s="1">
        <v>2</v>
      </c>
      <c r="B2371" s="1" t="str">
        <f>"قطعات و لوازم يدكي"</f>
        <v>قطعات و لوازم يدكي</v>
      </c>
      <c r="C2371" s="1">
        <v>205</v>
      </c>
      <c r="D2371" s="1" t="str">
        <f>"انبار قطعات و لوازم يدكي بندرعباس"</f>
        <v>انبار قطعات و لوازم يدكي بندرعباس</v>
      </c>
      <c r="E2371" s="1" t="str">
        <f>"1800000739"</f>
        <v>1800000739</v>
      </c>
      <c r="F2371" s="1" t="str">
        <f>"فيش نري مادگي"</f>
        <v>فيش نري مادگي</v>
      </c>
      <c r="G2371" s="1" t="str">
        <f>"عدد"</f>
        <v>عدد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</v>
      </c>
      <c r="O2371" s="1">
        <v>97</v>
      </c>
      <c r="P2371" s="1">
        <f t="shared" ref="P2371:P2434" si="111">I2371+K2371-M2371</f>
        <v>0</v>
      </c>
      <c r="Q2371" s="1">
        <f t="shared" ref="Q2371:Q2434" si="112">H2371+J2371-L2371</f>
        <v>0</v>
      </c>
      <c r="R2371" s="1" t="e">
        <f t="shared" ref="R2371:R2434" si="113">P2371/Q2371</f>
        <v>#DIV/0!</v>
      </c>
    </row>
    <row r="2372" spans="1:18" hidden="1">
      <c r="A2372" s="1">
        <v>2</v>
      </c>
      <c r="B2372" s="1" t="str">
        <f>"قطعات و لوازم يدكي"</f>
        <v>قطعات و لوازم يدكي</v>
      </c>
      <c r="C2372" s="1">
        <v>205</v>
      </c>
      <c r="D2372" s="1" t="str">
        <f>"انبار قطعات و لوازم يدكي بندرعباس"</f>
        <v>انبار قطعات و لوازم يدكي بندرعباس</v>
      </c>
      <c r="E2372" s="1" t="str">
        <f>"1800000746"</f>
        <v>1800000746</v>
      </c>
      <c r="F2372" s="1" t="str">
        <f>"نخ نسوز 10"</f>
        <v>نخ نسوز 10</v>
      </c>
      <c r="G2372" s="1" t="str">
        <f>"متر"</f>
        <v>متر</v>
      </c>
      <c r="H2372" s="1">
        <v>0</v>
      </c>
      <c r="I2372" s="1">
        <v>0</v>
      </c>
      <c r="J2372" s="1">
        <v>20</v>
      </c>
      <c r="K2372" s="1">
        <v>2750000</v>
      </c>
      <c r="L2372" s="1">
        <v>20</v>
      </c>
      <c r="M2372" s="1">
        <v>2750000</v>
      </c>
      <c r="O2372" s="1">
        <v>97</v>
      </c>
      <c r="P2372" s="1">
        <f t="shared" si="111"/>
        <v>0</v>
      </c>
      <c r="Q2372" s="1">
        <f t="shared" si="112"/>
        <v>0</v>
      </c>
      <c r="R2372" s="1" t="e">
        <f t="shared" si="113"/>
        <v>#DIV/0!</v>
      </c>
    </row>
    <row r="2373" spans="1:18">
      <c r="A2373" s="1">
        <v>2</v>
      </c>
      <c r="B2373" s="1" t="str">
        <f>"قطعات و لوازم يدكي"</f>
        <v>قطعات و لوازم يدكي</v>
      </c>
      <c r="C2373" s="1">
        <v>205</v>
      </c>
      <c r="D2373" s="1" t="str">
        <f>"انبار قطعات و لوازم يدكي بندرعباس"</f>
        <v>انبار قطعات و لوازم يدكي بندرعباس</v>
      </c>
      <c r="E2373" s="1" t="str">
        <f>"1800000762"</f>
        <v>1800000762</v>
      </c>
      <c r="F2373" s="1" t="str">
        <f>"ترمينال شاخه اي 10"</f>
        <v>ترمينال شاخه اي 10</v>
      </c>
      <c r="G2373" s="1" t="str">
        <f>"شاخه"</f>
        <v>شاخه</v>
      </c>
      <c r="H2373" s="1">
        <v>0</v>
      </c>
      <c r="I2373" s="1">
        <v>0</v>
      </c>
      <c r="J2373" s="1">
        <v>5</v>
      </c>
      <c r="K2373" s="1">
        <v>325000</v>
      </c>
      <c r="L2373" s="1">
        <v>0</v>
      </c>
      <c r="M2373" s="1">
        <v>0</v>
      </c>
      <c r="O2373" s="1">
        <v>97</v>
      </c>
      <c r="P2373" s="4">
        <f t="shared" si="111"/>
        <v>325000</v>
      </c>
      <c r="Q2373" s="4">
        <f t="shared" si="112"/>
        <v>5</v>
      </c>
      <c r="R2373" s="4">
        <f t="shared" si="113"/>
        <v>65000</v>
      </c>
    </row>
    <row r="2374" spans="1:18">
      <c r="A2374" s="1">
        <v>2</v>
      </c>
      <c r="B2374" s="1" t="str">
        <f>"قطعات و لوازم يدكي"</f>
        <v>قطعات و لوازم يدكي</v>
      </c>
      <c r="C2374" s="1">
        <v>205</v>
      </c>
      <c r="D2374" s="1" t="str">
        <f>"انبار قطعات و لوازم يدكي بندرعباس"</f>
        <v>انبار قطعات و لوازم يدكي بندرعباس</v>
      </c>
      <c r="E2374" s="1" t="str">
        <f>"1800000763"</f>
        <v>1800000763</v>
      </c>
      <c r="F2374" s="1" t="str">
        <f>"ترمينال شاخه اي 35"</f>
        <v>ترمينال شاخه اي 35</v>
      </c>
      <c r="G2374" s="1" t="str">
        <f>"شاخه"</f>
        <v>شاخه</v>
      </c>
      <c r="H2374" s="1">
        <v>0</v>
      </c>
      <c r="I2374" s="1">
        <v>0</v>
      </c>
      <c r="J2374" s="1">
        <v>2</v>
      </c>
      <c r="K2374" s="1">
        <v>230000</v>
      </c>
      <c r="L2374" s="1">
        <v>1</v>
      </c>
      <c r="M2374" s="1">
        <v>115000</v>
      </c>
      <c r="O2374" s="1">
        <v>97</v>
      </c>
      <c r="P2374" s="4">
        <f t="shared" si="111"/>
        <v>115000</v>
      </c>
      <c r="Q2374" s="4">
        <f t="shared" si="112"/>
        <v>1</v>
      </c>
      <c r="R2374" s="4">
        <f t="shared" si="113"/>
        <v>115000</v>
      </c>
    </row>
    <row r="2375" spans="1:18">
      <c r="A2375" s="1">
        <v>2</v>
      </c>
      <c r="B2375" s="1" t="str">
        <f>"قطعات و لوازم يدكي"</f>
        <v>قطعات و لوازم يدكي</v>
      </c>
      <c r="C2375" s="1">
        <v>205</v>
      </c>
      <c r="D2375" s="1" t="str">
        <f>"انبار قطعات و لوازم يدكي بندرعباس"</f>
        <v>انبار قطعات و لوازم يدكي بندرعباس</v>
      </c>
      <c r="E2375" s="1" t="str">
        <f>"1800000770"</f>
        <v>1800000770</v>
      </c>
      <c r="F2375" s="1" t="str">
        <f>"پارچه تنظيف"</f>
        <v>پارچه تنظيف</v>
      </c>
      <c r="G2375" s="1" t="str">
        <f>"رول"</f>
        <v>رول</v>
      </c>
      <c r="H2375" s="1">
        <v>0</v>
      </c>
      <c r="I2375" s="1">
        <v>0</v>
      </c>
      <c r="J2375" s="1">
        <v>8</v>
      </c>
      <c r="K2375" s="1">
        <v>4850000</v>
      </c>
      <c r="L2375" s="1">
        <v>6</v>
      </c>
      <c r="M2375" s="1">
        <v>2776000</v>
      </c>
      <c r="O2375" s="1">
        <v>97</v>
      </c>
      <c r="P2375" s="4">
        <f t="shared" si="111"/>
        <v>2074000</v>
      </c>
      <c r="Q2375" s="4">
        <f t="shared" si="112"/>
        <v>2</v>
      </c>
      <c r="R2375" s="4">
        <f t="shared" si="113"/>
        <v>1037000</v>
      </c>
    </row>
    <row r="2376" spans="1:18">
      <c r="A2376" s="1">
        <v>2</v>
      </c>
      <c r="B2376" s="1" t="str">
        <f>"قطعات و لوازم يدكي"</f>
        <v>قطعات و لوازم يدكي</v>
      </c>
      <c r="C2376" s="1">
        <v>101</v>
      </c>
      <c r="D2376" s="1" t="str">
        <f>"انبار قطعات و لوازم يدكي اصفهان"</f>
        <v>انبار قطعات و لوازم يدكي اصفهان</v>
      </c>
      <c r="E2376" s="1" t="str">
        <f>"8180800012"</f>
        <v>8180800012</v>
      </c>
      <c r="F2376" s="1" t="str">
        <f>"V-LUG  1INCH"</f>
        <v>V-LUG  1INCH</v>
      </c>
      <c r="G2376" s="1" t="str">
        <f>"عدد"</f>
        <v>عدد</v>
      </c>
      <c r="H2376" s="1">
        <v>3700</v>
      </c>
      <c r="I2376" s="1">
        <v>27750000</v>
      </c>
      <c r="J2376" s="1">
        <v>0</v>
      </c>
      <c r="K2376" s="1">
        <v>0</v>
      </c>
      <c r="L2376" s="1">
        <v>100</v>
      </c>
      <c r="M2376" s="1">
        <v>750000</v>
      </c>
      <c r="O2376" s="1">
        <v>97</v>
      </c>
      <c r="P2376" s="4">
        <f t="shared" si="111"/>
        <v>27000000</v>
      </c>
      <c r="Q2376" s="4">
        <f t="shared" si="112"/>
        <v>3600</v>
      </c>
      <c r="R2376" s="4">
        <f t="shared" si="113"/>
        <v>7500</v>
      </c>
    </row>
    <row r="2377" spans="1:18">
      <c r="A2377" s="1">
        <v>2</v>
      </c>
      <c r="B2377" s="1" t="str">
        <f>"قطعات و لوازم يدكي"</f>
        <v>قطعات و لوازم يدكي</v>
      </c>
      <c r="C2377" s="1">
        <v>101</v>
      </c>
      <c r="D2377" s="1" t="str">
        <f>"انبار قطعات و لوازم يدكي اصفهان"</f>
        <v>انبار قطعات و لوازم يدكي اصفهان</v>
      </c>
      <c r="E2377" s="1" t="str">
        <f>"8300000032"</f>
        <v>8300000032</v>
      </c>
      <c r="F2377" s="1" t="str">
        <f>"تيوپ اكس پنل 1*14G"</f>
        <v>تيوپ اكس پنل 1*14G</v>
      </c>
      <c r="G2377" s="1" t="str">
        <f>"عدد"</f>
        <v>عدد</v>
      </c>
      <c r="H2377" s="1">
        <v>1</v>
      </c>
      <c r="I2377" s="1">
        <v>2250000</v>
      </c>
      <c r="J2377" s="1">
        <v>0</v>
      </c>
      <c r="K2377" s="1">
        <v>0</v>
      </c>
      <c r="L2377" s="1">
        <v>0</v>
      </c>
      <c r="M2377" s="1">
        <v>0</v>
      </c>
      <c r="O2377" s="1">
        <v>97</v>
      </c>
      <c r="P2377" s="4">
        <f t="shared" si="111"/>
        <v>2250000</v>
      </c>
      <c r="Q2377" s="4">
        <f t="shared" si="112"/>
        <v>1</v>
      </c>
      <c r="R2377" s="4">
        <f t="shared" si="113"/>
        <v>2250000</v>
      </c>
    </row>
    <row r="2378" spans="1:18" hidden="1">
      <c r="A2378" s="1">
        <v>2</v>
      </c>
      <c r="B2378" s="1" t="str">
        <f>"قطعات و لوازم يدكي"</f>
        <v>قطعات و لوازم يدكي</v>
      </c>
      <c r="C2378" s="1">
        <v>101</v>
      </c>
      <c r="D2378" s="1" t="str">
        <f>"انبار قطعات و لوازم يدكي اصفهان"</f>
        <v>انبار قطعات و لوازم يدكي اصفهان</v>
      </c>
      <c r="E2378" s="1" t="str">
        <f>"8300000042"</f>
        <v>8300000042</v>
      </c>
      <c r="F2378" s="1" t="str">
        <f>"کربن فيلتر"</f>
        <v>کربن فيلتر</v>
      </c>
      <c r="G2378" s="1" t="str">
        <f>"عدد"</f>
        <v>عدد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O2378" s="1">
        <v>97</v>
      </c>
      <c r="P2378" s="1">
        <f t="shared" si="111"/>
        <v>0</v>
      </c>
      <c r="Q2378" s="1">
        <f t="shared" si="112"/>
        <v>0</v>
      </c>
      <c r="R2378" s="1" t="e">
        <f t="shared" si="113"/>
        <v>#DIV/0!</v>
      </c>
    </row>
    <row r="2379" spans="1:18">
      <c r="A2379" s="1">
        <v>2</v>
      </c>
      <c r="B2379" s="1" t="str">
        <f>"قطعات و لوازم يدكي"</f>
        <v>قطعات و لوازم يدكي</v>
      </c>
      <c r="C2379" s="1">
        <v>101</v>
      </c>
      <c r="D2379" s="1" t="str">
        <f>"انبار قطعات و لوازم يدكي اصفهان"</f>
        <v>انبار قطعات و لوازم يدكي اصفهان</v>
      </c>
      <c r="E2379" s="1" t="str">
        <f>"8301010222"</f>
        <v>8301010222</v>
      </c>
      <c r="F2379" s="1" t="str">
        <f>"فيلتر  هواکش 1003A/B"</f>
        <v>فيلتر  هواکش 1003A/B</v>
      </c>
      <c r="G2379" s="1" t="str">
        <f>"عدد"</f>
        <v>عدد</v>
      </c>
      <c r="H2379" s="1">
        <v>3</v>
      </c>
      <c r="I2379" s="1">
        <v>300000</v>
      </c>
      <c r="J2379" s="1">
        <v>0</v>
      </c>
      <c r="K2379" s="1">
        <v>0</v>
      </c>
      <c r="L2379" s="1">
        <v>1</v>
      </c>
      <c r="M2379" s="1">
        <v>100000</v>
      </c>
      <c r="O2379" s="1">
        <v>97</v>
      </c>
      <c r="P2379" s="4">
        <f t="shared" si="111"/>
        <v>200000</v>
      </c>
      <c r="Q2379" s="4">
        <f t="shared" si="112"/>
        <v>2</v>
      </c>
      <c r="R2379" s="4">
        <f t="shared" si="113"/>
        <v>100000</v>
      </c>
    </row>
    <row r="2380" spans="1:18" hidden="1">
      <c r="A2380" s="1">
        <v>2</v>
      </c>
      <c r="B2380" s="1" t="str">
        <f>"قطعات و لوازم يدكي"</f>
        <v>قطعات و لوازم يدكي</v>
      </c>
      <c r="C2380" s="1">
        <v>101</v>
      </c>
      <c r="D2380" s="1" t="str">
        <f>"انبار قطعات و لوازم يدكي اصفهان"</f>
        <v>انبار قطعات و لوازم يدكي اصفهان</v>
      </c>
      <c r="E2380" s="1" t="str">
        <f>"8301010332"</f>
        <v>8301010332</v>
      </c>
      <c r="F2380" s="1" t="str">
        <f>"چرخ گردان 15 سانتي گردان"</f>
        <v>چرخ گردان 15 سانتي گردان</v>
      </c>
      <c r="G2380" s="1" t="str">
        <f>"عدد"</f>
        <v>عدد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O2380" s="1">
        <v>97</v>
      </c>
      <c r="P2380" s="1">
        <f t="shared" si="111"/>
        <v>0</v>
      </c>
      <c r="Q2380" s="1">
        <f t="shared" si="112"/>
        <v>0</v>
      </c>
      <c r="R2380" s="1" t="e">
        <f t="shared" si="113"/>
        <v>#DIV/0!</v>
      </c>
    </row>
    <row r="2381" spans="1:18" hidden="1">
      <c r="A2381" s="1">
        <v>2</v>
      </c>
      <c r="B2381" s="1" t="str">
        <f>"قطعات و لوازم يدكي"</f>
        <v>قطعات و لوازم يدكي</v>
      </c>
      <c r="C2381" s="1">
        <v>101</v>
      </c>
      <c r="D2381" s="1" t="str">
        <f>"انبار قطعات و لوازم يدكي اصفهان"</f>
        <v>انبار قطعات و لوازم يدكي اصفهان</v>
      </c>
      <c r="E2381" s="1" t="str">
        <f>"8301010342"</f>
        <v>8301010342</v>
      </c>
      <c r="F2381" s="1" t="str">
        <f>"چرخ  20 سانتي ثابت"</f>
        <v>چرخ  20 سانتي ثابت</v>
      </c>
      <c r="G2381" s="1" t="str">
        <f>"عدد"</f>
        <v>عدد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O2381" s="1">
        <v>97</v>
      </c>
      <c r="P2381" s="1">
        <f t="shared" si="111"/>
        <v>0</v>
      </c>
      <c r="Q2381" s="1">
        <f t="shared" si="112"/>
        <v>0</v>
      </c>
      <c r="R2381" s="1" t="e">
        <f t="shared" si="113"/>
        <v>#DIV/0!</v>
      </c>
    </row>
    <row r="2382" spans="1:18">
      <c r="A2382" s="1">
        <v>2</v>
      </c>
      <c r="B2382" s="1" t="str">
        <f>"قطعات و لوازم يدكي"</f>
        <v>قطعات و لوازم يدكي</v>
      </c>
      <c r="C2382" s="1">
        <v>101</v>
      </c>
      <c r="D2382" s="1" t="str">
        <f>"انبار قطعات و لوازم يدكي اصفهان"</f>
        <v>انبار قطعات و لوازم يدكي اصفهان</v>
      </c>
      <c r="E2382" s="1" t="str">
        <f>"8541200082"</f>
        <v>8541200082</v>
      </c>
      <c r="F2382" s="1" t="str">
        <f>"واشر يونيون 1 اينچ"</f>
        <v>واشر يونيون 1 اينچ</v>
      </c>
      <c r="G2382" s="1" t="str">
        <f>"عدد"</f>
        <v>عدد</v>
      </c>
      <c r="H2382" s="1">
        <v>0</v>
      </c>
      <c r="I2382" s="1">
        <v>0</v>
      </c>
      <c r="J2382" s="1">
        <v>200</v>
      </c>
      <c r="K2382" s="1">
        <v>25272000</v>
      </c>
      <c r="L2382" s="1">
        <v>3</v>
      </c>
      <c r="M2382" s="1">
        <v>379080</v>
      </c>
      <c r="O2382" s="1">
        <v>97</v>
      </c>
      <c r="P2382" s="4">
        <f t="shared" si="111"/>
        <v>24892920</v>
      </c>
      <c r="Q2382" s="4">
        <f t="shared" si="112"/>
        <v>197</v>
      </c>
      <c r="R2382" s="4">
        <f t="shared" si="113"/>
        <v>126360</v>
      </c>
    </row>
    <row r="2383" spans="1:18">
      <c r="A2383" s="1">
        <v>2</v>
      </c>
      <c r="B2383" s="1" t="str">
        <f>"قطعات و لوازم يدكي"</f>
        <v>قطعات و لوازم يدكي</v>
      </c>
      <c r="C2383" s="1">
        <v>101</v>
      </c>
      <c r="D2383" s="1" t="str">
        <f>"انبار قطعات و لوازم يدكي اصفهان"</f>
        <v>انبار قطعات و لوازم يدكي اصفهان</v>
      </c>
      <c r="E2383" s="1" t="str">
        <f>"8541201022"</f>
        <v>8541201022</v>
      </c>
      <c r="F2383" s="1" t="str">
        <f>"گسکنت بانت ولو 3ينچ کلاس 300"</f>
        <v>گسکنت بانت ولو 3ينچ کلاس 300</v>
      </c>
      <c r="G2383" s="1" t="str">
        <f>"عدد"</f>
        <v>عدد</v>
      </c>
      <c r="H2383" s="1">
        <v>8</v>
      </c>
      <c r="I2383" s="1">
        <v>1600000</v>
      </c>
      <c r="J2383" s="1">
        <v>0</v>
      </c>
      <c r="K2383" s="1">
        <v>0</v>
      </c>
      <c r="L2383" s="1">
        <v>0</v>
      </c>
      <c r="M2383" s="1">
        <v>0</v>
      </c>
      <c r="O2383" s="1">
        <v>97</v>
      </c>
      <c r="P2383" s="4">
        <f t="shared" si="111"/>
        <v>1600000</v>
      </c>
      <c r="Q2383" s="4">
        <f t="shared" si="112"/>
        <v>8</v>
      </c>
      <c r="R2383" s="4">
        <f t="shared" si="113"/>
        <v>200000</v>
      </c>
    </row>
    <row r="2384" spans="1:18">
      <c r="A2384" s="1">
        <v>2</v>
      </c>
      <c r="B2384" s="1" t="str">
        <f>"قطعات و لوازم يدكي"</f>
        <v>قطعات و لوازم يدكي</v>
      </c>
      <c r="C2384" s="1">
        <v>101</v>
      </c>
      <c r="D2384" s="1" t="str">
        <f>"انبار قطعات و لوازم يدكي اصفهان"</f>
        <v>انبار قطعات و لوازم يدكي اصفهان</v>
      </c>
      <c r="E2384" s="1" t="str">
        <f>"8541201032"</f>
        <v>8541201032</v>
      </c>
      <c r="F2384" s="1" t="str">
        <f>"گسکت بانت ولو 4 اينچ کلاس 300"</f>
        <v>گسکت بانت ولو 4 اينچ کلاس 300</v>
      </c>
      <c r="G2384" s="1" t="str">
        <f>"عدد"</f>
        <v>عدد</v>
      </c>
      <c r="H2384" s="1">
        <v>8</v>
      </c>
      <c r="I2384" s="1">
        <v>1600000</v>
      </c>
      <c r="J2384" s="1">
        <v>0</v>
      </c>
      <c r="K2384" s="1">
        <v>0</v>
      </c>
      <c r="L2384" s="1">
        <v>0</v>
      </c>
      <c r="M2384" s="1">
        <v>0</v>
      </c>
      <c r="O2384" s="1">
        <v>97</v>
      </c>
      <c r="P2384" s="4">
        <f t="shared" si="111"/>
        <v>1600000</v>
      </c>
      <c r="Q2384" s="4">
        <f t="shared" si="112"/>
        <v>8</v>
      </c>
      <c r="R2384" s="4">
        <f t="shared" si="113"/>
        <v>200000</v>
      </c>
    </row>
    <row r="2385" spans="1:18">
      <c r="A2385" s="1">
        <v>2</v>
      </c>
      <c r="B2385" s="1" t="str">
        <f>"قطعات و لوازم يدكي"</f>
        <v>قطعات و لوازم يدكي</v>
      </c>
      <c r="C2385" s="1">
        <v>101</v>
      </c>
      <c r="D2385" s="1" t="str">
        <f>"انبار قطعات و لوازم يدكي اصفهان"</f>
        <v>انبار قطعات و لوازم يدكي اصفهان</v>
      </c>
      <c r="E2385" s="1" t="str">
        <f>"8541201122"</f>
        <v>8541201122</v>
      </c>
      <c r="F2385" s="1" t="s">
        <v>143</v>
      </c>
      <c r="G2385" s="1" t="str">
        <f>"عدد"</f>
        <v>عدد</v>
      </c>
      <c r="H2385" s="1">
        <v>4</v>
      </c>
      <c r="I2385" s="1">
        <v>64000</v>
      </c>
      <c r="J2385" s="1">
        <v>0</v>
      </c>
      <c r="K2385" s="1">
        <v>0</v>
      </c>
      <c r="L2385" s="1">
        <v>0</v>
      </c>
      <c r="M2385" s="1">
        <v>0</v>
      </c>
      <c r="O2385" s="1">
        <v>97</v>
      </c>
      <c r="P2385" s="4">
        <f t="shared" si="111"/>
        <v>64000</v>
      </c>
      <c r="Q2385" s="4">
        <f t="shared" si="112"/>
        <v>4</v>
      </c>
      <c r="R2385" s="4">
        <f t="shared" si="113"/>
        <v>16000</v>
      </c>
    </row>
    <row r="2386" spans="1:18">
      <c r="A2386" s="1">
        <v>2</v>
      </c>
      <c r="B2386" s="1" t="str">
        <f>"قطعات و لوازم يدكي"</f>
        <v>قطعات و لوازم يدكي</v>
      </c>
      <c r="C2386" s="1">
        <v>101</v>
      </c>
      <c r="D2386" s="1" t="str">
        <f>"انبار قطعات و لوازم يدكي اصفهان"</f>
        <v>انبار قطعات و لوازم يدكي اصفهان</v>
      </c>
      <c r="E2386" s="1" t="str">
        <f>"8541330242"</f>
        <v>8541330242</v>
      </c>
      <c r="F2386" s="1" t="s">
        <v>144</v>
      </c>
      <c r="G2386" s="1" t="str">
        <f>"عدد"</f>
        <v>عدد</v>
      </c>
      <c r="H2386" s="1">
        <v>74</v>
      </c>
      <c r="I2386" s="1">
        <v>2883162</v>
      </c>
      <c r="J2386" s="1">
        <v>231</v>
      </c>
      <c r="K2386" s="1">
        <v>28620000</v>
      </c>
      <c r="L2386" s="1">
        <v>83</v>
      </c>
      <c r="M2386" s="1">
        <v>7569325</v>
      </c>
      <c r="O2386" s="1">
        <v>97</v>
      </c>
      <c r="P2386" s="4">
        <f t="shared" si="111"/>
        <v>23933837</v>
      </c>
      <c r="Q2386" s="4">
        <f t="shared" si="112"/>
        <v>222</v>
      </c>
      <c r="R2386" s="4">
        <f t="shared" si="113"/>
        <v>107810.07657657658</v>
      </c>
    </row>
    <row r="2387" spans="1:18">
      <c r="A2387" s="1">
        <v>2</v>
      </c>
      <c r="B2387" s="1" t="str">
        <f>"قطعات و لوازم يدكي"</f>
        <v>قطعات و لوازم يدكي</v>
      </c>
      <c r="C2387" s="1">
        <v>101</v>
      </c>
      <c r="D2387" s="1" t="str">
        <f>"انبار قطعات و لوازم يدكي اصفهان"</f>
        <v>انبار قطعات و لوازم يدكي اصفهان</v>
      </c>
      <c r="E2387" s="1" t="str">
        <f>"8541330422"</f>
        <v>8541330422</v>
      </c>
      <c r="F2387" s="1" t="s">
        <v>145</v>
      </c>
      <c r="G2387" s="1" t="str">
        <f>"عدد"</f>
        <v>عدد</v>
      </c>
      <c r="H2387" s="1">
        <v>10</v>
      </c>
      <c r="I2387" s="1">
        <v>4656963</v>
      </c>
      <c r="J2387" s="1">
        <v>34</v>
      </c>
      <c r="K2387" s="1">
        <v>40076320</v>
      </c>
      <c r="L2387" s="1">
        <v>18</v>
      </c>
      <c r="M2387" s="1">
        <v>5050868</v>
      </c>
      <c r="O2387" s="1">
        <v>97</v>
      </c>
      <c r="P2387" s="4">
        <f t="shared" si="111"/>
        <v>39682415</v>
      </c>
      <c r="Q2387" s="4">
        <f t="shared" si="112"/>
        <v>26</v>
      </c>
      <c r="R2387" s="4">
        <f t="shared" si="113"/>
        <v>1526246.7307692308</v>
      </c>
    </row>
    <row r="2388" spans="1:18" hidden="1">
      <c r="A2388" s="1">
        <v>2</v>
      </c>
      <c r="B2388" s="1" t="str">
        <f>"قطعات و لوازم يدكي"</f>
        <v>قطعات و لوازم يدكي</v>
      </c>
      <c r="C2388" s="1">
        <v>101</v>
      </c>
      <c r="D2388" s="1" t="str">
        <f>"انبار قطعات و لوازم يدكي اصفهان"</f>
        <v>انبار قطعات و لوازم يدكي اصفهان</v>
      </c>
      <c r="E2388" s="1" t="str">
        <f>"8574402062"</f>
        <v>8574402062</v>
      </c>
      <c r="F2388" s="1" t="str">
        <f>"عايق پتوئي(ايزوبلانکت)"</f>
        <v>عايق پتوئي(ايزوبلانکت)</v>
      </c>
      <c r="G2388" s="1" t="str">
        <f>"متر"</f>
        <v>متر</v>
      </c>
      <c r="H2388" s="1">
        <v>0</v>
      </c>
      <c r="I2388" s="1">
        <v>0</v>
      </c>
      <c r="J2388" s="1">
        <v>60</v>
      </c>
      <c r="K2388" s="1">
        <v>21300000</v>
      </c>
      <c r="L2388" s="1">
        <v>60</v>
      </c>
      <c r="M2388" s="1">
        <v>21300000</v>
      </c>
      <c r="O2388" s="1">
        <v>97</v>
      </c>
      <c r="P2388" s="1">
        <f t="shared" si="111"/>
        <v>0</v>
      </c>
      <c r="Q2388" s="1">
        <f t="shared" si="112"/>
        <v>0</v>
      </c>
      <c r="R2388" s="1" t="e">
        <f t="shared" si="113"/>
        <v>#DIV/0!</v>
      </c>
    </row>
    <row r="2389" spans="1:18" hidden="1">
      <c r="A2389" s="1">
        <v>2</v>
      </c>
      <c r="B2389" s="1" t="str">
        <f>"قطعات و لوازم يدكي"</f>
        <v>قطعات و لوازم يدكي</v>
      </c>
      <c r="C2389" s="1">
        <v>101</v>
      </c>
      <c r="D2389" s="1" t="str">
        <f>"انبار قطعات و لوازم يدكي اصفهان"</f>
        <v>انبار قطعات و لوازم يدكي اصفهان</v>
      </c>
      <c r="E2389" s="1" t="str">
        <f>"8574402072"</f>
        <v>8574402072</v>
      </c>
      <c r="F2389" s="1" t="str">
        <f>"ورق کرکره ايي 8/ گام 32"</f>
        <v>ورق کرکره ايي 8/ گام 32</v>
      </c>
      <c r="G2389" s="1" t="str">
        <f>"مترمربع"</f>
        <v>مترمربع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O2389" s="1">
        <v>97</v>
      </c>
      <c r="P2389" s="1">
        <f t="shared" si="111"/>
        <v>0</v>
      </c>
      <c r="Q2389" s="1">
        <f t="shared" si="112"/>
        <v>0</v>
      </c>
      <c r="R2389" s="1" t="e">
        <f t="shared" si="113"/>
        <v>#DIV/0!</v>
      </c>
    </row>
    <row r="2390" spans="1:18" hidden="1">
      <c r="A2390" s="1">
        <v>2</v>
      </c>
      <c r="B2390" s="1" t="str">
        <f>"قطعات و لوازم يدكي"</f>
        <v>قطعات و لوازم يدكي</v>
      </c>
      <c r="C2390" s="1">
        <v>101</v>
      </c>
      <c r="D2390" s="1" t="str">
        <f>"انبار قطعات و لوازم يدكي اصفهان"</f>
        <v>انبار قطعات و لوازم يدكي اصفهان</v>
      </c>
      <c r="E2390" s="1" t="str">
        <f>"8574402112"</f>
        <v>8574402112</v>
      </c>
      <c r="F2390" s="1" t="str">
        <f>"تسمه استيل شماره 19"</f>
        <v>تسمه استيل شماره 19</v>
      </c>
      <c r="G2390" s="1" t="str">
        <f>"كيلوگرم"</f>
        <v>كيلوگرم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O2390" s="1">
        <v>97</v>
      </c>
      <c r="P2390" s="1">
        <f t="shared" si="111"/>
        <v>0</v>
      </c>
      <c r="Q2390" s="1">
        <f t="shared" si="112"/>
        <v>0</v>
      </c>
      <c r="R2390" s="1" t="e">
        <f t="shared" si="113"/>
        <v>#DIV/0!</v>
      </c>
    </row>
    <row r="2391" spans="1:18" hidden="1">
      <c r="A2391" s="1">
        <v>2</v>
      </c>
      <c r="B2391" s="1" t="str">
        <f>"قطعات و لوازم يدكي"</f>
        <v>قطعات و لوازم يدكي</v>
      </c>
      <c r="C2391" s="1">
        <v>101</v>
      </c>
      <c r="D2391" s="1" t="str">
        <f>"انبار قطعات و لوازم يدكي اصفهان"</f>
        <v>انبار قطعات و لوازم يدكي اصفهان</v>
      </c>
      <c r="E2391" s="1" t="str">
        <f>"8574402222"</f>
        <v>8574402222</v>
      </c>
      <c r="F2391" s="1" t="str">
        <f>"سيم  گالوانيزه به قطر 1 ميليمتر"</f>
        <v>سيم  گالوانيزه به قطر 1 ميليمتر</v>
      </c>
      <c r="G2391" s="1" t="str">
        <f>"متر"</f>
        <v>متر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O2391" s="1">
        <v>97</v>
      </c>
      <c r="P2391" s="1">
        <f t="shared" si="111"/>
        <v>0</v>
      </c>
      <c r="Q2391" s="1">
        <f t="shared" si="112"/>
        <v>0</v>
      </c>
      <c r="R2391" s="1" t="e">
        <f t="shared" si="113"/>
        <v>#DIV/0!</v>
      </c>
    </row>
    <row r="2392" spans="1:18">
      <c r="A2392" s="1">
        <v>2</v>
      </c>
      <c r="B2392" s="1" t="str">
        <f>"قطعات و لوازم يدكي"</f>
        <v>قطعات و لوازم يدكي</v>
      </c>
      <c r="C2392" s="1">
        <v>101</v>
      </c>
      <c r="D2392" s="1" t="str">
        <f>"انبار قطعات و لوازم يدكي اصفهان"</f>
        <v>انبار قطعات و لوازم يدكي اصفهان</v>
      </c>
      <c r="E2392" s="1" t="str">
        <f>"8701021032"</f>
        <v>8701021032</v>
      </c>
      <c r="F2392" s="1" t="str">
        <f>"MOLYKOTE  P3"</f>
        <v>MOLYKOTE  P3</v>
      </c>
      <c r="G2392" s="1" t="str">
        <f>"عدد"</f>
        <v>عدد</v>
      </c>
      <c r="H2392" s="1">
        <v>8</v>
      </c>
      <c r="I2392" s="1">
        <v>11000000</v>
      </c>
      <c r="J2392" s="1">
        <v>0</v>
      </c>
      <c r="K2392" s="1">
        <v>0</v>
      </c>
      <c r="L2392" s="1">
        <v>1</v>
      </c>
      <c r="M2392" s="1">
        <v>1375000</v>
      </c>
      <c r="O2392" s="1">
        <v>97</v>
      </c>
      <c r="P2392" s="4">
        <f t="shared" si="111"/>
        <v>9625000</v>
      </c>
      <c r="Q2392" s="4">
        <f t="shared" si="112"/>
        <v>7</v>
      </c>
      <c r="R2392" s="4">
        <f t="shared" si="113"/>
        <v>1375000</v>
      </c>
    </row>
    <row r="2393" spans="1:18">
      <c r="A2393" s="1">
        <v>2</v>
      </c>
      <c r="B2393" s="1" t="str">
        <f>"قطعات و لوازم يدكي"</f>
        <v>قطعات و لوازم يدكي</v>
      </c>
      <c r="C2393" s="1">
        <v>101</v>
      </c>
      <c r="D2393" s="1" t="str">
        <f>"انبار قطعات و لوازم يدكي اصفهان"</f>
        <v>انبار قطعات و لوازم يدكي اصفهان</v>
      </c>
      <c r="E2393" s="1" t="str">
        <f>"8765523482"</f>
        <v>8765523482</v>
      </c>
      <c r="F2393" s="1" t="str">
        <f>"گريس قلمي سايز A"</f>
        <v>گريس قلمي سايز A</v>
      </c>
      <c r="G2393" s="1" t="str">
        <f>"عدد"</f>
        <v>عدد</v>
      </c>
      <c r="H2393" s="1">
        <v>385</v>
      </c>
      <c r="I2393" s="1">
        <v>3378242</v>
      </c>
      <c r="J2393" s="1">
        <v>0</v>
      </c>
      <c r="K2393" s="1">
        <v>0</v>
      </c>
      <c r="L2393" s="1">
        <v>0</v>
      </c>
      <c r="M2393" s="1">
        <v>0</v>
      </c>
      <c r="O2393" s="1">
        <v>97</v>
      </c>
      <c r="P2393" s="4">
        <f t="shared" si="111"/>
        <v>3378242</v>
      </c>
      <c r="Q2393" s="4">
        <f t="shared" si="112"/>
        <v>385</v>
      </c>
      <c r="R2393" s="4">
        <f t="shared" si="113"/>
        <v>8774.6545454545449</v>
      </c>
    </row>
    <row r="2394" spans="1:18">
      <c r="A2394" s="1">
        <v>2</v>
      </c>
      <c r="B2394" s="1" t="str">
        <f>"قطعات و لوازم يدكي"</f>
        <v>قطعات و لوازم يدكي</v>
      </c>
      <c r="C2394" s="1">
        <v>101</v>
      </c>
      <c r="D2394" s="1" t="str">
        <f>"انبار قطعات و لوازم يدكي اصفهان"</f>
        <v>انبار قطعات و لوازم يدكي اصفهان</v>
      </c>
      <c r="E2394" s="1" t="str">
        <f>"8765523502"</f>
        <v>8765523502</v>
      </c>
      <c r="F2394" s="1" t="str">
        <f>"گريس معمولي"</f>
        <v>گريس معمولي</v>
      </c>
      <c r="G2394" s="1" t="str">
        <f>"كيلوگرم"</f>
        <v>كيلوگرم</v>
      </c>
      <c r="H2394" s="1">
        <v>15</v>
      </c>
      <c r="I2394" s="1">
        <v>612299</v>
      </c>
      <c r="J2394" s="1">
        <v>3</v>
      </c>
      <c r="K2394" s="1">
        <v>122460</v>
      </c>
      <c r="L2394" s="1">
        <v>9</v>
      </c>
      <c r="M2394" s="1">
        <v>367380</v>
      </c>
      <c r="O2394" s="1">
        <v>97</v>
      </c>
      <c r="P2394" s="4">
        <f t="shared" si="111"/>
        <v>367379</v>
      </c>
      <c r="Q2394" s="4">
        <f t="shared" si="112"/>
        <v>9</v>
      </c>
      <c r="R2394" s="4">
        <f t="shared" si="113"/>
        <v>40819.888888888891</v>
      </c>
    </row>
    <row r="2395" spans="1:18" hidden="1">
      <c r="A2395" s="1">
        <v>2</v>
      </c>
      <c r="B2395" s="1" t="str">
        <f>"قطعات و لوازم يدكي"</f>
        <v>قطعات و لوازم يدكي</v>
      </c>
      <c r="C2395" s="1">
        <v>101</v>
      </c>
      <c r="D2395" s="1" t="str">
        <f>"انبار قطعات و لوازم يدكي اصفهان"</f>
        <v>انبار قطعات و لوازم يدكي اصفهان</v>
      </c>
      <c r="E2395" s="1" t="str">
        <f>"8900000132"</f>
        <v>8900000132</v>
      </c>
      <c r="F2395" s="1" t="str">
        <f>"سود بندر 10 کيلويي"</f>
        <v>سود بندر 10 کيلويي</v>
      </c>
      <c r="G2395" s="1" t="str">
        <f>"عدد"</f>
        <v>عدد</v>
      </c>
      <c r="H2395" s="1">
        <v>0</v>
      </c>
      <c r="I2395" s="1">
        <v>0</v>
      </c>
      <c r="J2395" s="1">
        <v>1</v>
      </c>
      <c r="K2395" s="1">
        <v>500000</v>
      </c>
      <c r="L2395" s="1">
        <v>1</v>
      </c>
      <c r="M2395" s="1">
        <v>500000</v>
      </c>
      <c r="O2395" s="1">
        <v>97</v>
      </c>
      <c r="P2395" s="1">
        <f t="shared" si="111"/>
        <v>0</v>
      </c>
      <c r="Q2395" s="1">
        <f t="shared" si="112"/>
        <v>0</v>
      </c>
      <c r="R2395" s="1" t="e">
        <f t="shared" si="113"/>
        <v>#DIV/0!</v>
      </c>
    </row>
    <row r="2396" spans="1:18" hidden="1">
      <c r="A2396" s="1">
        <v>2</v>
      </c>
      <c r="B2396" s="1" t="str">
        <f>"قطعات و لوازم يدكي"</f>
        <v>قطعات و لوازم يدكي</v>
      </c>
      <c r="C2396" s="1">
        <v>101</v>
      </c>
      <c r="D2396" s="1" t="str">
        <f>"انبار قطعات و لوازم يدكي اصفهان"</f>
        <v>انبار قطعات و لوازم يدكي اصفهان</v>
      </c>
      <c r="E2396" s="1" t="str">
        <f>"8900000532"</f>
        <v>8900000532</v>
      </c>
      <c r="F2396" s="1" t="str">
        <f>"اسيد کلريد ريک"</f>
        <v>اسيد کلريد ريک</v>
      </c>
      <c r="G2396" s="1" t="str">
        <f>"ليتر"</f>
        <v>ليتر</v>
      </c>
      <c r="H2396" s="1">
        <v>0</v>
      </c>
      <c r="I2396" s="1">
        <v>0</v>
      </c>
      <c r="J2396" s="1">
        <v>2000</v>
      </c>
      <c r="K2396" s="1">
        <v>13500000</v>
      </c>
      <c r="L2396" s="1">
        <v>2000</v>
      </c>
      <c r="M2396" s="1">
        <v>13500000</v>
      </c>
      <c r="O2396" s="1">
        <v>97</v>
      </c>
      <c r="P2396" s="1">
        <f t="shared" si="111"/>
        <v>0</v>
      </c>
      <c r="Q2396" s="1">
        <f t="shared" si="112"/>
        <v>0</v>
      </c>
      <c r="R2396" s="1" t="e">
        <f t="shared" si="113"/>
        <v>#DIV/0!</v>
      </c>
    </row>
    <row r="2397" spans="1:18" hidden="1">
      <c r="A2397" s="1">
        <v>2</v>
      </c>
      <c r="B2397" s="1" t="str">
        <f>"قطعات و لوازم يدكي"</f>
        <v>قطعات و لوازم يدكي</v>
      </c>
      <c r="C2397" s="1">
        <v>101</v>
      </c>
      <c r="D2397" s="1" t="str">
        <f>"انبار قطعات و لوازم يدكي اصفهان"</f>
        <v>انبار قطعات و لوازم يدكي اصفهان</v>
      </c>
      <c r="E2397" s="1" t="str">
        <f>"8901020022"</f>
        <v>8901020022</v>
      </c>
      <c r="F2397" s="1" t="str">
        <f>"هگزا دکان 250CC"</f>
        <v>هگزا دکان 250CC</v>
      </c>
      <c r="G2397" s="1" t="str">
        <f>"عدد"</f>
        <v>عدد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O2397" s="1">
        <v>97</v>
      </c>
      <c r="P2397" s="1">
        <f t="shared" si="111"/>
        <v>0</v>
      </c>
      <c r="Q2397" s="1">
        <f t="shared" si="112"/>
        <v>0</v>
      </c>
      <c r="R2397" s="1" t="e">
        <f t="shared" si="113"/>
        <v>#DIV/0!</v>
      </c>
    </row>
    <row r="2398" spans="1:18" hidden="1">
      <c r="A2398" s="1">
        <v>2</v>
      </c>
      <c r="B2398" s="1" t="str">
        <f>"قطعات و لوازم يدكي"</f>
        <v>قطعات و لوازم يدكي</v>
      </c>
      <c r="C2398" s="1">
        <v>101</v>
      </c>
      <c r="D2398" s="1" t="str">
        <f>"انبار قطعات و لوازم يدكي اصفهان"</f>
        <v>انبار قطعات و لوازم يدكي اصفهان</v>
      </c>
      <c r="E2398" s="1" t="str">
        <f>"8901020282"</f>
        <v>8901020282</v>
      </c>
      <c r="F2398" s="1" t="str">
        <f>"کاغذ صافي سايز 2/5 1سانت"</f>
        <v>کاغذ صافي سايز 2/5 1سانت</v>
      </c>
      <c r="G2398" s="1" t="str">
        <f>"بسته"</f>
        <v>بسته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O2398" s="1">
        <v>97</v>
      </c>
      <c r="P2398" s="1">
        <f t="shared" si="111"/>
        <v>0</v>
      </c>
      <c r="Q2398" s="1">
        <f t="shared" si="112"/>
        <v>0</v>
      </c>
      <c r="R2398" s="1" t="e">
        <f t="shared" si="113"/>
        <v>#DIV/0!</v>
      </c>
    </row>
    <row r="2399" spans="1:18" hidden="1">
      <c r="A2399" s="1">
        <v>2</v>
      </c>
      <c r="B2399" s="1" t="str">
        <f>"قطعات و لوازم يدكي"</f>
        <v>قطعات و لوازم يدكي</v>
      </c>
      <c r="C2399" s="1">
        <v>101</v>
      </c>
      <c r="D2399" s="1" t="str">
        <f>"انبار قطعات و لوازم يدكي اصفهان"</f>
        <v>انبار قطعات و لوازم يدكي اصفهان</v>
      </c>
      <c r="E2399" s="1" t="str">
        <f>"9500000132"</f>
        <v>9500000132</v>
      </c>
      <c r="F2399" s="1" t="str">
        <f>"سه راه فشار قوي 3/4 3000"</f>
        <v>سه راه فشار قوي 3/4 3000</v>
      </c>
      <c r="G2399" s="1" t="str">
        <f>"عدد"</f>
        <v>عدد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O2399" s="1">
        <v>97</v>
      </c>
      <c r="P2399" s="1">
        <f t="shared" si="111"/>
        <v>0</v>
      </c>
      <c r="Q2399" s="1">
        <f t="shared" si="112"/>
        <v>0</v>
      </c>
      <c r="R2399" s="1" t="e">
        <f t="shared" si="113"/>
        <v>#DIV/0!</v>
      </c>
    </row>
    <row r="2400" spans="1:18" hidden="1">
      <c r="A2400" s="1">
        <v>2</v>
      </c>
      <c r="B2400" s="1" t="str">
        <f>"قطعات و لوازم يدكي"</f>
        <v>قطعات و لوازم يدكي</v>
      </c>
      <c r="C2400" s="1">
        <v>101</v>
      </c>
      <c r="D2400" s="1" t="str">
        <f>"انبار قطعات و لوازم يدكي اصفهان"</f>
        <v>انبار قطعات و لوازم يدكي اصفهان</v>
      </c>
      <c r="E2400" s="1" t="str">
        <f>"9500000182"</f>
        <v>9500000182</v>
      </c>
      <c r="F2400" s="1" t="str">
        <f>"کپ فشار قوي 3/4 دنده اي 3000"</f>
        <v>کپ فشار قوي 3/4 دنده اي 3000</v>
      </c>
      <c r="G2400" s="1" t="str">
        <f>"عدد"</f>
        <v>عدد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O2400" s="1">
        <v>97</v>
      </c>
      <c r="P2400" s="1">
        <f t="shared" si="111"/>
        <v>0</v>
      </c>
      <c r="Q2400" s="1">
        <f t="shared" si="112"/>
        <v>0</v>
      </c>
      <c r="R2400" s="1" t="e">
        <f t="shared" si="113"/>
        <v>#DIV/0!</v>
      </c>
    </row>
    <row r="2401" spans="1:18" hidden="1">
      <c r="A2401" s="1">
        <v>2</v>
      </c>
      <c r="B2401" s="1" t="str">
        <f>"قطعات و لوازم يدكي"</f>
        <v>قطعات و لوازم يدكي</v>
      </c>
      <c r="C2401" s="1">
        <v>101</v>
      </c>
      <c r="D2401" s="1" t="str">
        <f>"انبار قطعات و لوازم يدكي اصفهان"</f>
        <v>انبار قطعات و لوازم يدكي اصفهان</v>
      </c>
      <c r="E2401" s="1" t="str">
        <f>"9500000202"</f>
        <v>9500000202</v>
      </c>
      <c r="F2401" s="1" t="str">
        <f>"زانو جوشي 6 رده 40"</f>
        <v>زانو جوشي 6 رده 40</v>
      </c>
      <c r="G2401" s="1" t="str">
        <f>"عدد"</f>
        <v>عدد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O2401" s="1">
        <v>97</v>
      </c>
      <c r="P2401" s="1">
        <f t="shared" si="111"/>
        <v>0</v>
      </c>
      <c r="Q2401" s="1">
        <f t="shared" si="112"/>
        <v>0</v>
      </c>
      <c r="R2401" s="1" t="e">
        <f t="shared" si="113"/>
        <v>#DIV/0!</v>
      </c>
    </row>
    <row r="2402" spans="1:18" hidden="1">
      <c r="A2402" s="1">
        <v>2</v>
      </c>
      <c r="B2402" s="1" t="str">
        <f>"قطعات و لوازم يدكي"</f>
        <v>قطعات و لوازم يدكي</v>
      </c>
      <c r="C2402" s="1">
        <v>101</v>
      </c>
      <c r="D2402" s="1" t="str">
        <f>"انبار قطعات و لوازم يدكي اصفهان"</f>
        <v>انبار قطعات و لوازم يدكي اصفهان</v>
      </c>
      <c r="E2402" s="1" t="str">
        <f>"9500000252"</f>
        <v>9500000252</v>
      </c>
      <c r="F2402" s="1" t="str">
        <f>"پلاگ ولو 6 گريبگس ژاکت دار"</f>
        <v>پلاگ ولو 6 گريبگس ژاکت دار</v>
      </c>
      <c r="G2402" s="1" t="str">
        <f>"عدد"</f>
        <v>عدد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O2402" s="1">
        <v>97</v>
      </c>
      <c r="P2402" s="1">
        <f t="shared" si="111"/>
        <v>0</v>
      </c>
      <c r="Q2402" s="1">
        <f t="shared" si="112"/>
        <v>0</v>
      </c>
      <c r="R2402" s="1" t="e">
        <f t="shared" si="113"/>
        <v>#DIV/0!</v>
      </c>
    </row>
    <row r="2403" spans="1:18" hidden="1">
      <c r="A2403" s="1">
        <v>2</v>
      </c>
      <c r="B2403" s="1" t="str">
        <f>"قطعات و لوازم يدكي"</f>
        <v>قطعات و لوازم يدكي</v>
      </c>
      <c r="C2403" s="1">
        <v>110</v>
      </c>
      <c r="D2403" s="1" t="str">
        <f>"ملزومات اداري اصفهان"</f>
        <v>ملزومات اداري اصفهان</v>
      </c>
      <c r="E2403" s="1" t="str">
        <f>"1502030472"</f>
        <v>1502030472</v>
      </c>
      <c r="F2403" s="1" t="str">
        <f>"موکت."</f>
        <v>موکت.</v>
      </c>
      <c r="G2403" s="1" t="str">
        <f>"مترمربع"</f>
        <v>مترمربع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O2403" s="1">
        <v>97</v>
      </c>
      <c r="P2403" s="1">
        <f t="shared" si="111"/>
        <v>0</v>
      </c>
      <c r="Q2403" s="1">
        <f t="shared" si="112"/>
        <v>0</v>
      </c>
      <c r="R2403" s="1" t="e">
        <f t="shared" si="113"/>
        <v>#DIV/0!</v>
      </c>
    </row>
    <row r="2404" spans="1:18">
      <c r="A2404" s="1">
        <v>2</v>
      </c>
      <c r="B2404" s="1" t="str">
        <f>"قطعات و لوازم يدكي"</f>
        <v>قطعات و لوازم يدكي</v>
      </c>
      <c r="C2404" s="1">
        <v>120</v>
      </c>
      <c r="D2404" s="1" t="str">
        <f>"انبار قطعات و لوازم يدكي بشکه سازي اصفهان"</f>
        <v>انبار قطعات و لوازم يدكي بشکه سازي اصفهان</v>
      </c>
      <c r="E2404" s="1" t="str">
        <f>"4111700010"</f>
        <v>4111700010</v>
      </c>
      <c r="F2404" s="1" t="str">
        <f>"دوشاخ گلابي شکل"</f>
        <v>دوشاخ گلابي شکل</v>
      </c>
      <c r="G2404" s="1" t="str">
        <f>"عدد"</f>
        <v>عدد</v>
      </c>
      <c r="H2404" s="1">
        <v>0</v>
      </c>
      <c r="I2404" s="1">
        <v>0</v>
      </c>
      <c r="J2404" s="1">
        <v>37</v>
      </c>
      <c r="K2404" s="1">
        <v>740000</v>
      </c>
      <c r="L2404" s="1">
        <v>8</v>
      </c>
      <c r="M2404" s="1">
        <v>160000</v>
      </c>
      <c r="O2404" s="1">
        <v>97</v>
      </c>
      <c r="P2404" s="4">
        <f t="shared" si="111"/>
        <v>580000</v>
      </c>
      <c r="Q2404" s="4">
        <f t="shared" si="112"/>
        <v>29</v>
      </c>
      <c r="R2404" s="4">
        <f t="shared" si="113"/>
        <v>20000</v>
      </c>
    </row>
    <row r="2405" spans="1:18">
      <c r="A2405" s="1">
        <v>2</v>
      </c>
      <c r="B2405" s="1" t="str">
        <f>"قطعات و لوازم يدكي"</f>
        <v>قطعات و لوازم يدكي</v>
      </c>
      <c r="C2405" s="1">
        <v>120</v>
      </c>
      <c r="D2405" s="1" t="str">
        <f>"انبار قطعات و لوازم يدكي بشکه سازي اصفهان"</f>
        <v>انبار قطعات و لوازم يدكي بشکه سازي اصفهان</v>
      </c>
      <c r="E2405" s="1" t="str">
        <f>"4111700018"</f>
        <v>4111700018</v>
      </c>
      <c r="F2405" s="1" t="str">
        <f>"جعبه استپ استارت تک سوراخ"</f>
        <v>جعبه استپ استارت تک سوراخ</v>
      </c>
      <c r="G2405" s="1" t="str">
        <f>"عدد"</f>
        <v>عدد</v>
      </c>
      <c r="H2405" s="1">
        <v>0</v>
      </c>
      <c r="I2405" s="1">
        <v>0</v>
      </c>
      <c r="J2405" s="1">
        <v>20</v>
      </c>
      <c r="K2405" s="1">
        <v>560000</v>
      </c>
      <c r="L2405" s="1">
        <v>0</v>
      </c>
      <c r="M2405" s="1">
        <v>0</v>
      </c>
      <c r="O2405" s="1">
        <v>97</v>
      </c>
      <c r="P2405" s="4">
        <f t="shared" si="111"/>
        <v>560000</v>
      </c>
      <c r="Q2405" s="4">
        <f t="shared" si="112"/>
        <v>20</v>
      </c>
      <c r="R2405" s="4">
        <f t="shared" si="113"/>
        <v>28000</v>
      </c>
    </row>
    <row r="2406" spans="1:18">
      <c r="A2406" s="1">
        <v>2</v>
      </c>
      <c r="B2406" s="1" t="str">
        <f>"قطعات و لوازم يدكي"</f>
        <v>قطعات و لوازم يدكي</v>
      </c>
      <c r="C2406" s="1">
        <v>120</v>
      </c>
      <c r="D2406" s="1" t="str">
        <f>"انبار قطعات و لوازم يدكي بشکه سازي اصفهان"</f>
        <v>انبار قطعات و لوازم يدكي بشکه سازي اصفهان</v>
      </c>
      <c r="E2406" s="1" t="str">
        <f>"4111700019"</f>
        <v>4111700019</v>
      </c>
      <c r="F2406" s="1" t="str">
        <f>"چسب برق ."</f>
        <v>چسب برق .</v>
      </c>
      <c r="G2406" s="1" t="str">
        <f>"عدد"</f>
        <v>عدد</v>
      </c>
      <c r="H2406" s="1">
        <v>0</v>
      </c>
      <c r="I2406" s="1">
        <v>0</v>
      </c>
      <c r="J2406" s="1">
        <v>51</v>
      </c>
      <c r="K2406" s="1">
        <v>1530000</v>
      </c>
      <c r="L2406" s="1">
        <v>15</v>
      </c>
      <c r="M2406" s="1">
        <v>450000</v>
      </c>
      <c r="O2406" s="1">
        <v>97</v>
      </c>
      <c r="P2406" s="4">
        <f t="shared" si="111"/>
        <v>1080000</v>
      </c>
      <c r="Q2406" s="4">
        <f t="shared" si="112"/>
        <v>36</v>
      </c>
      <c r="R2406" s="4">
        <f t="shared" si="113"/>
        <v>30000</v>
      </c>
    </row>
    <row r="2407" spans="1:18">
      <c r="A2407" s="1">
        <v>2</v>
      </c>
      <c r="B2407" s="1" t="str">
        <f>"قطعات و لوازم يدكي"</f>
        <v>قطعات و لوازم يدكي</v>
      </c>
      <c r="C2407" s="1">
        <v>120</v>
      </c>
      <c r="D2407" s="1" t="str">
        <f>"انبار قطعات و لوازم يدكي بشکه سازي اصفهان"</f>
        <v>انبار قطعات و لوازم يدكي بشکه سازي اصفهان</v>
      </c>
      <c r="E2407" s="1" t="str">
        <f>"4111700022"</f>
        <v>4111700022</v>
      </c>
      <c r="F2407" s="1" t="str">
        <f>"چراغ خطر عقب ليفتراک"</f>
        <v>چراغ خطر عقب ليفتراک</v>
      </c>
      <c r="G2407" s="1" t="str">
        <f>"عدد"</f>
        <v>عدد</v>
      </c>
      <c r="H2407" s="1">
        <v>0</v>
      </c>
      <c r="I2407" s="1">
        <v>0</v>
      </c>
      <c r="J2407" s="1">
        <v>9</v>
      </c>
      <c r="K2407" s="1">
        <v>8550000</v>
      </c>
      <c r="L2407" s="1">
        <v>0</v>
      </c>
      <c r="M2407" s="1">
        <v>0</v>
      </c>
      <c r="O2407" s="1">
        <v>97</v>
      </c>
      <c r="P2407" s="4">
        <f t="shared" si="111"/>
        <v>8550000</v>
      </c>
      <c r="Q2407" s="4">
        <f t="shared" si="112"/>
        <v>9</v>
      </c>
      <c r="R2407" s="4">
        <f t="shared" si="113"/>
        <v>950000</v>
      </c>
    </row>
    <row r="2408" spans="1:18">
      <c r="A2408" s="1">
        <v>2</v>
      </c>
      <c r="B2408" s="1" t="str">
        <f>"قطعات و لوازم يدكي"</f>
        <v>قطعات و لوازم يدكي</v>
      </c>
      <c r="C2408" s="1">
        <v>120</v>
      </c>
      <c r="D2408" s="1" t="str">
        <f>"انبار قطعات و لوازم يدكي بشکه سازي اصفهان"</f>
        <v>انبار قطعات و لوازم يدكي بشکه سازي اصفهان</v>
      </c>
      <c r="E2408" s="1" t="str">
        <f>"4111700047"</f>
        <v>4111700047</v>
      </c>
      <c r="F2408" s="1" t="str">
        <f>"ترمينال سايز 4"</f>
        <v>ترمينال سايز 4</v>
      </c>
      <c r="G2408" s="1" t="str">
        <f>"عدد"</f>
        <v>عدد</v>
      </c>
      <c r="H2408" s="1">
        <v>0</v>
      </c>
      <c r="I2408" s="1">
        <v>0</v>
      </c>
      <c r="J2408" s="1">
        <v>4</v>
      </c>
      <c r="K2408" s="1">
        <v>200000</v>
      </c>
      <c r="L2408" s="1">
        <v>0</v>
      </c>
      <c r="M2408" s="1">
        <v>0</v>
      </c>
      <c r="O2408" s="1">
        <v>97</v>
      </c>
      <c r="P2408" s="4">
        <f t="shared" si="111"/>
        <v>200000</v>
      </c>
      <c r="Q2408" s="4">
        <f t="shared" si="112"/>
        <v>4</v>
      </c>
      <c r="R2408" s="4">
        <f t="shared" si="113"/>
        <v>50000</v>
      </c>
    </row>
    <row r="2409" spans="1:18">
      <c r="A2409" s="1">
        <v>2</v>
      </c>
      <c r="B2409" s="1" t="str">
        <f>"قطعات و لوازم يدكي"</f>
        <v>قطعات و لوازم يدكي</v>
      </c>
      <c r="C2409" s="1">
        <v>120</v>
      </c>
      <c r="D2409" s="1" t="str">
        <f>"انبار قطعات و لوازم يدكي بشکه سازي اصفهان"</f>
        <v>انبار قطعات و لوازم يدكي بشکه سازي اصفهان</v>
      </c>
      <c r="E2409" s="1" t="str">
        <f>"4111700068"</f>
        <v>4111700068</v>
      </c>
      <c r="F2409" s="1" t="str">
        <f>"کنتاکتور lc1d25"</f>
        <v>کنتاکتور lc1d25</v>
      </c>
      <c r="G2409" s="1" t="str">
        <f>"عدد"</f>
        <v>عدد</v>
      </c>
      <c r="H2409" s="1">
        <v>0</v>
      </c>
      <c r="I2409" s="1">
        <v>0</v>
      </c>
      <c r="J2409" s="1">
        <v>1</v>
      </c>
      <c r="K2409" s="1">
        <v>590000</v>
      </c>
      <c r="L2409" s="1">
        <v>0</v>
      </c>
      <c r="M2409" s="1">
        <v>0</v>
      </c>
      <c r="O2409" s="1">
        <v>97</v>
      </c>
      <c r="P2409" s="4">
        <f t="shared" si="111"/>
        <v>590000</v>
      </c>
      <c r="Q2409" s="4">
        <f t="shared" si="112"/>
        <v>1</v>
      </c>
      <c r="R2409" s="4">
        <f t="shared" si="113"/>
        <v>590000</v>
      </c>
    </row>
    <row r="2410" spans="1:18">
      <c r="A2410" s="1">
        <v>2</v>
      </c>
      <c r="B2410" s="1" t="str">
        <f>"قطعات و لوازم يدكي"</f>
        <v>قطعات و لوازم يدكي</v>
      </c>
      <c r="C2410" s="1">
        <v>120</v>
      </c>
      <c r="D2410" s="1" t="str">
        <f>"انبار قطعات و لوازم يدكي بشکه سازي اصفهان"</f>
        <v>انبار قطعات و لوازم يدكي بشکه سازي اصفهان</v>
      </c>
      <c r="E2410" s="1" t="str">
        <f>"4111700075"</f>
        <v>4111700075</v>
      </c>
      <c r="F2410" s="1" t="str">
        <f>"کابل ريموت جرثقيل 20 تن"</f>
        <v>کابل ريموت جرثقيل 20 تن</v>
      </c>
      <c r="G2410" s="1" t="str">
        <f>"متر"</f>
        <v>متر</v>
      </c>
      <c r="H2410" s="1">
        <v>0</v>
      </c>
      <c r="I2410" s="1">
        <v>0</v>
      </c>
      <c r="J2410" s="1">
        <v>7</v>
      </c>
      <c r="K2410" s="1">
        <v>4900000</v>
      </c>
      <c r="L2410" s="1">
        <v>0</v>
      </c>
      <c r="M2410" s="1">
        <v>0</v>
      </c>
      <c r="O2410" s="1">
        <v>97</v>
      </c>
      <c r="P2410" s="4">
        <f t="shared" si="111"/>
        <v>4900000</v>
      </c>
      <c r="Q2410" s="4">
        <f t="shared" si="112"/>
        <v>7</v>
      </c>
      <c r="R2410" s="4">
        <f t="shared" si="113"/>
        <v>700000</v>
      </c>
    </row>
    <row r="2411" spans="1:18" hidden="1">
      <c r="A2411" s="1">
        <v>2</v>
      </c>
      <c r="B2411" s="1" t="str">
        <f>"قطعات و لوازم يدكي"</f>
        <v>قطعات و لوازم يدكي</v>
      </c>
      <c r="C2411" s="1">
        <v>120</v>
      </c>
      <c r="D2411" s="1" t="str">
        <f>"انبار قطعات و لوازم يدكي بشکه سازي اصفهان"</f>
        <v>انبار قطعات و لوازم يدكي بشکه سازي اصفهان</v>
      </c>
      <c r="E2411" s="1" t="str">
        <f>"4111700079"</f>
        <v>4111700079</v>
      </c>
      <c r="F2411" s="1" t="str">
        <f>"کابل 2*2/5"</f>
        <v>کابل 2*2/5</v>
      </c>
      <c r="G2411" s="1" t="str">
        <f>"متر"</f>
        <v>متر</v>
      </c>
      <c r="H2411" s="1">
        <v>0</v>
      </c>
      <c r="I2411" s="1">
        <v>0</v>
      </c>
      <c r="J2411" s="1">
        <v>73</v>
      </c>
      <c r="K2411" s="1">
        <v>2007500</v>
      </c>
      <c r="L2411" s="1">
        <v>73</v>
      </c>
      <c r="M2411" s="1">
        <v>2007500</v>
      </c>
      <c r="O2411" s="1">
        <v>97</v>
      </c>
      <c r="P2411" s="1">
        <f t="shared" si="111"/>
        <v>0</v>
      </c>
      <c r="Q2411" s="1">
        <f t="shared" si="112"/>
        <v>0</v>
      </c>
      <c r="R2411" s="1" t="e">
        <f t="shared" si="113"/>
        <v>#DIV/0!</v>
      </c>
    </row>
    <row r="2412" spans="1:18">
      <c r="A2412" s="1">
        <v>2</v>
      </c>
      <c r="B2412" s="1" t="str">
        <f>"قطعات و لوازم يدكي"</f>
        <v>قطعات و لوازم يدكي</v>
      </c>
      <c r="C2412" s="1">
        <v>101</v>
      </c>
      <c r="D2412" s="1" t="str">
        <f>"انبار قطعات و لوازم يدكي اصفهان"</f>
        <v>انبار قطعات و لوازم يدكي اصفهان</v>
      </c>
      <c r="E2412" s="1" t="str">
        <f>"5923763723"</f>
        <v>5923763723</v>
      </c>
      <c r="F2412" s="1" t="str">
        <f>"ست رينگ كاسكت 1R3481X0052"</f>
        <v>ست رينگ كاسكت 1R3481X0052</v>
      </c>
      <c r="G2412" s="1" t="str">
        <f>"عدد"</f>
        <v>عدد</v>
      </c>
      <c r="H2412" s="1">
        <v>10</v>
      </c>
      <c r="I2412" s="1">
        <v>1486217</v>
      </c>
      <c r="J2412" s="1">
        <v>0</v>
      </c>
      <c r="K2412" s="1">
        <v>0</v>
      </c>
      <c r="L2412" s="1">
        <v>0</v>
      </c>
      <c r="M2412" s="1">
        <v>0</v>
      </c>
      <c r="O2412" s="1">
        <v>97</v>
      </c>
      <c r="P2412" s="4">
        <f t="shared" si="111"/>
        <v>1486217</v>
      </c>
      <c r="Q2412" s="4">
        <f t="shared" si="112"/>
        <v>10</v>
      </c>
      <c r="R2412" s="4">
        <f t="shared" si="113"/>
        <v>148621.70000000001</v>
      </c>
    </row>
    <row r="2413" spans="1:18">
      <c r="A2413" s="1">
        <v>2</v>
      </c>
      <c r="B2413" s="1" t="str">
        <f>"قطعات و لوازم يدكي"</f>
        <v>قطعات و لوازم يدكي</v>
      </c>
      <c r="C2413" s="1">
        <v>101</v>
      </c>
      <c r="D2413" s="1" t="str">
        <f>"انبار قطعات و لوازم يدكي اصفهان"</f>
        <v>انبار قطعات و لوازم يدكي اصفهان</v>
      </c>
      <c r="E2413" s="1" t="str">
        <f>"5923774733"</f>
        <v>5923774733</v>
      </c>
      <c r="F2413" s="1" t="str">
        <f>"كاسكت  ا .اس.بي.نوت"</f>
        <v>كاسكت  ا .اس.بي.نوت</v>
      </c>
      <c r="G2413" s="1" t="str">
        <f>"عدد"</f>
        <v>عدد</v>
      </c>
      <c r="H2413" s="1">
        <v>9</v>
      </c>
      <c r="I2413" s="1">
        <v>2841329</v>
      </c>
      <c r="J2413" s="1">
        <v>0</v>
      </c>
      <c r="K2413" s="1">
        <v>0</v>
      </c>
      <c r="L2413" s="1">
        <v>0</v>
      </c>
      <c r="M2413" s="1">
        <v>0</v>
      </c>
      <c r="O2413" s="1">
        <v>97</v>
      </c>
      <c r="P2413" s="4">
        <f t="shared" si="111"/>
        <v>2841329</v>
      </c>
      <c r="Q2413" s="4">
        <f t="shared" si="112"/>
        <v>9</v>
      </c>
      <c r="R2413" s="4">
        <f t="shared" si="113"/>
        <v>315703.22222222225</v>
      </c>
    </row>
    <row r="2414" spans="1:18">
      <c r="A2414" s="1">
        <v>2</v>
      </c>
      <c r="B2414" s="1" t="str">
        <f>"قطعات و لوازم يدكي"</f>
        <v>قطعات و لوازم يدكي</v>
      </c>
      <c r="C2414" s="1">
        <v>101</v>
      </c>
      <c r="D2414" s="1" t="str">
        <f>"انبار قطعات و لوازم يدكي اصفهان"</f>
        <v>انبار قطعات و لوازم يدكي اصفهان</v>
      </c>
      <c r="E2414" s="1" t="str">
        <f>"5923783103"</f>
        <v>5923783103</v>
      </c>
      <c r="F2414" s="1" t="str">
        <f>"كاسكت . ا .اس.بي"</f>
        <v>كاسكت . ا .اس.بي</v>
      </c>
      <c r="G2414" s="1" t="str">
        <f>"عدد"</f>
        <v>عدد</v>
      </c>
      <c r="H2414" s="1">
        <v>10</v>
      </c>
      <c r="I2414" s="1">
        <v>7872231</v>
      </c>
      <c r="J2414" s="1">
        <v>0</v>
      </c>
      <c r="K2414" s="1">
        <v>0</v>
      </c>
      <c r="L2414" s="1">
        <v>0</v>
      </c>
      <c r="M2414" s="1">
        <v>0</v>
      </c>
      <c r="O2414" s="1">
        <v>97</v>
      </c>
      <c r="P2414" s="4">
        <f t="shared" si="111"/>
        <v>7872231</v>
      </c>
      <c r="Q2414" s="4">
        <f t="shared" si="112"/>
        <v>10</v>
      </c>
      <c r="R2414" s="4">
        <f t="shared" si="113"/>
        <v>787223.1</v>
      </c>
    </row>
    <row r="2415" spans="1:18">
      <c r="A2415" s="1">
        <v>2</v>
      </c>
      <c r="B2415" s="1" t="str">
        <f>"قطعات و لوازم يدكي"</f>
        <v>قطعات و لوازم يدكي</v>
      </c>
      <c r="C2415" s="1">
        <v>101</v>
      </c>
      <c r="D2415" s="1" t="str">
        <f>"انبار قطعات و لوازم يدكي اصفهان"</f>
        <v>انبار قطعات و لوازم يدكي اصفهان</v>
      </c>
      <c r="E2415" s="1" t="str">
        <f>"5923783763"</f>
        <v>5923783763</v>
      </c>
      <c r="F2415" s="1" t="str">
        <f>"ديسك 06242-7116"</f>
        <v>ديسك 06242-7116</v>
      </c>
      <c r="G2415" s="1" t="str">
        <f>"عدد"</f>
        <v>عدد</v>
      </c>
      <c r="H2415" s="1">
        <v>1</v>
      </c>
      <c r="I2415" s="1">
        <v>2706</v>
      </c>
      <c r="J2415" s="1">
        <v>0</v>
      </c>
      <c r="K2415" s="1">
        <v>0</v>
      </c>
      <c r="L2415" s="1">
        <v>0</v>
      </c>
      <c r="M2415" s="1">
        <v>0</v>
      </c>
      <c r="O2415" s="1">
        <v>97</v>
      </c>
      <c r="P2415" s="4">
        <f t="shared" si="111"/>
        <v>2706</v>
      </c>
      <c r="Q2415" s="4">
        <f t="shared" si="112"/>
        <v>1</v>
      </c>
      <c r="R2415" s="4">
        <f t="shared" si="113"/>
        <v>2706</v>
      </c>
    </row>
    <row r="2416" spans="1:18">
      <c r="A2416" s="1">
        <v>2</v>
      </c>
      <c r="B2416" s="1" t="str">
        <f>"قطعات و لوازم يدكي"</f>
        <v>قطعات و لوازم يدكي</v>
      </c>
      <c r="C2416" s="1">
        <v>101</v>
      </c>
      <c r="D2416" s="1" t="str">
        <f>"انبار قطعات و لوازم يدكي اصفهان"</f>
        <v>انبار قطعات و لوازم يدكي اصفهان</v>
      </c>
      <c r="E2416" s="1" t="str">
        <f>"5923815313"</f>
        <v>5923815313</v>
      </c>
      <c r="F2416" s="1" t="str">
        <f>"گسكت ست"</f>
        <v>گسكت ست</v>
      </c>
      <c r="G2416" s="1" t="str">
        <f>"عدد"</f>
        <v>عدد</v>
      </c>
      <c r="H2416" s="1">
        <v>10</v>
      </c>
      <c r="I2416" s="1">
        <v>8468000</v>
      </c>
      <c r="J2416" s="1">
        <v>0</v>
      </c>
      <c r="K2416" s="1">
        <v>0</v>
      </c>
      <c r="L2416" s="1">
        <v>0</v>
      </c>
      <c r="M2416" s="1">
        <v>0</v>
      </c>
      <c r="O2416" s="1">
        <v>97</v>
      </c>
      <c r="P2416" s="4">
        <f t="shared" si="111"/>
        <v>8468000</v>
      </c>
      <c r="Q2416" s="4">
        <f t="shared" si="112"/>
        <v>10</v>
      </c>
      <c r="R2416" s="4">
        <f t="shared" si="113"/>
        <v>846800</v>
      </c>
    </row>
    <row r="2417" spans="1:18">
      <c r="A2417" s="1">
        <v>2</v>
      </c>
      <c r="B2417" s="1" t="str">
        <f>"قطعات و لوازم يدكي"</f>
        <v>قطعات و لوازم يدكي</v>
      </c>
      <c r="C2417" s="1">
        <v>101</v>
      </c>
      <c r="D2417" s="1" t="str">
        <f>"انبار قطعات و لوازم يدكي اصفهان"</f>
        <v>انبار قطعات و لوازم يدكي اصفهان</v>
      </c>
      <c r="E2417" s="1" t="str">
        <f>"5923904823"</f>
        <v>5923904823</v>
      </c>
      <c r="F2417" s="1" t="str">
        <f>"كاسكت 1X01"</f>
        <v>كاسكت 1X01</v>
      </c>
      <c r="G2417" s="1" t="str">
        <f>"عدد"</f>
        <v>عدد</v>
      </c>
      <c r="H2417" s="1">
        <v>11</v>
      </c>
      <c r="I2417" s="1">
        <v>7853544</v>
      </c>
      <c r="J2417" s="1">
        <v>0</v>
      </c>
      <c r="K2417" s="1">
        <v>0</v>
      </c>
      <c r="L2417" s="1">
        <v>0</v>
      </c>
      <c r="M2417" s="1">
        <v>0</v>
      </c>
      <c r="O2417" s="1">
        <v>97</v>
      </c>
      <c r="P2417" s="4">
        <f t="shared" si="111"/>
        <v>7853544</v>
      </c>
      <c r="Q2417" s="4">
        <f t="shared" si="112"/>
        <v>11</v>
      </c>
      <c r="R2417" s="4">
        <f t="shared" si="113"/>
        <v>713958.54545454541</v>
      </c>
    </row>
    <row r="2418" spans="1:18">
      <c r="A2418" s="1">
        <v>2</v>
      </c>
      <c r="B2418" s="1" t="str">
        <f>"قطعات و لوازم يدكي"</f>
        <v>قطعات و لوازم يدكي</v>
      </c>
      <c r="C2418" s="1">
        <v>101</v>
      </c>
      <c r="D2418" s="1" t="str">
        <f>"انبار قطعات و لوازم يدكي اصفهان"</f>
        <v>انبار قطعات و لوازم يدكي اصفهان</v>
      </c>
      <c r="E2418" s="1" t="str">
        <f>"5923916033"</f>
        <v>5923916033</v>
      </c>
      <c r="F2418" s="1" t="str">
        <f>"سيل 1X012"</f>
        <v>سيل 1X012</v>
      </c>
      <c r="G2418" s="1" t="str">
        <f>"عدد"</f>
        <v>عدد</v>
      </c>
      <c r="H2418" s="1">
        <v>3</v>
      </c>
      <c r="I2418" s="1">
        <v>5145</v>
      </c>
      <c r="J2418" s="1">
        <v>0</v>
      </c>
      <c r="K2418" s="1">
        <v>0</v>
      </c>
      <c r="L2418" s="1">
        <v>0</v>
      </c>
      <c r="M2418" s="1">
        <v>0</v>
      </c>
      <c r="O2418" s="1">
        <v>97</v>
      </c>
      <c r="P2418" s="4">
        <f t="shared" si="111"/>
        <v>5145</v>
      </c>
      <c r="Q2418" s="4">
        <f t="shared" si="112"/>
        <v>3</v>
      </c>
      <c r="R2418" s="4">
        <f t="shared" si="113"/>
        <v>1715</v>
      </c>
    </row>
    <row r="2419" spans="1:18">
      <c r="A2419" s="1">
        <v>2</v>
      </c>
      <c r="B2419" s="1" t="str">
        <f>"قطعات و لوازم يدكي"</f>
        <v>قطعات و لوازم يدكي</v>
      </c>
      <c r="C2419" s="1">
        <v>101</v>
      </c>
      <c r="D2419" s="1" t="str">
        <f>"انبار قطعات و لوازم يدكي اصفهان"</f>
        <v>انبار قطعات و لوازم يدكي اصفهان</v>
      </c>
      <c r="E2419" s="1" t="str">
        <f>"5948770013"</f>
        <v>5948770013</v>
      </c>
      <c r="F2419" s="1" t="str">
        <f>"Guid Post Stainless steel"</f>
        <v>Guid Post Stainless steel</v>
      </c>
      <c r="G2419" s="1" t="str">
        <f>"عدد"</f>
        <v>عدد</v>
      </c>
      <c r="H2419" s="1">
        <v>2</v>
      </c>
      <c r="I2419" s="1">
        <v>1000000</v>
      </c>
      <c r="J2419" s="1">
        <v>0</v>
      </c>
      <c r="K2419" s="1">
        <v>0</v>
      </c>
      <c r="L2419" s="1">
        <v>0</v>
      </c>
      <c r="M2419" s="1">
        <v>0</v>
      </c>
      <c r="O2419" s="1">
        <v>97</v>
      </c>
      <c r="P2419" s="4">
        <f t="shared" si="111"/>
        <v>1000000</v>
      </c>
      <c r="Q2419" s="4">
        <f t="shared" si="112"/>
        <v>2</v>
      </c>
      <c r="R2419" s="4">
        <f t="shared" si="113"/>
        <v>500000</v>
      </c>
    </row>
    <row r="2420" spans="1:18">
      <c r="A2420" s="1">
        <v>2</v>
      </c>
      <c r="B2420" s="1" t="str">
        <f>"قطعات و لوازم يدكي"</f>
        <v>قطعات و لوازم يدكي</v>
      </c>
      <c r="C2420" s="1">
        <v>101</v>
      </c>
      <c r="D2420" s="1" t="str">
        <f>"انبار قطعات و لوازم يدكي اصفهان"</f>
        <v>انبار قطعات و لوازم يدكي اصفهان</v>
      </c>
      <c r="E2420" s="1" t="str">
        <f>"5996270063"</f>
        <v>5996270063</v>
      </c>
      <c r="F2420" s="1" t="str">
        <f>"امپلي فاير اسي YF108."</f>
        <v>امپلي فاير اسي YF108.</v>
      </c>
      <c r="G2420" s="1" t="str">
        <f>"عدد"</f>
        <v>عدد</v>
      </c>
      <c r="H2420" s="1">
        <v>2</v>
      </c>
      <c r="I2420" s="1">
        <v>526320</v>
      </c>
      <c r="J2420" s="1">
        <v>0</v>
      </c>
      <c r="K2420" s="1">
        <v>0</v>
      </c>
      <c r="L2420" s="1">
        <v>0</v>
      </c>
      <c r="M2420" s="1">
        <v>0</v>
      </c>
      <c r="O2420" s="1">
        <v>97</v>
      </c>
      <c r="P2420" s="4">
        <f t="shared" si="111"/>
        <v>526320</v>
      </c>
      <c r="Q2420" s="4">
        <f t="shared" si="112"/>
        <v>2</v>
      </c>
      <c r="R2420" s="4">
        <f t="shared" si="113"/>
        <v>263160</v>
      </c>
    </row>
    <row r="2421" spans="1:18">
      <c r="A2421" s="1">
        <v>2</v>
      </c>
      <c r="B2421" s="1" t="str">
        <f>"قطعات و لوازم يدكي"</f>
        <v>قطعات و لوازم يدكي</v>
      </c>
      <c r="C2421" s="1">
        <v>101</v>
      </c>
      <c r="D2421" s="1" t="str">
        <f>"انبار قطعات و لوازم يدكي اصفهان"</f>
        <v>انبار قطعات و لوازم يدكي اصفهان</v>
      </c>
      <c r="E2421" s="1" t="str">
        <f>"6000000022"</f>
        <v>6000000022</v>
      </c>
      <c r="F2421" s="1" t="str">
        <f>"Trans Level Meter.(طول 100mm با خروجي 20-4 MA )"</f>
        <v>Trans Level Meter.(طول 100mm با خروجي 20-4 MA )</v>
      </c>
      <c r="G2421" s="1" t="str">
        <f>"دستگاه"</f>
        <v>دستگاه</v>
      </c>
      <c r="H2421" s="1">
        <v>2</v>
      </c>
      <c r="I2421" s="1">
        <v>54133333</v>
      </c>
      <c r="J2421" s="1">
        <v>0</v>
      </c>
      <c r="K2421" s="1">
        <v>0</v>
      </c>
      <c r="L2421" s="1">
        <v>0</v>
      </c>
      <c r="M2421" s="1">
        <v>0</v>
      </c>
      <c r="O2421" s="1">
        <v>97</v>
      </c>
      <c r="P2421" s="4">
        <f t="shared" si="111"/>
        <v>54133333</v>
      </c>
      <c r="Q2421" s="4">
        <f t="shared" si="112"/>
        <v>2</v>
      </c>
      <c r="R2421" s="4">
        <f t="shared" si="113"/>
        <v>27066666.5</v>
      </c>
    </row>
    <row r="2422" spans="1:18" hidden="1">
      <c r="A2422" s="1">
        <v>2</v>
      </c>
      <c r="B2422" s="1" t="str">
        <f>"قطعات و لوازم يدكي"</f>
        <v>قطعات و لوازم يدكي</v>
      </c>
      <c r="C2422" s="1">
        <v>101</v>
      </c>
      <c r="D2422" s="1" t="str">
        <f>"انبار قطعات و لوازم يدكي اصفهان"</f>
        <v>انبار قطعات و لوازم يدكي اصفهان</v>
      </c>
      <c r="E2422" s="1" t="str">
        <f>"6000000053"</f>
        <v>6000000053</v>
      </c>
      <c r="F2422" s="1" t="str">
        <f>"Contactor Schneider D32 110 VAC"</f>
        <v>Contactor Schneider D32 110 VAC</v>
      </c>
      <c r="G2422" s="1" t="str">
        <f>"دستگاه"</f>
        <v>دستگاه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O2422" s="1">
        <v>97</v>
      </c>
      <c r="P2422" s="1">
        <f t="shared" si="111"/>
        <v>0</v>
      </c>
      <c r="Q2422" s="1">
        <f t="shared" si="112"/>
        <v>0</v>
      </c>
      <c r="R2422" s="1" t="e">
        <f t="shared" si="113"/>
        <v>#DIV/0!</v>
      </c>
    </row>
    <row r="2423" spans="1:18">
      <c r="A2423" s="1">
        <v>2</v>
      </c>
      <c r="B2423" s="1" t="str">
        <f>"قطعات و لوازم يدكي"</f>
        <v>قطعات و لوازم يدكي</v>
      </c>
      <c r="C2423" s="1">
        <v>101</v>
      </c>
      <c r="D2423" s="1" t="str">
        <f>"انبار قطعات و لوازم يدكي اصفهان"</f>
        <v>انبار قطعات و لوازم يدكي اصفهان</v>
      </c>
      <c r="E2423" s="1" t="str">
        <f>"6000000123"</f>
        <v>6000000123</v>
      </c>
      <c r="F2423" s="1" t="str">
        <f>"تبديل چشم الکترونيکي"</f>
        <v>تبديل چشم الکترونيکي</v>
      </c>
      <c r="G2423" s="1" t="str">
        <f>"عدد"</f>
        <v>عدد</v>
      </c>
      <c r="H2423" s="1">
        <v>3</v>
      </c>
      <c r="I2423" s="1">
        <v>4950000</v>
      </c>
      <c r="J2423" s="1">
        <v>0</v>
      </c>
      <c r="K2423" s="1">
        <v>0</v>
      </c>
      <c r="L2423" s="1">
        <v>0</v>
      </c>
      <c r="M2423" s="1">
        <v>0</v>
      </c>
      <c r="O2423" s="1">
        <v>97</v>
      </c>
      <c r="P2423" s="4">
        <f t="shared" si="111"/>
        <v>4950000</v>
      </c>
      <c r="Q2423" s="4">
        <f t="shared" si="112"/>
        <v>3</v>
      </c>
      <c r="R2423" s="4">
        <f t="shared" si="113"/>
        <v>1650000</v>
      </c>
    </row>
    <row r="2424" spans="1:18" hidden="1">
      <c r="A2424" s="1">
        <v>2</v>
      </c>
      <c r="B2424" s="1" t="str">
        <f>"قطعات و لوازم يدكي"</f>
        <v>قطعات و لوازم يدكي</v>
      </c>
      <c r="C2424" s="1">
        <v>101</v>
      </c>
      <c r="D2424" s="1" t="str">
        <f>"انبار قطعات و لوازم يدكي اصفهان"</f>
        <v>انبار قطعات و لوازم يدكي اصفهان</v>
      </c>
      <c r="E2424" s="1" t="str">
        <f>"6001020023"</f>
        <v>6001020023</v>
      </c>
      <c r="F2424" s="1" t="str">
        <f>"Manifold adaptor"</f>
        <v>Manifold adaptor</v>
      </c>
      <c r="G2424" s="1" t="str">
        <f>"عدد"</f>
        <v>عدد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O2424" s="1">
        <v>97</v>
      </c>
      <c r="P2424" s="1">
        <f t="shared" si="111"/>
        <v>0</v>
      </c>
      <c r="Q2424" s="1">
        <f t="shared" si="112"/>
        <v>0</v>
      </c>
      <c r="R2424" s="1" t="e">
        <f t="shared" si="113"/>
        <v>#DIV/0!</v>
      </c>
    </row>
    <row r="2425" spans="1:18">
      <c r="A2425" s="1">
        <v>2</v>
      </c>
      <c r="B2425" s="1" t="str">
        <f>"قطعات و لوازم يدكي"</f>
        <v>قطعات و لوازم يدكي</v>
      </c>
      <c r="C2425" s="1">
        <v>101</v>
      </c>
      <c r="D2425" s="1" t="str">
        <f>"انبار قطعات و لوازم يدكي اصفهان"</f>
        <v>انبار قطعات و لوازم يدكي اصفهان</v>
      </c>
      <c r="E2425" s="1" t="str">
        <f>"6001020063"</f>
        <v>6001020063</v>
      </c>
      <c r="F2425" s="1" t="str">
        <f>"Diaphragm  Size 40 cm Fisher"</f>
        <v>Diaphragm  Size 40 cm Fisher</v>
      </c>
      <c r="G2425" s="1" t="str">
        <f>"عدد"</f>
        <v>عدد</v>
      </c>
      <c r="H2425" s="1">
        <v>0</v>
      </c>
      <c r="I2425" s="1">
        <v>0</v>
      </c>
      <c r="J2425" s="1">
        <v>2</v>
      </c>
      <c r="K2425" s="1">
        <v>8600000</v>
      </c>
      <c r="L2425" s="1">
        <v>0</v>
      </c>
      <c r="M2425" s="1">
        <v>0</v>
      </c>
      <c r="O2425" s="1">
        <v>97</v>
      </c>
      <c r="P2425" s="4">
        <f t="shared" si="111"/>
        <v>8600000</v>
      </c>
      <c r="Q2425" s="4">
        <f t="shared" si="112"/>
        <v>2</v>
      </c>
      <c r="R2425" s="4">
        <f t="shared" si="113"/>
        <v>4300000</v>
      </c>
    </row>
    <row r="2426" spans="1:18">
      <c r="A2426" s="1">
        <v>2</v>
      </c>
      <c r="B2426" s="1" t="str">
        <f>"قطعات و لوازم يدكي"</f>
        <v>قطعات و لوازم يدكي</v>
      </c>
      <c r="C2426" s="1">
        <v>101</v>
      </c>
      <c r="D2426" s="1" t="str">
        <f>"انبار قطعات و لوازم يدكي اصفهان"</f>
        <v>انبار قطعات و لوازم يدكي اصفهان</v>
      </c>
      <c r="E2426" s="1" t="str">
        <f>"6018953693"</f>
        <v>6018953693</v>
      </c>
      <c r="F2426" s="1" t="str">
        <f>"سيگنال پروسينگ"</f>
        <v>سيگنال پروسينگ</v>
      </c>
      <c r="G2426" s="1" t="str">
        <f>"عدد"</f>
        <v>عدد</v>
      </c>
      <c r="H2426" s="1">
        <v>1</v>
      </c>
      <c r="I2426" s="1">
        <v>304345</v>
      </c>
      <c r="J2426" s="1">
        <v>0</v>
      </c>
      <c r="K2426" s="1">
        <v>0</v>
      </c>
      <c r="L2426" s="1">
        <v>0</v>
      </c>
      <c r="M2426" s="1">
        <v>0</v>
      </c>
      <c r="O2426" s="1">
        <v>97</v>
      </c>
      <c r="P2426" s="4">
        <f t="shared" si="111"/>
        <v>304345</v>
      </c>
      <c r="Q2426" s="4">
        <f t="shared" si="112"/>
        <v>1</v>
      </c>
      <c r="R2426" s="4">
        <f t="shared" si="113"/>
        <v>304345</v>
      </c>
    </row>
    <row r="2427" spans="1:18">
      <c r="A2427" s="1">
        <v>2</v>
      </c>
      <c r="B2427" s="1" t="str">
        <f>"قطعات و لوازم يدكي"</f>
        <v>قطعات و لوازم يدكي</v>
      </c>
      <c r="C2427" s="1">
        <v>101</v>
      </c>
      <c r="D2427" s="1" t="str">
        <f>"انبار قطعات و لوازم يدكي اصفهان"</f>
        <v>انبار قطعات و لوازم يدكي اصفهان</v>
      </c>
      <c r="E2427" s="1" t="str">
        <f>"6018953746"</f>
        <v>6018953746</v>
      </c>
      <c r="F2427" s="1" t="str">
        <f>"ديستري بوشن"</f>
        <v>ديستري بوشن</v>
      </c>
      <c r="G2427" s="1" t="str">
        <f>"عدد"</f>
        <v>عدد</v>
      </c>
      <c r="H2427" s="1">
        <v>1</v>
      </c>
      <c r="I2427" s="1">
        <v>423040</v>
      </c>
      <c r="J2427" s="1">
        <v>0</v>
      </c>
      <c r="K2427" s="1">
        <v>0</v>
      </c>
      <c r="L2427" s="1">
        <v>0</v>
      </c>
      <c r="M2427" s="1">
        <v>0</v>
      </c>
      <c r="O2427" s="1">
        <v>97</v>
      </c>
      <c r="P2427" s="4">
        <f t="shared" si="111"/>
        <v>423040</v>
      </c>
      <c r="Q2427" s="4">
        <f t="shared" si="112"/>
        <v>1</v>
      </c>
      <c r="R2427" s="4">
        <f t="shared" si="113"/>
        <v>423040</v>
      </c>
    </row>
    <row r="2428" spans="1:18">
      <c r="A2428" s="1">
        <v>2</v>
      </c>
      <c r="B2428" s="1" t="str">
        <f>"قطعات و لوازم يدكي"</f>
        <v>قطعات و لوازم يدكي</v>
      </c>
      <c r="C2428" s="1">
        <v>101</v>
      </c>
      <c r="D2428" s="1" t="str">
        <f>"انبار قطعات و لوازم يدكي اصفهان"</f>
        <v>انبار قطعات و لوازم يدكي اصفهان</v>
      </c>
      <c r="E2428" s="1" t="str">
        <f>"6018956103"</f>
        <v>6018956103</v>
      </c>
      <c r="F2428" s="1" t="str">
        <f>"پاور ديستريبوشن مدل"</f>
        <v>پاور ديستريبوشن مدل</v>
      </c>
      <c r="G2428" s="1" t="str">
        <f>"عدد"</f>
        <v>عدد</v>
      </c>
      <c r="H2428" s="1">
        <v>1</v>
      </c>
      <c r="I2428" s="1">
        <v>113118</v>
      </c>
      <c r="J2428" s="1">
        <v>0</v>
      </c>
      <c r="K2428" s="1">
        <v>0</v>
      </c>
      <c r="L2428" s="1">
        <v>0</v>
      </c>
      <c r="M2428" s="1">
        <v>0</v>
      </c>
      <c r="O2428" s="1">
        <v>97</v>
      </c>
      <c r="P2428" s="4">
        <f t="shared" si="111"/>
        <v>113118</v>
      </c>
      <c r="Q2428" s="4">
        <f t="shared" si="112"/>
        <v>1</v>
      </c>
      <c r="R2428" s="4">
        <f t="shared" si="113"/>
        <v>113118</v>
      </c>
    </row>
    <row r="2429" spans="1:18">
      <c r="A2429" s="1">
        <v>2</v>
      </c>
      <c r="B2429" s="1" t="str">
        <f>"قطعات و لوازم يدكي"</f>
        <v>قطعات و لوازم يدكي</v>
      </c>
      <c r="C2429" s="1">
        <v>101</v>
      </c>
      <c r="D2429" s="1" t="str">
        <f>"انبار قطعات و لوازم يدكي اصفهان"</f>
        <v>انبار قطعات و لوازم يدكي اصفهان</v>
      </c>
      <c r="E2429" s="1" t="str">
        <f>"6050548232"</f>
        <v>6050548232</v>
      </c>
      <c r="F2429" s="1" t="str">
        <f>"گيج فشار 2/5-0 بار"</f>
        <v>گيج فشار 2/5-0 بار</v>
      </c>
      <c r="G2429" s="1" t="str">
        <f>"عدد"</f>
        <v>عدد</v>
      </c>
      <c r="H2429" s="1">
        <v>12</v>
      </c>
      <c r="I2429" s="1">
        <v>660000</v>
      </c>
      <c r="J2429" s="1">
        <v>1</v>
      </c>
      <c r="K2429" s="1">
        <v>55000</v>
      </c>
      <c r="L2429" s="1">
        <v>1</v>
      </c>
      <c r="M2429" s="1">
        <v>55000</v>
      </c>
      <c r="O2429" s="1">
        <v>97</v>
      </c>
      <c r="P2429" s="4">
        <f t="shared" si="111"/>
        <v>660000</v>
      </c>
      <c r="Q2429" s="4">
        <f t="shared" si="112"/>
        <v>12</v>
      </c>
      <c r="R2429" s="4">
        <f t="shared" si="113"/>
        <v>55000</v>
      </c>
    </row>
    <row r="2430" spans="1:18">
      <c r="A2430" s="1">
        <v>2</v>
      </c>
      <c r="B2430" s="1" t="str">
        <f>"قطعات و لوازم يدكي"</f>
        <v>قطعات و لوازم يدكي</v>
      </c>
      <c r="C2430" s="1">
        <v>101</v>
      </c>
      <c r="D2430" s="1" t="str">
        <f>"انبار قطعات و لوازم يدكي اصفهان"</f>
        <v>انبار قطعات و لوازم يدكي اصفهان</v>
      </c>
      <c r="E2430" s="1" t="str">
        <f>"6050548312"</f>
        <v>6050548312</v>
      </c>
      <c r="F2430" s="1" t="str">
        <f>"ترمومتر 300 تا0 طول 20cm قطر6mm"</f>
        <v>ترمومتر 300 تا0 طول 20cm قطر6mm</v>
      </c>
      <c r="G2430" s="1" t="str">
        <f>"عدد"</f>
        <v>عدد</v>
      </c>
      <c r="H2430" s="1">
        <v>6</v>
      </c>
      <c r="I2430" s="1">
        <v>21600000</v>
      </c>
      <c r="J2430" s="1">
        <v>0</v>
      </c>
      <c r="K2430" s="1">
        <v>0</v>
      </c>
      <c r="L2430" s="1">
        <v>2</v>
      </c>
      <c r="M2430" s="1">
        <v>7200000</v>
      </c>
      <c r="O2430" s="1">
        <v>97</v>
      </c>
      <c r="P2430" s="4">
        <f t="shared" si="111"/>
        <v>14400000</v>
      </c>
      <c r="Q2430" s="4">
        <f t="shared" si="112"/>
        <v>4</v>
      </c>
      <c r="R2430" s="4">
        <f t="shared" si="113"/>
        <v>3600000</v>
      </c>
    </row>
    <row r="2431" spans="1:18" hidden="1">
      <c r="A2431" s="1">
        <v>2</v>
      </c>
      <c r="B2431" s="1" t="str">
        <f>"قطعات و لوازم يدكي"</f>
        <v>قطعات و لوازم يدكي</v>
      </c>
      <c r="C2431" s="1">
        <v>101</v>
      </c>
      <c r="D2431" s="1" t="str">
        <f>"انبار قطعات و لوازم يدكي اصفهان"</f>
        <v>انبار قطعات و لوازم يدكي اصفهان</v>
      </c>
      <c r="E2431" s="1" t="str">
        <f>"6050548373"</f>
        <v>6050548373</v>
      </c>
      <c r="F2431" s="1" t="str">
        <f>"ترمومتر 400-0 طول 50cm قطر6mm"</f>
        <v>ترمومتر 400-0 طول 50cm قطر6mm</v>
      </c>
      <c r="G2431" s="1" t="str">
        <f>"عدد"</f>
        <v>عدد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O2431" s="1">
        <v>97</v>
      </c>
      <c r="P2431" s="1">
        <f t="shared" si="111"/>
        <v>0</v>
      </c>
      <c r="Q2431" s="1">
        <f t="shared" si="112"/>
        <v>0</v>
      </c>
      <c r="R2431" s="1" t="e">
        <f t="shared" si="113"/>
        <v>#DIV/0!</v>
      </c>
    </row>
    <row r="2432" spans="1:18" hidden="1">
      <c r="A2432" s="1">
        <v>2</v>
      </c>
      <c r="B2432" s="1" t="str">
        <f>"قطعات و لوازم يدكي"</f>
        <v>قطعات و لوازم يدكي</v>
      </c>
      <c r="C2432" s="1">
        <v>101</v>
      </c>
      <c r="D2432" s="1" t="str">
        <f>"انبار قطعات و لوازم يدكي اصفهان"</f>
        <v>انبار قطعات و لوازم يدكي اصفهان</v>
      </c>
      <c r="E2432" s="1" t="str">
        <f>"6050548393"</f>
        <v>6050548393</v>
      </c>
      <c r="F2432" s="1" t="str">
        <f>"مانومتر 10 عموديbar 60-0"</f>
        <v>مانومتر 10 عموديbar 60-0</v>
      </c>
      <c r="G2432" s="1" t="str">
        <f>"عدد"</f>
        <v>عدد</v>
      </c>
      <c r="H2432" s="1">
        <v>0</v>
      </c>
      <c r="I2432" s="1">
        <v>0</v>
      </c>
      <c r="J2432" s="1">
        <v>1</v>
      </c>
      <c r="K2432" s="1">
        <v>4900000</v>
      </c>
      <c r="L2432" s="1">
        <v>1</v>
      </c>
      <c r="M2432" s="1">
        <v>4900000</v>
      </c>
      <c r="O2432" s="1">
        <v>97</v>
      </c>
      <c r="P2432" s="1">
        <f t="shared" si="111"/>
        <v>0</v>
      </c>
      <c r="Q2432" s="1">
        <f t="shared" si="112"/>
        <v>0</v>
      </c>
      <c r="R2432" s="1" t="e">
        <f t="shared" si="113"/>
        <v>#DIV/0!</v>
      </c>
    </row>
    <row r="2433" spans="1:18">
      <c r="A2433" s="1">
        <v>2</v>
      </c>
      <c r="B2433" s="1" t="str">
        <f>"قطعات و لوازم يدكي"</f>
        <v>قطعات و لوازم يدكي</v>
      </c>
      <c r="C2433" s="1">
        <v>101</v>
      </c>
      <c r="D2433" s="1" t="str">
        <f>"انبار قطعات و لوازم يدكي اصفهان"</f>
        <v>انبار قطعات و لوازم يدكي اصفهان</v>
      </c>
      <c r="E2433" s="1" t="str">
        <f>"6088721882"</f>
        <v>6088721882</v>
      </c>
      <c r="F2433" s="1" t="str">
        <f>"شير برقي 3/2"</f>
        <v>شير برقي 3/2</v>
      </c>
      <c r="G2433" s="1" t="str">
        <f>"عدد"</f>
        <v>عدد</v>
      </c>
      <c r="H2433" s="1">
        <v>2</v>
      </c>
      <c r="I2433" s="1">
        <v>10600000</v>
      </c>
      <c r="J2433" s="1">
        <v>0</v>
      </c>
      <c r="K2433" s="1">
        <v>0</v>
      </c>
      <c r="L2433" s="1">
        <v>0</v>
      </c>
      <c r="M2433" s="1">
        <v>0</v>
      </c>
      <c r="O2433" s="1">
        <v>97</v>
      </c>
      <c r="P2433" s="4">
        <f t="shared" si="111"/>
        <v>10600000</v>
      </c>
      <c r="Q2433" s="4">
        <f t="shared" si="112"/>
        <v>2</v>
      </c>
      <c r="R2433" s="4">
        <f t="shared" si="113"/>
        <v>5300000</v>
      </c>
    </row>
    <row r="2434" spans="1:18">
      <c r="A2434" s="1">
        <v>2</v>
      </c>
      <c r="B2434" s="1" t="str">
        <f>"قطعات و لوازم يدكي"</f>
        <v>قطعات و لوازم يدكي</v>
      </c>
      <c r="C2434" s="1">
        <v>101</v>
      </c>
      <c r="D2434" s="1" t="str">
        <f>"انبار قطعات و لوازم يدكي اصفهان"</f>
        <v>انبار قطعات و لوازم يدكي اصفهان</v>
      </c>
      <c r="E2434" s="1" t="str">
        <f>"6088764042"</f>
        <v>6088764042</v>
      </c>
      <c r="F2434" s="1" t="s">
        <v>146</v>
      </c>
      <c r="G2434" s="1" t="str">
        <f>"عدد"</f>
        <v>عدد</v>
      </c>
      <c r="H2434" s="1">
        <v>2</v>
      </c>
      <c r="I2434" s="1">
        <v>1100000</v>
      </c>
      <c r="J2434" s="1">
        <v>0</v>
      </c>
      <c r="K2434" s="1">
        <v>0</v>
      </c>
      <c r="L2434" s="1">
        <v>0</v>
      </c>
      <c r="M2434" s="1">
        <v>0</v>
      </c>
      <c r="O2434" s="1">
        <v>97</v>
      </c>
      <c r="P2434" s="4">
        <f t="shared" si="111"/>
        <v>1100000</v>
      </c>
      <c r="Q2434" s="4">
        <f t="shared" si="112"/>
        <v>2</v>
      </c>
      <c r="R2434" s="4">
        <f t="shared" si="113"/>
        <v>550000</v>
      </c>
    </row>
    <row r="2435" spans="1:18">
      <c r="A2435" s="1">
        <v>2</v>
      </c>
      <c r="B2435" s="1" t="str">
        <f>"قطعات و لوازم يدكي"</f>
        <v>قطعات و لوازم يدكي</v>
      </c>
      <c r="C2435" s="1">
        <v>101</v>
      </c>
      <c r="D2435" s="1" t="str">
        <f>"انبار قطعات و لوازم يدكي اصفهان"</f>
        <v>انبار قطعات و لوازم يدكي اصفهان</v>
      </c>
      <c r="E2435" s="1" t="str">
        <f>"6095401543"</f>
        <v>6095401543</v>
      </c>
      <c r="F2435" s="1" t="str">
        <f>"LIMIT VALUE RELAYريله شيرمحدودكننده"</f>
        <v>LIMIT VALUE RELAYريله شيرمحدودكننده</v>
      </c>
      <c r="G2435" s="1" t="str">
        <f>"عدد"</f>
        <v>عدد</v>
      </c>
      <c r="H2435" s="1">
        <v>1</v>
      </c>
      <c r="I2435" s="1">
        <v>93600</v>
      </c>
      <c r="J2435" s="1">
        <v>0</v>
      </c>
      <c r="K2435" s="1">
        <v>0</v>
      </c>
      <c r="L2435" s="1">
        <v>0</v>
      </c>
      <c r="M2435" s="1">
        <v>0</v>
      </c>
      <c r="O2435" s="1">
        <v>97</v>
      </c>
      <c r="P2435" s="4">
        <f t="shared" ref="P2435:P2498" si="114">I2435+K2435-M2435</f>
        <v>93600</v>
      </c>
      <c r="Q2435" s="4">
        <f t="shared" ref="Q2435:Q2498" si="115">H2435+J2435-L2435</f>
        <v>1</v>
      </c>
      <c r="R2435" s="4">
        <f t="shared" ref="R2435:R2498" si="116">P2435/Q2435</f>
        <v>93600</v>
      </c>
    </row>
    <row r="2436" spans="1:18">
      <c r="A2436" s="1">
        <v>2</v>
      </c>
      <c r="B2436" s="1" t="str">
        <f>"قطعات و لوازم يدكي"</f>
        <v>قطعات و لوازم يدكي</v>
      </c>
      <c r="C2436" s="1">
        <v>101</v>
      </c>
      <c r="D2436" s="1" t="str">
        <f>"انبار قطعات و لوازم يدكي اصفهان"</f>
        <v>انبار قطعات و لوازم يدكي اصفهان</v>
      </c>
      <c r="E2436" s="1" t="str">
        <f>"6095401563"</f>
        <v>6095401563</v>
      </c>
      <c r="F2436" s="1" t="str">
        <f>"PRESS.SV 1/2 SCR 20 BAR"</f>
        <v>PRESS.SV 1/2 SCR 20 BAR</v>
      </c>
      <c r="G2436" s="1" t="str">
        <f>"عدد"</f>
        <v>عدد</v>
      </c>
      <c r="H2436" s="1">
        <v>3</v>
      </c>
      <c r="I2436" s="1">
        <v>12630000</v>
      </c>
      <c r="J2436" s="1">
        <v>0</v>
      </c>
      <c r="K2436" s="1">
        <v>0</v>
      </c>
      <c r="L2436" s="1">
        <v>0</v>
      </c>
      <c r="M2436" s="1">
        <v>0</v>
      </c>
      <c r="O2436" s="1">
        <v>97</v>
      </c>
      <c r="P2436" s="4">
        <f t="shared" si="114"/>
        <v>12630000</v>
      </c>
      <c r="Q2436" s="4">
        <f t="shared" si="115"/>
        <v>3</v>
      </c>
      <c r="R2436" s="4">
        <f t="shared" si="116"/>
        <v>4210000</v>
      </c>
    </row>
    <row r="2437" spans="1:18">
      <c r="A2437" s="1">
        <v>2</v>
      </c>
      <c r="B2437" s="1" t="str">
        <f>"قطعات و لوازم يدكي"</f>
        <v>قطعات و لوازم يدكي</v>
      </c>
      <c r="C2437" s="1">
        <v>101</v>
      </c>
      <c r="D2437" s="1" t="str">
        <f>"انبار قطعات و لوازم يدكي اصفهان"</f>
        <v>انبار قطعات و لوازم يدكي اصفهان</v>
      </c>
      <c r="E2437" s="1" t="str">
        <f>"6095404013"</f>
        <v>6095404013</v>
      </c>
      <c r="F2437" s="1" t="str">
        <f>"مگ فلومتر دف 200"</f>
        <v>مگ فلومتر دف 200</v>
      </c>
      <c r="G2437" s="1" t="str">
        <f>"عدد"</f>
        <v>عدد</v>
      </c>
      <c r="H2437" s="1">
        <v>1</v>
      </c>
      <c r="I2437" s="1">
        <v>847949</v>
      </c>
      <c r="J2437" s="1">
        <v>0</v>
      </c>
      <c r="K2437" s="1">
        <v>0</v>
      </c>
      <c r="L2437" s="1">
        <v>0</v>
      </c>
      <c r="M2437" s="1">
        <v>0</v>
      </c>
      <c r="O2437" s="1">
        <v>97</v>
      </c>
      <c r="P2437" s="4">
        <f t="shared" si="114"/>
        <v>847949</v>
      </c>
      <c r="Q2437" s="4">
        <f t="shared" si="115"/>
        <v>1</v>
      </c>
      <c r="R2437" s="4">
        <f t="shared" si="116"/>
        <v>847949</v>
      </c>
    </row>
    <row r="2438" spans="1:18">
      <c r="A2438" s="1">
        <v>2</v>
      </c>
      <c r="B2438" s="1" t="str">
        <f>"قطعات و لوازم يدكي"</f>
        <v>قطعات و لوازم يدكي</v>
      </c>
      <c r="C2438" s="1">
        <v>101</v>
      </c>
      <c r="D2438" s="1" t="str">
        <f>"انبار قطعات و لوازم يدكي اصفهان"</f>
        <v>انبار قطعات و لوازم يدكي اصفهان</v>
      </c>
      <c r="E2438" s="1" t="str">
        <f>"6096703073"</f>
        <v>6096703073</v>
      </c>
      <c r="F2438" s="1" t="str">
        <f>"ISOLATING SWITCHسوئچ عايق كننده"</f>
        <v>ISOLATING SWITCHسوئچ عايق كننده</v>
      </c>
      <c r="G2438" s="1" t="str">
        <f>"عدد"</f>
        <v>عدد</v>
      </c>
      <c r="H2438" s="1">
        <v>6</v>
      </c>
      <c r="I2438" s="1">
        <v>7775276</v>
      </c>
      <c r="J2438" s="1">
        <v>0</v>
      </c>
      <c r="K2438" s="1">
        <v>0</v>
      </c>
      <c r="L2438" s="1">
        <v>0</v>
      </c>
      <c r="M2438" s="1">
        <v>0</v>
      </c>
      <c r="O2438" s="1">
        <v>97</v>
      </c>
      <c r="P2438" s="4">
        <f t="shared" si="114"/>
        <v>7775276</v>
      </c>
      <c r="Q2438" s="4">
        <f t="shared" si="115"/>
        <v>6</v>
      </c>
      <c r="R2438" s="4">
        <f t="shared" si="116"/>
        <v>1295879.3333333333</v>
      </c>
    </row>
    <row r="2439" spans="1:18" hidden="1">
      <c r="A2439" s="1">
        <v>2</v>
      </c>
      <c r="B2439" s="1" t="str">
        <f>"قطعات و لوازم يدكي"</f>
        <v>قطعات و لوازم يدكي</v>
      </c>
      <c r="C2439" s="1">
        <v>101</v>
      </c>
      <c r="D2439" s="1" t="str">
        <f>"انبار قطعات و لوازم يدكي اصفهان"</f>
        <v>انبار قطعات و لوازم يدكي اصفهان</v>
      </c>
      <c r="E2439" s="1" t="str">
        <f>"6401030022"</f>
        <v>6401030022</v>
      </c>
      <c r="F2439" s="1" t="str">
        <f>"نازل زينسر"</f>
        <v>نازل زينسر</v>
      </c>
      <c r="G2439" s="1" t="str">
        <f>"عدد"</f>
        <v>عدد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O2439" s="1">
        <v>97</v>
      </c>
      <c r="P2439" s="1">
        <f t="shared" si="114"/>
        <v>0</v>
      </c>
      <c r="Q2439" s="1">
        <f t="shared" si="115"/>
        <v>0</v>
      </c>
      <c r="R2439" s="1" t="e">
        <f t="shared" si="116"/>
        <v>#DIV/0!</v>
      </c>
    </row>
    <row r="2440" spans="1:18">
      <c r="A2440" s="1">
        <v>2</v>
      </c>
      <c r="B2440" s="1" t="str">
        <f>"قطعات و لوازم يدكي"</f>
        <v>قطعات و لوازم يدكي</v>
      </c>
      <c r="C2440" s="1">
        <v>101</v>
      </c>
      <c r="D2440" s="1" t="str">
        <f>"انبار قطعات و لوازم يدكي اصفهان"</f>
        <v>انبار قطعات و لوازم يدكي اصفهان</v>
      </c>
      <c r="E2440" s="1" t="str">
        <f>"6772500502"</f>
        <v>6772500502</v>
      </c>
      <c r="F2440" s="1" t="str">
        <f>"كليد گردان A 400"</f>
        <v>كليد گردان A 400</v>
      </c>
      <c r="G2440" s="1" t="str">
        <f>"عدد"</f>
        <v>عدد</v>
      </c>
      <c r="H2440" s="1">
        <v>2</v>
      </c>
      <c r="I2440" s="1">
        <v>5220000</v>
      </c>
      <c r="J2440" s="1">
        <v>0</v>
      </c>
      <c r="K2440" s="1">
        <v>0</v>
      </c>
      <c r="L2440" s="1">
        <v>0</v>
      </c>
      <c r="M2440" s="1">
        <v>0</v>
      </c>
      <c r="O2440" s="1">
        <v>97</v>
      </c>
      <c r="P2440" s="4">
        <f t="shared" si="114"/>
        <v>5220000</v>
      </c>
      <c r="Q2440" s="4">
        <f t="shared" si="115"/>
        <v>2</v>
      </c>
      <c r="R2440" s="4">
        <f t="shared" si="116"/>
        <v>2610000</v>
      </c>
    </row>
    <row r="2441" spans="1:18">
      <c r="A2441" s="1">
        <v>2</v>
      </c>
      <c r="B2441" s="1" t="str">
        <f>"قطعات و لوازم يدكي"</f>
        <v>قطعات و لوازم يدكي</v>
      </c>
      <c r="C2441" s="1">
        <v>101</v>
      </c>
      <c r="D2441" s="1" t="str">
        <f>"انبار قطعات و لوازم يدكي اصفهان"</f>
        <v>انبار قطعات و لوازم يدكي اصفهان</v>
      </c>
      <c r="E2441" s="1" t="str">
        <f>"6772902132"</f>
        <v>6772902132</v>
      </c>
      <c r="F2441" s="1" t="str">
        <f>"رابط بي متال"</f>
        <v>رابط بي متال</v>
      </c>
      <c r="G2441" s="1" t="str">
        <f>"عدد"</f>
        <v>عدد</v>
      </c>
      <c r="H2441" s="1">
        <v>1</v>
      </c>
      <c r="I2441" s="1">
        <v>2500000</v>
      </c>
      <c r="J2441" s="1">
        <v>0</v>
      </c>
      <c r="K2441" s="1">
        <v>0</v>
      </c>
      <c r="L2441" s="1">
        <v>0</v>
      </c>
      <c r="M2441" s="1">
        <v>0</v>
      </c>
      <c r="O2441" s="1">
        <v>97</v>
      </c>
      <c r="P2441" s="4">
        <f t="shared" si="114"/>
        <v>2500000</v>
      </c>
      <c r="Q2441" s="4">
        <f t="shared" si="115"/>
        <v>1</v>
      </c>
      <c r="R2441" s="4">
        <f t="shared" si="116"/>
        <v>2500000</v>
      </c>
    </row>
    <row r="2442" spans="1:18" hidden="1">
      <c r="A2442" s="1">
        <v>2</v>
      </c>
      <c r="B2442" s="1" t="str">
        <f>"قطعات و لوازم يدكي"</f>
        <v>قطعات و لوازم يدكي</v>
      </c>
      <c r="C2442" s="1">
        <v>101</v>
      </c>
      <c r="D2442" s="1" t="str">
        <f>"انبار قطعات و لوازم يدكي اصفهان"</f>
        <v>انبار قطعات و لوازم يدكي اصفهان</v>
      </c>
      <c r="E2442" s="1" t="str">
        <f>"6800000052"</f>
        <v>6800000052</v>
      </c>
      <c r="F2442" s="1" t="str">
        <f>"کابلشوي 50"</f>
        <v>کابلشوي 50</v>
      </c>
      <c r="G2442" s="1" t="str">
        <f>"عدد"</f>
        <v>عدد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O2442" s="1">
        <v>97</v>
      </c>
      <c r="P2442" s="1">
        <f t="shared" si="114"/>
        <v>0</v>
      </c>
      <c r="Q2442" s="1">
        <f t="shared" si="115"/>
        <v>0</v>
      </c>
      <c r="R2442" s="1" t="e">
        <f t="shared" si="116"/>
        <v>#DIV/0!</v>
      </c>
    </row>
    <row r="2443" spans="1:18">
      <c r="A2443" s="1">
        <v>2</v>
      </c>
      <c r="B2443" s="1" t="str">
        <f>"قطعات و لوازم يدكي"</f>
        <v>قطعات و لوازم يدكي</v>
      </c>
      <c r="C2443" s="1">
        <v>101</v>
      </c>
      <c r="D2443" s="1" t="str">
        <f>"انبار قطعات و لوازم يدكي اصفهان"</f>
        <v>انبار قطعات و لوازم يدكي اصفهان</v>
      </c>
      <c r="E2443" s="1" t="str">
        <f>"6801010112"</f>
        <v>6801010112</v>
      </c>
      <c r="F2443" s="1" t="str">
        <f>"کابلشو  10-50 KL"</f>
        <v>کابلشو  10-50 KL</v>
      </c>
      <c r="G2443" s="1" t="str">
        <f>"عدد"</f>
        <v>عدد</v>
      </c>
      <c r="H2443" s="1">
        <v>60</v>
      </c>
      <c r="I2443" s="1">
        <v>900000</v>
      </c>
      <c r="J2443" s="1">
        <v>0</v>
      </c>
      <c r="K2443" s="1">
        <v>0</v>
      </c>
      <c r="L2443" s="1">
        <v>4</v>
      </c>
      <c r="M2443" s="1">
        <v>60000</v>
      </c>
      <c r="O2443" s="1">
        <v>97</v>
      </c>
      <c r="P2443" s="4">
        <f t="shared" si="114"/>
        <v>840000</v>
      </c>
      <c r="Q2443" s="4">
        <f t="shared" si="115"/>
        <v>56</v>
      </c>
      <c r="R2443" s="4">
        <f t="shared" si="116"/>
        <v>15000</v>
      </c>
    </row>
    <row r="2444" spans="1:18">
      <c r="A2444" s="1">
        <v>2</v>
      </c>
      <c r="B2444" s="1" t="str">
        <f>"قطعات و لوازم يدكي"</f>
        <v>قطعات و لوازم يدكي</v>
      </c>
      <c r="C2444" s="1">
        <v>101</v>
      </c>
      <c r="D2444" s="1" t="str">
        <f>"انبار قطعات و لوازم يدكي اصفهان"</f>
        <v>انبار قطعات و لوازم يدكي اصفهان</v>
      </c>
      <c r="E2444" s="1" t="str">
        <f>"6801010262"</f>
        <v>6801010262</v>
      </c>
      <c r="F2444" s="1" t="str">
        <f>"کانکتور SP3"</f>
        <v>کانکتور SP3</v>
      </c>
      <c r="G2444" s="1" t="str">
        <f>"عدد"</f>
        <v>عدد</v>
      </c>
      <c r="H2444" s="1">
        <v>100</v>
      </c>
      <c r="I2444" s="1">
        <v>70000</v>
      </c>
      <c r="J2444" s="1">
        <v>0</v>
      </c>
      <c r="K2444" s="1">
        <v>0</v>
      </c>
      <c r="L2444" s="1">
        <v>0</v>
      </c>
      <c r="M2444" s="1">
        <v>0</v>
      </c>
      <c r="O2444" s="1">
        <v>97</v>
      </c>
      <c r="P2444" s="4">
        <f t="shared" si="114"/>
        <v>70000</v>
      </c>
      <c r="Q2444" s="4">
        <f t="shared" si="115"/>
        <v>100</v>
      </c>
      <c r="R2444" s="4">
        <f t="shared" si="116"/>
        <v>700</v>
      </c>
    </row>
    <row r="2445" spans="1:18">
      <c r="A2445" s="1">
        <v>2</v>
      </c>
      <c r="B2445" s="1" t="str">
        <f>"قطعات و لوازم يدكي"</f>
        <v>قطعات و لوازم يدكي</v>
      </c>
      <c r="C2445" s="1">
        <v>101</v>
      </c>
      <c r="D2445" s="1" t="str">
        <f>"انبار قطعات و لوازم يدكي اصفهان"</f>
        <v>انبار قطعات و لوازم يدكي اصفهان</v>
      </c>
      <c r="E2445" s="1" t="str">
        <f>"6818117002"</f>
        <v>6818117002</v>
      </c>
      <c r="F2445" s="1" t="str">
        <f>"سيم افشان 2.5"</f>
        <v>سيم افشان 2.5</v>
      </c>
      <c r="G2445" s="1" t="str">
        <f>"متر"</f>
        <v>متر</v>
      </c>
      <c r="H2445" s="1">
        <v>98</v>
      </c>
      <c r="I2445" s="1">
        <v>721465</v>
      </c>
      <c r="J2445" s="1">
        <v>0</v>
      </c>
      <c r="K2445" s="1">
        <v>0</v>
      </c>
      <c r="L2445" s="1">
        <v>0</v>
      </c>
      <c r="M2445" s="1">
        <v>0</v>
      </c>
      <c r="O2445" s="1">
        <v>97</v>
      </c>
      <c r="P2445" s="4">
        <f t="shared" si="114"/>
        <v>721465</v>
      </c>
      <c r="Q2445" s="4">
        <f t="shared" si="115"/>
        <v>98</v>
      </c>
      <c r="R2445" s="4">
        <f t="shared" si="116"/>
        <v>7361.8877551020405</v>
      </c>
    </row>
    <row r="2446" spans="1:18" hidden="1">
      <c r="A2446" s="1">
        <v>2</v>
      </c>
      <c r="B2446" s="1" t="str">
        <f>"قطعات و لوازم يدكي"</f>
        <v>قطعات و لوازم يدكي</v>
      </c>
      <c r="C2446" s="1">
        <v>101</v>
      </c>
      <c r="D2446" s="1" t="str">
        <f>"انبار قطعات و لوازم يدكي اصفهان"</f>
        <v>انبار قطعات و لوازم يدكي اصفهان</v>
      </c>
      <c r="E2446" s="1" t="str">
        <f>"6818117012"</f>
        <v>6818117012</v>
      </c>
      <c r="F2446" s="1" t="str">
        <f>"کابل 2/5*2"</f>
        <v>کابل 2/5*2</v>
      </c>
      <c r="G2446" s="1" t="str">
        <f>"متر"</f>
        <v>متر</v>
      </c>
      <c r="H2446" s="1">
        <v>0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O2446" s="1">
        <v>97</v>
      </c>
      <c r="P2446" s="1">
        <f t="shared" si="114"/>
        <v>0</v>
      </c>
      <c r="Q2446" s="1">
        <f t="shared" si="115"/>
        <v>0</v>
      </c>
      <c r="R2446" s="1" t="e">
        <f t="shared" si="116"/>
        <v>#DIV/0!</v>
      </c>
    </row>
    <row r="2447" spans="1:18">
      <c r="A2447" s="1">
        <v>2</v>
      </c>
      <c r="B2447" s="1" t="str">
        <f>"قطعات و لوازم يدكي"</f>
        <v>قطعات و لوازم يدكي</v>
      </c>
      <c r="C2447" s="1">
        <v>101</v>
      </c>
      <c r="D2447" s="1" t="str">
        <f>"انبار قطعات و لوازم يدكي اصفهان"</f>
        <v>انبار قطعات و لوازم يدكي اصفهان</v>
      </c>
      <c r="E2447" s="1" t="str">
        <f>"6900000012"</f>
        <v>6900000012</v>
      </c>
      <c r="F2447" s="1" t="str">
        <f>"چراغ ضد انفجار"</f>
        <v>چراغ ضد انفجار</v>
      </c>
      <c r="G2447" s="1" t="str">
        <f>"دستگاه"</f>
        <v>دستگاه</v>
      </c>
      <c r="H2447" s="1">
        <v>2</v>
      </c>
      <c r="I2447" s="1">
        <v>26400000</v>
      </c>
      <c r="J2447" s="1">
        <v>0</v>
      </c>
      <c r="K2447" s="1">
        <v>0</v>
      </c>
      <c r="L2447" s="1">
        <v>0</v>
      </c>
      <c r="M2447" s="1">
        <v>0</v>
      </c>
      <c r="O2447" s="1">
        <v>97</v>
      </c>
      <c r="P2447" s="4">
        <f t="shared" si="114"/>
        <v>26400000</v>
      </c>
      <c r="Q2447" s="4">
        <f t="shared" si="115"/>
        <v>2</v>
      </c>
      <c r="R2447" s="4">
        <f t="shared" si="116"/>
        <v>13200000</v>
      </c>
    </row>
    <row r="2448" spans="1:18">
      <c r="A2448" s="1">
        <v>2</v>
      </c>
      <c r="B2448" s="1" t="str">
        <f>"قطعات و لوازم يدكي"</f>
        <v>قطعات و لوازم يدكي</v>
      </c>
      <c r="C2448" s="1">
        <v>101</v>
      </c>
      <c r="D2448" s="1" t="str">
        <f>"انبار قطعات و لوازم يدكي اصفهان"</f>
        <v>انبار قطعات و لوازم يدكي اصفهان</v>
      </c>
      <c r="E2448" s="1" t="str">
        <f>"6900000032"</f>
        <v>6900000032</v>
      </c>
      <c r="F2448" s="1" t="str">
        <f>"در پوش (پلاگ) ضد انفجار"</f>
        <v>در پوش (پلاگ) ضد انفجار</v>
      </c>
      <c r="G2448" s="1" t="str">
        <f>"عدد"</f>
        <v>عدد</v>
      </c>
      <c r="H2448" s="1">
        <v>6</v>
      </c>
      <c r="I2448" s="1">
        <v>2100000</v>
      </c>
      <c r="J2448" s="1">
        <v>0</v>
      </c>
      <c r="K2448" s="1">
        <v>0</v>
      </c>
      <c r="L2448" s="1">
        <v>0</v>
      </c>
      <c r="M2448" s="1">
        <v>0</v>
      </c>
      <c r="O2448" s="1">
        <v>97</v>
      </c>
      <c r="P2448" s="4">
        <f t="shared" si="114"/>
        <v>2100000</v>
      </c>
      <c r="Q2448" s="4">
        <f t="shared" si="115"/>
        <v>6</v>
      </c>
      <c r="R2448" s="4">
        <f t="shared" si="116"/>
        <v>350000</v>
      </c>
    </row>
    <row r="2449" spans="1:18" hidden="1">
      <c r="A2449" s="1">
        <v>2</v>
      </c>
      <c r="B2449" s="1" t="str">
        <f>"قطعات و لوازم يدكي"</f>
        <v>قطعات و لوازم يدكي</v>
      </c>
      <c r="C2449" s="1">
        <v>205</v>
      </c>
      <c r="D2449" s="1" t="str">
        <f>"انبار قطعات و لوازم يدكي بندرعباس"</f>
        <v>انبار قطعات و لوازم يدكي بندرعباس</v>
      </c>
      <c r="E2449" s="1" t="str">
        <f>"1800000801"</f>
        <v>1800000801</v>
      </c>
      <c r="F2449" s="1" t="str">
        <f>"چسب پهن شيشه"</f>
        <v>چسب پهن شيشه</v>
      </c>
      <c r="G2449" s="1" t="str">
        <f>"عدد"</f>
        <v>عدد</v>
      </c>
      <c r="H2449" s="1">
        <v>0</v>
      </c>
      <c r="I2449" s="1">
        <v>0</v>
      </c>
      <c r="J2449" s="1">
        <v>6</v>
      </c>
      <c r="K2449" s="1">
        <v>360000</v>
      </c>
      <c r="L2449" s="1">
        <v>6</v>
      </c>
      <c r="M2449" s="1">
        <v>360000</v>
      </c>
      <c r="O2449" s="1">
        <v>97</v>
      </c>
      <c r="P2449" s="1">
        <f t="shared" si="114"/>
        <v>0</v>
      </c>
      <c r="Q2449" s="1">
        <f t="shared" si="115"/>
        <v>0</v>
      </c>
      <c r="R2449" s="1" t="e">
        <f t="shared" si="116"/>
        <v>#DIV/0!</v>
      </c>
    </row>
    <row r="2450" spans="1:18" hidden="1">
      <c r="A2450" s="1">
        <v>2</v>
      </c>
      <c r="B2450" s="1" t="str">
        <f>"قطعات و لوازم يدكي"</f>
        <v>قطعات و لوازم يدكي</v>
      </c>
      <c r="C2450" s="1">
        <v>205</v>
      </c>
      <c r="D2450" s="1" t="str">
        <f>"انبار قطعات و لوازم يدكي بندرعباس"</f>
        <v>انبار قطعات و لوازم يدكي بندرعباس</v>
      </c>
      <c r="E2450" s="1" t="str">
        <f>"1800000805"</f>
        <v>1800000805</v>
      </c>
      <c r="F2450" s="1" t="str">
        <f>"فيوز مينياتوري سه فاز 16"</f>
        <v>فيوز مينياتوري سه فاز 16</v>
      </c>
      <c r="G2450" s="1" t="str">
        <f>"عدد"</f>
        <v>عدد</v>
      </c>
      <c r="H2450" s="1">
        <v>0</v>
      </c>
      <c r="I2450" s="1">
        <v>0</v>
      </c>
      <c r="J2450" s="1">
        <v>5</v>
      </c>
      <c r="K2450" s="1">
        <v>3425000</v>
      </c>
      <c r="L2450" s="1">
        <v>5</v>
      </c>
      <c r="M2450" s="1">
        <v>3425000</v>
      </c>
      <c r="O2450" s="1">
        <v>97</v>
      </c>
      <c r="P2450" s="1">
        <f t="shared" si="114"/>
        <v>0</v>
      </c>
      <c r="Q2450" s="1">
        <f t="shared" si="115"/>
        <v>0</v>
      </c>
      <c r="R2450" s="1" t="e">
        <f t="shared" si="116"/>
        <v>#DIV/0!</v>
      </c>
    </row>
    <row r="2451" spans="1:18" hidden="1">
      <c r="A2451" s="1">
        <v>2</v>
      </c>
      <c r="B2451" s="1" t="str">
        <f>"قطعات و لوازم يدكي"</f>
        <v>قطعات و لوازم يدكي</v>
      </c>
      <c r="C2451" s="1">
        <v>205</v>
      </c>
      <c r="D2451" s="1" t="str">
        <f>"انبار قطعات و لوازم يدكي بندرعباس"</f>
        <v>انبار قطعات و لوازم يدكي بندرعباس</v>
      </c>
      <c r="E2451" s="1" t="str">
        <f>"1800000830"</f>
        <v>1800000830</v>
      </c>
      <c r="F2451" s="1" t="str">
        <f>"صفحه سنگ 3*180"</f>
        <v>صفحه سنگ 3*180</v>
      </c>
      <c r="G2451" s="1" t="str">
        <f>"عدد"</f>
        <v>عدد</v>
      </c>
      <c r="H2451" s="1">
        <v>0</v>
      </c>
      <c r="I2451" s="1">
        <v>0</v>
      </c>
      <c r="J2451" s="1">
        <v>25</v>
      </c>
      <c r="K2451" s="1">
        <v>2500000</v>
      </c>
      <c r="L2451" s="1">
        <v>25</v>
      </c>
      <c r="M2451" s="1">
        <v>2500000</v>
      </c>
      <c r="O2451" s="1">
        <v>97</v>
      </c>
      <c r="P2451" s="1">
        <f t="shared" si="114"/>
        <v>0</v>
      </c>
      <c r="Q2451" s="1">
        <f t="shared" si="115"/>
        <v>0</v>
      </c>
      <c r="R2451" s="1" t="e">
        <f t="shared" si="116"/>
        <v>#DIV/0!</v>
      </c>
    </row>
    <row r="2452" spans="1:18" hidden="1">
      <c r="A2452" s="1">
        <v>2</v>
      </c>
      <c r="B2452" s="1" t="str">
        <f>"قطعات و لوازم يدكي"</f>
        <v>قطعات و لوازم يدكي</v>
      </c>
      <c r="C2452" s="1">
        <v>205</v>
      </c>
      <c r="D2452" s="1" t="str">
        <f>"انبار قطعات و لوازم يدكي بندرعباس"</f>
        <v>انبار قطعات و لوازم يدكي بندرعباس</v>
      </c>
      <c r="E2452" s="1" t="str">
        <f>"1800000832"</f>
        <v>1800000832</v>
      </c>
      <c r="F2452" s="1" t="str">
        <f>"بکس 17"</f>
        <v>بکس 17</v>
      </c>
      <c r="G2452" s="1" t="str">
        <f>"عدد"</f>
        <v>عدد</v>
      </c>
      <c r="H2452" s="1">
        <v>0</v>
      </c>
      <c r="I2452" s="1">
        <v>0</v>
      </c>
      <c r="J2452" s="1">
        <v>1</v>
      </c>
      <c r="K2452" s="1">
        <v>180000</v>
      </c>
      <c r="L2452" s="1">
        <v>1</v>
      </c>
      <c r="M2452" s="1">
        <v>180000</v>
      </c>
      <c r="O2452" s="1">
        <v>97</v>
      </c>
      <c r="P2452" s="1">
        <f t="shared" si="114"/>
        <v>0</v>
      </c>
      <c r="Q2452" s="1">
        <f t="shared" si="115"/>
        <v>0</v>
      </c>
      <c r="R2452" s="1" t="e">
        <f t="shared" si="116"/>
        <v>#DIV/0!</v>
      </c>
    </row>
    <row r="2453" spans="1:18" hidden="1">
      <c r="A2453" s="1">
        <v>2</v>
      </c>
      <c r="B2453" s="1" t="str">
        <f>"قطعات و لوازم يدكي"</f>
        <v>قطعات و لوازم يدكي</v>
      </c>
      <c r="C2453" s="1">
        <v>205</v>
      </c>
      <c r="D2453" s="1" t="str">
        <f>"انبار قطعات و لوازم يدكي بندرعباس"</f>
        <v>انبار قطعات و لوازم يدكي بندرعباس</v>
      </c>
      <c r="E2453" s="1" t="str">
        <f>"1800000949"</f>
        <v>1800000949</v>
      </c>
      <c r="F2453" s="1" t="str">
        <f>"مهره خشکه 30"</f>
        <v>مهره خشکه 30</v>
      </c>
      <c r="G2453" s="1" t="str">
        <f>"عدد"</f>
        <v>عدد</v>
      </c>
      <c r="H2453" s="1">
        <v>0</v>
      </c>
      <c r="I2453" s="1">
        <v>0</v>
      </c>
      <c r="J2453" s="1">
        <v>8</v>
      </c>
      <c r="K2453" s="1">
        <v>680000</v>
      </c>
      <c r="L2453" s="1">
        <v>8</v>
      </c>
      <c r="M2453" s="1">
        <v>680000</v>
      </c>
      <c r="O2453" s="1">
        <v>97</v>
      </c>
      <c r="P2453" s="1">
        <f t="shared" si="114"/>
        <v>0</v>
      </c>
      <c r="Q2453" s="1">
        <f t="shared" si="115"/>
        <v>0</v>
      </c>
      <c r="R2453" s="1" t="e">
        <f t="shared" si="116"/>
        <v>#DIV/0!</v>
      </c>
    </row>
    <row r="2454" spans="1:18">
      <c r="A2454" s="1">
        <v>2</v>
      </c>
      <c r="B2454" s="1" t="str">
        <f>"قطعات و لوازم يدكي"</f>
        <v>قطعات و لوازم يدكي</v>
      </c>
      <c r="C2454" s="1">
        <v>205</v>
      </c>
      <c r="D2454" s="1" t="str">
        <f>"انبار قطعات و لوازم يدكي بندرعباس"</f>
        <v>انبار قطعات و لوازم يدكي بندرعباس</v>
      </c>
      <c r="E2454" s="1" t="str">
        <f>"1900000028"</f>
        <v>1900000028</v>
      </c>
      <c r="F2454" s="1" t="str">
        <f>"ماسک شيميايي"</f>
        <v>ماسک شيميايي</v>
      </c>
      <c r="G2454" s="1" t="str">
        <f>"عدد"</f>
        <v>عدد</v>
      </c>
      <c r="H2454" s="1">
        <v>0</v>
      </c>
      <c r="I2454" s="1">
        <v>0</v>
      </c>
      <c r="J2454" s="1">
        <v>10</v>
      </c>
      <c r="K2454" s="1">
        <v>35000000</v>
      </c>
      <c r="L2454" s="1">
        <v>9</v>
      </c>
      <c r="M2454" s="1">
        <v>31500000</v>
      </c>
      <c r="O2454" s="1">
        <v>97</v>
      </c>
      <c r="P2454" s="4">
        <f t="shared" si="114"/>
        <v>3500000</v>
      </c>
      <c r="Q2454" s="4">
        <f t="shared" si="115"/>
        <v>1</v>
      </c>
      <c r="R2454" s="4">
        <f t="shared" si="116"/>
        <v>3500000</v>
      </c>
    </row>
    <row r="2455" spans="1:18" hidden="1">
      <c r="A2455" s="1">
        <v>3</v>
      </c>
      <c r="B2455" s="1" t="str">
        <f>"انواع ورق"</f>
        <v>انواع ورق</v>
      </c>
      <c r="C2455" s="1">
        <v>102</v>
      </c>
      <c r="D2455" s="1" t="str">
        <f>"انبار ورق اصفهان"</f>
        <v>انبار ورق اصفهان</v>
      </c>
      <c r="E2455" s="1" t="str">
        <f>"7801101075"</f>
        <v>7801101075</v>
      </c>
      <c r="F2455" s="1" t="str">
        <f>"ورق570*5/"</f>
        <v>ورق570*5/</v>
      </c>
      <c r="G2455" s="1" t="str">
        <f>"كيلوگرم"</f>
        <v>كيلوگرم</v>
      </c>
      <c r="H2455" s="1">
        <v>3245</v>
      </c>
      <c r="I2455" s="1">
        <v>13053445</v>
      </c>
      <c r="J2455" s="1">
        <v>0</v>
      </c>
      <c r="K2455" s="1">
        <v>0</v>
      </c>
      <c r="L2455" s="1">
        <v>0</v>
      </c>
      <c r="M2455" s="1">
        <v>0</v>
      </c>
      <c r="O2455" s="1">
        <v>97</v>
      </c>
      <c r="P2455" s="1">
        <f t="shared" si="114"/>
        <v>13053445</v>
      </c>
      <c r="Q2455" s="1">
        <f t="shared" si="115"/>
        <v>3245</v>
      </c>
      <c r="R2455" s="1">
        <f t="shared" si="116"/>
        <v>4022.6332819722652</v>
      </c>
    </row>
    <row r="2456" spans="1:18" hidden="1">
      <c r="A2456" s="1">
        <v>3</v>
      </c>
      <c r="B2456" s="1" t="str">
        <f>"انواع ورق"</f>
        <v>انواع ورق</v>
      </c>
      <c r="C2456" s="1">
        <v>102</v>
      </c>
      <c r="D2456" s="1" t="str">
        <f>"انبار ورق اصفهان"</f>
        <v>انبار ورق اصفهان</v>
      </c>
      <c r="E2456" s="1" t="str">
        <f>"7801101165"</f>
        <v>7801101165</v>
      </c>
      <c r="F2456" s="1" t="str">
        <f>"ورق بدنه بشكه  6/  عرض 1متر"</f>
        <v>ورق بدنه بشكه  6/  عرض 1متر</v>
      </c>
      <c r="G2456" s="1" t="str">
        <f>"كيلوگرم"</f>
        <v>كيلوگرم</v>
      </c>
      <c r="H2456" s="1">
        <v>2304905</v>
      </c>
      <c r="I2456" s="1">
        <v>66499656804</v>
      </c>
      <c r="J2456" s="1">
        <v>7807055</v>
      </c>
      <c r="K2456" s="1">
        <v>236114692605</v>
      </c>
      <c r="L2456" s="1">
        <v>7180505</v>
      </c>
      <c r="M2456" s="1">
        <v>211466688437</v>
      </c>
      <c r="O2456" s="1">
        <v>97</v>
      </c>
      <c r="P2456" s="1">
        <f t="shared" si="114"/>
        <v>91147660972</v>
      </c>
      <c r="Q2456" s="1">
        <f t="shared" si="115"/>
        <v>2931455</v>
      </c>
      <c r="R2456" s="1">
        <f t="shared" si="116"/>
        <v>31092.976345193769</v>
      </c>
    </row>
    <row r="2457" spans="1:18">
      <c r="A2457" s="1">
        <v>6</v>
      </c>
      <c r="B2457" s="1" t="str">
        <f>"موجودي ملزومات اداري"</f>
        <v>موجودي ملزومات اداري</v>
      </c>
      <c r="C2457" s="1">
        <v>110</v>
      </c>
      <c r="D2457" s="1" t="str">
        <f>"ملزومات اداري اصفهان"</f>
        <v>ملزومات اداري اصفهان</v>
      </c>
      <c r="E2457" s="1" t="str">
        <f>"0000011142"</f>
        <v>0000011142</v>
      </c>
      <c r="F2457" s="1" t="str">
        <f>"مدادتراش"</f>
        <v>مدادتراش</v>
      </c>
      <c r="G2457" s="1" t="str">
        <f>"عدد"</f>
        <v>عدد</v>
      </c>
      <c r="H2457" s="1">
        <v>33</v>
      </c>
      <c r="I2457" s="1">
        <v>135251</v>
      </c>
      <c r="J2457" s="1">
        <v>0</v>
      </c>
      <c r="K2457" s="1">
        <v>0</v>
      </c>
      <c r="L2457" s="1">
        <v>31</v>
      </c>
      <c r="M2457" s="1">
        <v>127054</v>
      </c>
      <c r="O2457" s="1">
        <v>97</v>
      </c>
      <c r="P2457" s="4">
        <f t="shared" si="114"/>
        <v>8197</v>
      </c>
      <c r="Q2457" s="4">
        <f t="shared" si="115"/>
        <v>2</v>
      </c>
      <c r="R2457" s="4">
        <f t="shared" si="116"/>
        <v>4098.5</v>
      </c>
    </row>
    <row r="2458" spans="1:18" hidden="1">
      <c r="A2458" s="1">
        <v>6</v>
      </c>
      <c r="B2458" s="1" t="str">
        <f>"موجودي ملزومات اداري"</f>
        <v>موجودي ملزومات اداري</v>
      </c>
      <c r="C2458" s="1">
        <v>110</v>
      </c>
      <c r="D2458" s="1" t="str">
        <f>"ملزومات اداري اصفهان"</f>
        <v>ملزومات اداري اصفهان</v>
      </c>
      <c r="E2458" s="1" t="str">
        <f>"0000011362"</f>
        <v>0000011362</v>
      </c>
      <c r="F2458" s="1" t="str">
        <f>"كاغذ A5 بسته 500 برگي"</f>
        <v>كاغذ A5 بسته 500 برگي</v>
      </c>
      <c r="G2458" s="1" t="str">
        <f>"عدد"</f>
        <v>عدد</v>
      </c>
      <c r="H2458" s="1">
        <v>31</v>
      </c>
      <c r="I2458" s="1">
        <v>1488000</v>
      </c>
      <c r="J2458" s="1">
        <v>450</v>
      </c>
      <c r="K2458" s="1">
        <v>36450000</v>
      </c>
      <c r="L2458" s="1">
        <v>481</v>
      </c>
      <c r="M2458" s="1">
        <v>37938000</v>
      </c>
      <c r="O2458" s="1">
        <v>97</v>
      </c>
      <c r="P2458" s="1">
        <f t="shared" si="114"/>
        <v>0</v>
      </c>
      <c r="Q2458" s="1">
        <f t="shared" si="115"/>
        <v>0</v>
      </c>
      <c r="R2458" s="1" t="e">
        <f t="shared" si="116"/>
        <v>#DIV/0!</v>
      </c>
    </row>
    <row r="2459" spans="1:18" hidden="1">
      <c r="A2459" s="1">
        <v>6</v>
      </c>
      <c r="B2459" s="1" t="str">
        <f>"موجودي ملزومات اداري"</f>
        <v>موجودي ملزومات اداري</v>
      </c>
      <c r="C2459" s="1">
        <v>110</v>
      </c>
      <c r="D2459" s="1" t="str">
        <f>"ملزومات اداري اصفهان"</f>
        <v>ملزومات اداري اصفهان</v>
      </c>
      <c r="E2459" s="1" t="str">
        <f>"0000011402"</f>
        <v>0000011402</v>
      </c>
      <c r="F2459" s="1" t="str">
        <f>"زونکن کوچک"</f>
        <v>زونکن کوچک</v>
      </c>
      <c r="G2459" s="1" t="str">
        <f>"عدد"</f>
        <v>عدد</v>
      </c>
      <c r="H2459" s="1">
        <v>8</v>
      </c>
      <c r="I2459" s="1">
        <v>588000</v>
      </c>
      <c r="J2459" s="1">
        <v>40</v>
      </c>
      <c r="K2459" s="1">
        <v>5100000</v>
      </c>
      <c r="L2459" s="1">
        <v>48</v>
      </c>
      <c r="M2459" s="1">
        <v>5688000</v>
      </c>
      <c r="O2459" s="1">
        <v>97</v>
      </c>
      <c r="P2459" s="1">
        <f t="shared" si="114"/>
        <v>0</v>
      </c>
      <c r="Q2459" s="1">
        <f t="shared" si="115"/>
        <v>0</v>
      </c>
      <c r="R2459" s="1" t="e">
        <f t="shared" si="116"/>
        <v>#DIV/0!</v>
      </c>
    </row>
    <row r="2460" spans="1:18">
      <c r="A2460" s="1">
        <v>6</v>
      </c>
      <c r="B2460" s="1" t="str">
        <f>"موجودي ملزومات اداري"</f>
        <v>موجودي ملزومات اداري</v>
      </c>
      <c r="C2460" s="1">
        <v>110</v>
      </c>
      <c r="D2460" s="1" t="str">
        <f>"ملزومات اداري اصفهان"</f>
        <v>ملزومات اداري اصفهان</v>
      </c>
      <c r="E2460" s="1" t="str">
        <f>"0000011562"</f>
        <v>0000011562</v>
      </c>
      <c r="F2460" s="1" t="str">
        <f>"گيره كاغذ متوسط"</f>
        <v>گيره كاغذ متوسط</v>
      </c>
      <c r="G2460" s="1" t="str">
        <f>"عدد"</f>
        <v>عدد</v>
      </c>
      <c r="H2460" s="1">
        <v>60</v>
      </c>
      <c r="I2460" s="1">
        <v>136071</v>
      </c>
      <c r="J2460" s="1">
        <v>0</v>
      </c>
      <c r="K2460" s="1">
        <v>0</v>
      </c>
      <c r="L2460" s="1">
        <v>0</v>
      </c>
      <c r="M2460" s="1">
        <v>0</v>
      </c>
      <c r="O2460" s="1">
        <v>97</v>
      </c>
      <c r="P2460" s="4">
        <f t="shared" si="114"/>
        <v>136071</v>
      </c>
      <c r="Q2460" s="4">
        <f t="shared" si="115"/>
        <v>60</v>
      </c>
      <c r="R2460" s="4">
        <f t="shared" si="116"/>
        <v>2267.85</v>
      </c>
    </row>
    <row r="2461" spans="1:18">
      <c r="A2461" s="1">
        <v>6</v>
      </c>
      <c r="B2461" s="1" t="str">
        <f>"موجودي ملزومات اداري"</f>
        <v>موجودي ملزومات اداري</v>
      </c>
      <c r="C2461" s="1">
        <v>110</v>
      </c>
      <c r="D2461" s="1" t="str">
        <f>"ملزومات اداري اصفهان"</f>
        <v>ملزومات اداري اصفهان</v>
      </c>
      <c r="E2461" s="1" t="str">
        <f>"0000011612"</f>
        <v>0000011612</v>
      </c>
      <c r="F2461" s="1" t="str">
        <f>"سوزن دوخت بزرگ"</f>
        <v>سوزن دوخت بزرگ</v>
      </c>
      <c r="G2461" s="1" t="str">
        <f>"بسته"</f>
        <v>بسته</v>
      </c>
      <c r="H2461" s="1">
        <v>0</v>
      </c>
      <c r="I2461" s="1">
        <v>0</v>
      </c>
      <c r="J2461" s="1">
        <v>200</v>
      </c>
      <c r="K2461" s="1">
        <v>3000000</v>
      </c>
      <c r="L2461" s="1">
        <v>0</v>
      </c>
      <c r="M2461" s="1">
        <v>0</v>
      </c>
      <c r="O2461" s="1">
        <v>97</v>
      </c>
      <c r="P2461" s="4">
        <f t="shared" si="114"/>
        <v>3000000</v>
      </c>
      <c r="Q2461" s="4">
        <f t="shared" si="115"/>
        <v>200</v>
      </c>
      <c r="R2461" s="4">
        <f t="shared" si="116"/>
        <v>15000</v>
      </c>
    </row>
    <row r="2462" spans="1:18">
      <c r="A2462" s="1">
        <v>6</v>
      </c>
      <c r="B2462" s="1" t="str">
        <f>"موجودي ملزومات اداري"</f>
        <v>موجودي ملزومات اداري</v>
      </c>
      <c r="C2462" s="1">
        <v>110</v>
      </c>
      <c r="D2462" s="1" t="str">
        <f>"ملزومات اداري اصفهان"</f>
        <v>ملزومات اداري اصفهان</v>
      </c>
      <c r="E2462" s="1" t="str">
        <f>"0000011752"</f>
        <v>0000011752</v>
      </c>
      <c r="F2462" s="1" t="str">
        <f>"منگنه كش"</f>
        <v>منگنه كش</v>
      </c>
      <c r="G2462" s="1" t="str">
        <f>"عدد"</f>
        <v>عدد</v>
      </c>
      <c r="H2462" s="1">
        <v>59</v>
      </c>
      <c r="I2462" s="1">
        <v>722079</v>
      </c>
      <c r="J2462" s="1">
        <v>0</v>
      </c>
      <c r="K2462" s="1">
        <v>0</v>
      </c>
      <c r="L2462" s="1">
        <v>34</v>
      </c>
      <c r="M2462" s="1">
        <v>416113</v>
      </c>
      <c r="O2462" s="1">
        <v>97</v>
      </c>
      <c r="P2462" s="4">
        <f t="shared" si="114"/>
        <v>305966</v>
      </c>
      <c r="Q2462" s="4">
        <f t="shared" si="115"/>
        <v>25</v>
      </c>
      <c r="R2462" s="4">
        <f t="shared" si="116"/>
        <v>12238.64</v>
      </c>
    </row>
    <row r="2463" spans="1:18" hidden="1">
      <c r="A2463" s="1">
        <v>6</v>
      </c>
      <c r="B2463" s="1" t="str">
        <f>"موجودي ملزومات اداري"</f>
        <v>موجودي ملزومات اداري</v>
      </c>
      <c r="C2463" s="1">
        <v>110</v>
      </c>
      <c r="D2463" s="1" t="str">
        <f>"ملزومات اداري اصفهان"</f>
        <v>ملزومات اداري اصفهان</v>
      </c>
      <c r="E2463" s="1" t="str">
        <f>"0000017172"</f>
        <v>0000017172</v>
      </c>
      <c r="F2463" s="1" t="str">
        <f>"دستمال حوله اي"</f>
        <v>دستمال حوله اي</v>
      </c>
      <c r="G2463" s="1" t="str">
        <f>"عدد"</f>
        <v>عدد</v>
      </c>
      <c r="H2463" s="1">
        <v>0</v>
      </c>
      <c r="I2463" s="1">
        <v>0</v>
      </c>
      <c r="J2463" s="1">
        <v>1200</v>
      </c>
      <c r="K2463" s="1">
        <v>75403200</v>
      </c>
      <c r="L2463" s="1">
        <v>1200</v>
      </c>
      <c r="M2463" s="1">
        <v>75403200</v>
      </c>
      <c r="O2463" s="1">
        <v>97</v>
      </c>
      <c r="P2463" s="1">
        <f t="shared" si="114"/>
        <v>0</v>
      </c>
      <c r="Q2463" s="1">
        <f t="shared" si="115"/>
        <v>0</v>
      </c>
      <c r="R2463" s="1" t="e">
        <f t="shared" si="116"/>
        <v>#DIV/0!</v>
      </c>
    </row>
    <row r="2464" spans="1:18" hidden="1">
      <c r="A2464" s="1">
        <v>6</v>
      </c>
      <c r="B2464" s="1" t="str">
        <f>"موجودي ملزومات اداري"</f>
        <v>موجودي ملزومات اداري</v>
      </c>
      <c r="C2464" s="1">
        <v>110</v>
      </c>
      <c r="D2464" s="1" t="str">
        <f>"ملزومات اداري اصفهان"</f>
        <v>ملزومات اداري اصفهان</v>
      </c>
      <c r="E2464" s="1" t="str">
        <f>"0000017292"</f>
        <v>0000017292</v>
      </c>
      <c r="F2464" s="1" t="str">
        <f>"شيشه پاكن"</f>
        <v>شيشه پاكن</v>
      </c>
      <c r="G2464" s="1" t="str">
        <f>"عدد"</f>
        <v>عدد</v>
      </c>
      <c r="H2464" s="1">
        <v>47</v>
      </c>
      <c r="I2464" s="1">
        <v>1645000</v>
      </c>
      <c r="J2464" s="1">
        <v>80</v>
      </c>
      <c r="K2464" s="1">
        <v>3700000</v>
      </c>
      <c r="L2464" s="1">
        <v>127</v>
      </c>
      <c r="M2464" s="1">
        <v>5345000</v>
      </c>
      <c r="O2464" s="1">
        <v>97</v>
      </c>
      <c r="P2464" s="1">
        <f t="shared" si="114"/>
        <v>0</v>
      </c>
      <c r="Q2464" s="1">
        <f t="shared" si="115"/>
        <v>0</v>
      </c>
      <c r="R2464" s="1" t="e">
        <f t="shared" si="116"/>
        <v>#DIV/0!</v>
      </c>
    </row>
    <row r="2465" spans="1:18" hidden="1">
      <c r="A2465" s="1">
        <v>6</v>
      </c>
      <c r="B2465" s="1" t="str">
        <f>"موجودي ملزومات اداري"</f>
        <v>موجودي ملزومات اداري</v>
      </c>
      <c r="C2465" s="1">
        <v>110</v>
      </c>
      <c r="D2465" s="1" t="str">
        <f>"ملزومات اداري اصفهان"</f>
        <v>ملزومات اداري اصفهان</v>
      </c>
      <c r="E2465" s="1" t="str">
        <f>"0000017312"</f>
        <v>0000017312</v>
      </c>
      <c r="F2465" s="1" t="str">
        <f>"مايع افروز"</f>
        <v>مايع افروز</v>
      </c>
      <c r="G2465" s="1" t="str">
        <f>"عدد"</f>
        <v>عدد</v>
      </c>
      <c r="H2465" s="1">
        <v>0</v>
      </c>
      <c r="I2465" s="1">
        <v>0</v>
      </c>
      <c r="J2465" s="1">
        <v>50</v>
      </c>
      <c r="K2465" s="1">
        <v>5040000</v>
      </c>
      <c r="L2465" s="1">
        <v>50</v>
      </c>
      <c r="M2465" s="1">
        <v>5040000</v>
      </c>
      <c r="O2465" s="1">
        <v>97</v>
      </c>
      <c r="P2465" s="1">
        <f t="shared" si="114"/>
        <v>0</v>
      </c>
      <c r="Q2465" s="1">
        <f t="shared" si="115"/>
        <v>0</v>
      </c>
      <c r="R2465" s="1" t="e">
        <f t="shared" si="116"/>
        <v>#DIV/0!</v>
      </c>
    </row>
    <row r="2466" spans="1:18">
      <c r="A2466" s="1">
        <v>6</v>
      </c>
      <c r="B2466" s="1" t="str">
        <f>"موجودي ملزومات اداري"</f>
        <v>موجودي ملزومات اداري</v>
      </c>
      <c r="C2466" s="1">
        <v>110</v>
      </c>
      <c r="D2466" s="1" t="str">
        <f>"ملزومات اداري اصفهان"</f>
        <v>ملزومات اداري اصفهان</v>
      </c>
      <c r="E2466" s="1" t="str">
        <f>"0000020262"</f>
        <v>0000020262</v>
      </c>
      <c r="F2466" s="1" t="str">
        <f>"دستکش استاد کار"</f>
        <v>دستکش استاد کار</v>
      </c>
      <c r="G2466" s="1" t="str">
        <f>"عدد"</f>
        <v>عدد</v>
      </c>
      <c r="H2466" s="1">
        <v>84</v>
      </c>
      <c r="I2466" s="1">
        <v>3192000</v>
      </c>
      <c r="J2466" s="1">
        <v>0</v>
      </c>
      <c r="K2466" s="1">
        <v>0</v>
      </c>
      <c r="L2466" s="1">
        <v>68</v>
      </c>
      <c r="M2466" s="1">
        <v>2584000</v>
      </c>
      <c r="O2466" s="1">
        <v>97</v>
      </c>
      <c r="P2466" s="4">
        <f t="shared" si="114"/>
        <v>608000</v>
      </c>
      <c r="Q2466" s="4">
        <f t="shared" si="115"/>
        <v>16</v>
      </c>
      <c r="R2466" s="4">
        <f t="shared" si="116"/>
        <v>38000</v>
      </c>
    </row>
    <row r="2467" spans="1:18" hidden="1">
      <c r="A2467" s="1">
        <v>6</v>
      </c>
      <c r="B2467" s="1" t="str">
        <f>"موجودي ملزومات اداري"</f>
        <v>موجودي ملزومات اداري</v>
      </c>
      <c r="C2467" s="1">
        <v>110</v>
      </c>
      <c r="D2467" s="1" t="str">
        <f>"ملزومات اداري اصفهان"</f>
        <v>ملزومات اداري اصفهان</v>
      </c>
      <c r="E2467" s="1" t="str">
        <f>"0000052362"</f>
        <v>0000052362</v>
      </c>
      <c r="F2467" s="1" t="str">
        <f>"بيل"</f>
        <v>بيل</v>
      </c>
      <c r="G2467" s="1" t="str">
        <f>"عدد"</f>
        <v>عدد</v>
      </c>
      <c r="H2467" s="1">
        <v>0</v>
      </c>
      <c r="I2467" s="1">
        <v>0</v>
      </c>
      <c r="J2467" s="1">
        <v>2</v>
      </c>
      <c r="K2467" s="1">
        <v>960000</v>
      </c>
      <c r="L2467" s="1">
        <v>2</v>
      </c>
      <c r="M2467" s="1">
        <v>960000</v>
      </c>
      <c r="O2467" s="1">
        <v>97</v>
      </c>
      <c r="P2467" s="1">
        <f t="shared" si="114"/>
        <v>0</v>
      </c>
      <c r="Q2467" s="1">
        <f t="shared" si="115"/>
        <v>0</v>
      </c>
      <c r="R2467" s="1" t="e">
        <f t="shared" si="116"/>
        <v>#DIV/0!</v>
      </c>
    </row>
    <row r="2468" spans="1:18" hidden="1">
      <c r="A2468" s="1">
        <v>6</v>
      </c>
      <c r="B2468" s="1" t="str">
        <f>"موجودي ملزومات اداري"</f>
        <v>موجودي ملزومات اداري</v>
      </c>
      <c r="C2468" s="1">
        <v>110</v>
      </c>
      <c r="D2468" s="1" t="str">
        <f>"ملزومات اداري اصفهان"</f>
        <v>ملزومات اداري اصفهان</v>
      </c>
      <c r="E2468" s="1" t="str">
        <f>"0000054582"</f>
        <v>0000054582</v>
      </c>
      <c r="F2468" s="1" t="str">
        <f>"سمباده متوسط 25 متري"</f>
        <v>سمباده متوسط 25 متري</v>
      </c>
      <c r="G2468" s="1" t="str">
        <f>"رول"</f>
        <v>رول</v>
      </c>
      <c r="H2468" s="1">
        <v>0</v>
      </c>
      <c r="I2468" s="1">
        <v>0</v>
      </c>
      <c r="J2468" s="1">
        <v>1</v>
      </c>
      <c r="K2468" s="1">
        <v>3000000</v>
      </c>
      <c r="L2468" s="1">
        <v>1</v>
      </c>
      <c r="M2468" s="1">
        <v>3000000</v>
      </c>
      <c r="O2468" s="1">
        <v>97</v>
      </c>
      <c r="P2468" s="1">
        <f t="shared" si="114"/>
        <v>0</v>
      </c>
      <c r="Q2468" s="1">
        <f t="shared" si="115"/>
        <v>0</v>
      </c>
      <c r="R2468" s="1" t="e">
        <f t="shared" si="116"/>
        <v>#DIV/0!</v>
      </c>
    </row>
    <row r="2469" spans="1:18" hidden="1">
      <c r="A2469" s="1">
        <v>6</v>
      </c>
      <c r="B2469" s="1" t="str">
        <f>"موجودي ملزومات اداري"</f>
        <v>موجودي ملزومات اداري</v>
      </c>
      <c r="C2469" s="1">
        <v>110</v>
      </c>
      <c r="D2469" s="1" t="str">
        <f>"ملزومات اداري اصفهان"</f>
        <v>ملزومات اداري اصفهان</v>
      </c>
      <c r="E2469" s="1" t="str">
        <f>"0000055752"</f>
        <v>0000055752</v>
      </c>
      <c r="F2469" s="1" t="str">
        <f>"شيلنگ آب 1 اينچ"</f>
        <v>شيلنگ آب 1 اينچ</v>
      </c>
      <c r="G2469" s="1" t="str">
        <f>"متر"</f>
        <v>متر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O2469" s="1">
        <v>97</v>
      </c>
      <c r="P2469" s="1">
        <f t="shared" si="114"/>
        <v>0</v>
      </c>
      <c r="Q2469" s="1">
        <f t="shared" si="115"/>
        <v>0</v>
      </c>
      <c r="R2469" s="1" t="e">
        <f t="shared" si="116"/>
        <v>#DIV/0!</v>
      </c>
    </row>
    <row r="2470" spans="1:18" hidden="1">
      <c r="A2470" s="1">
        <v>6</v>
      </c>
      <c r="B2470" s="1" t="str">
        <f>"موجودي ملزومات اداري"</f>
        <v>موجودي ملزومات اداري</v>
      </c>
      <c r="C2470" s="1">
        <v>110</v>
      </c>
      <c r="D2470" s="1" t="str">
        <f>"ملزومات اداري اصفهان"</f>
        <v>ملزومات اداري اصفهان</v>
      </c>
      <c r="E2470" s="1" t="str">
        <f>"1501020062"</f>
        <v>1501020062</v>
      </c>
      <c r="F2470" s="1" t="str">
        <f>"هواکش 10 فلزي الکتروفن"</f>
        <v>هواکش 10 فلزي الکتروفن</v>
      </c>
      <c r="G2470" s="1" t="str">
        <f>"عدد"</f>
        <v>عدد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O2470" s="1">
        <v>97</v>
      </c>
      <c r="P2470" s="1">
        <f t="shared" si="114"/>
        <v>0</v>
      </c>
      <c r="Q2470" s="1">
        <f t="shared" si="115"/>
        <v>0</v>
      </c>
      <c r="R2470" s="1" t="e">
        <f t="shared" si="116"/>
        <v>#DIV/0!</v>
      </c>
    </row>
    <row r="2471" spans="1:18">
      <c r="A2471" s="1">
        <v>6</v>
      </c>
      <c r="B2471" s="1" t="str">
        <f>"موجودي ملزومات اداري"</f>
        <v>موجودي ملزومات اداري</v>
      </c>
      <c r="C2471" s="1">
        <v>110</v>
      </c>
      <c r="D2471" s="1" t="str">
        <f>"ملزومات اداري اصفهان"</f>
        <v>ملزومات اداري اصفهان</v>
      </c>
      <c r="E2471" s="1" t="str">
        <f>"1501020392"</f>
        <v>1501020392</v>
      </c>
      <c r="F2471" s="1" t="str">
        <f>"دفتر گزارش مسئول نوبتکاري"</f>
        <v>دفتر گزارش مسئول نوبتکاري</v>
      </c>
      <c r="G2471" s="1" t="str">
        <f>"جلد"</f>
        <v>جلد</v>
      </c>
      <c r="H2471" s="1">
        <v>12</v>
      </c>
      <c r="I2471" s="1">
        <v>5386667</v>
      </c>
      <c r="J2471" s="1">
        <v>12</v>
      </c>
      <c r="K2471" s="1">
        <v>6000000</v>
      </c>
      <c r="L2471" s="1">
        <v>11</v>
      </c>
      <c r="M2471" s="1">
        <v>5108149</v>
      </c>
      <c r="O2471" s="1">
        <v>97</v>
      </c>
      <c r="P2471" s="4">
        <f t="shared" si="114"/>
        <v>6278518</v>
      </c>
      <c r="Q2471" s="4">
        <f t="shared" si="115"/>
        <v>13</v>
      </c>
      <c r="R2471" s="4">
        <f t="shared" si="116"/>
        <v>482962.92307692306</v>
      </c>
    </row>
    <row r="2472" spans="1:18">
      <c r="A2472" s="1">
        <v>6</v>
      </c>
      <c r="B2472" s="1" t="str">
        <f>"موجودي ملزومات اداري"</f>
        <v>موجودي ملزومات اداري</v>
      </c>
      <c r="C2472" s="1">
        <v>110</v>
      </c>
      <c r="D2472" s="1" t="str">
        <f>"ملزومات اداري اصفهان"</f>
        <v>ملزومات اداري اصفهان</v>
      </c>
      <c r="E2472" s="1" t="str">
        <f>"1501020402"</f>
        <v>1501020402</v>
      </c>
      <c r="F2472" s="1" t="str">
        <f>"دفتر گزارش کارمند ارشد"</f>
        <v>دفتر گزارش کارمند ارشد</v>
      </c>
      <c r="G2472" s="1" t="str">
        <f>"جلد"</f>
        <v>جلد</v>
      </c>
      <c r="H2472" s="1">
        <v>12</v>
      </c>
      <c r="I2472" s="1">
        <v>5386667</v>
      </c>
      <c r="J2472" s="1">
        <v>12</v>
      </c>
      <c r="K2472" s="1">
        <v>6000000</v>
      </c>
      <c r="L2472" s="1">
        <v>11</v>
      </c>
      <c r="M2472" s="1">
        <v>5108149</v>
      </c>
      <c r="O2472" s="1">
        <v>97</v>
      </c>
      <c r="P2472" s="4">
        <f t="shared" si="114"/>
        <v>6278518</v>
      </c>
      <c r="Q2472" s="4">
        <f t="shared" si="115"/>
        <v>13</v>
      </c>
      <c r="R2472" s="4">
        <f t="shared" si="116"/>
        <v>482962.92307692306</v>
      </c>
    </row>
    <row r="2473" spans="1:18" hidden="1">
      <c r="A2473" s="1">
        <v>6</v>
      </c>
      <c r="B2473" s="1" t="str">
        <f>"موجودي ملزومات اداري"</f>
        <v>موجودي ملزومات اداري</v>
      </c>
      <c r="C2473" s="1">
        <v>110</v>
      </c>
      <c r="D2473" s="1" t="str">
        <f>"ملزومات اداري اصفهان"</f>
        <v>ملزومات اداري اصفهان</v>
      </c>
      <c r="E2473" s="1" t="str">
        <f>"1501020512"</f>
        <v>1501020512</v>
      </c>
      <c r="F2473" s="1" t="str">
        <f>"کاتر ."</f>
        <v>کاتر .</v>
      </c>
      <c r="G2473" s="1" t="str">
        <f>"عدد"</f>
        <v>عدد</v>
      </c>
      <c r="H2473" s="1">
        <v>0</v>
      </c>
      <c r="I2473" s="1">
        <v>0</v>
      </c>
      <c r="J2473" s="1">
        <v>1</v>
      </c>
      <c r="K2473" s="1">
        <v>80000</v>
      </c>
      <c r="L2473" s="1">
        <v>1</v>
      </c>
      <c r="M2473" s="1">
        <v>80000</v>
      </c>
      <c r="O2473" s="1">
        <v>97</v>
      </c>
      <c r="P2473" s="1">
        <f t="shared" si="114"/>
        <v>0</v>
      </c>
      <c r="Q2473" s="1">
        <f t="shared" si="115"/>
        <v>0</v>
      </c>
      <c r="R2473" s="1" t="e">
        <f t="shared" si="116"/>
        <v>#DIV/0!</v>
      </c>
    </row>
    <row r="2474" spans="1:18" hidden="1">
      <c r="A2474" s="1">
        <v>6</v>
      </c>
      <c r="B2474" s="1" t="str">
        <f>"موجودي ملزومات اداري"</f>
        <v>موجودي ملزومات اداري</v>
      </c>
      <c r="C2474" s="1">
        <v>110</v>
      </c>
      <c r="D2474" s="1" t="str">
        <f>"ملزومات اداري اصفهان"</f>
        <v>ملزومات اداري اصفهان</v>
      </c>
      <c r="E2474" s="1" t="str">
        <f>"1501020702"</f>
        <v>1501020702</v>
      </c>
      <c r="F2474" s="1" t="str">
        <f>"رنگ نسوز"</f>
        <v>رنگ نسوز</v>
      </c>
      <c r="G2474" s="1" t="str">
        <f>"كيلوگرم"</f>
        <v>كيلوگرم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O2474" s="1">
        <v>97</v>
      </c>
      <c r="P2474" s="1">
        <f t="shared" si="114"/>
        <v>0</v>
      </c>
      <c r="Q2474" s="1">
        <f t="shared" si="115"/>
        <v>0</v>
      </c>
      <c r="R2474" s="1" t="e">
        <f t="shared" si="116"/>
        <v>#DIV/0!</v>
      </c>
    </row>
    <row r="2475" spans="1:18" hidden="1">
      <c r="A2475" s="1">
        <v>6</v>
      </c>
      <c r="B2475" s="1" t="str">
        <f>"موجودي ملزومات اداري"</f>
        <v>موجودي ملزومات اداري</v>
      </c>
      <c r="C2475" s="1">
        <v>110</v>
      </c>
      <c r="D2475" s="1" t="str">
        <f>"ملزومات اداري اصفهان"</f>
        <v>ملزومات اداري اصفهان</v>
      </c>
      <c r="E2475" s="1" t="str">
        <f>"1501021172"</f>
        <v>1501021172</v>
      </c>
      <c r="F2475" s="1" t="str">
        <f>"شير اهرمي روشويي"</f>
        <v>شير اهرمي روشويي</v>
      </c>
      <c r="G2475" s="1" t="str">
        <f>"عدد"</f>
        <v>عدد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O2475" s="1">
        <v>97</v>
      </c>
      <c r="P2475" s="1">
        <f t="shared" si="114"/>
        <v>0</v>
      </c>
      <c r="Q2475" s="1">
        <f t="shared" si="115"/>
        <v>0</v>
      </c>
      <c r="R2475" s="1" t="e">
        <f t="shared" si="116"/>
        <v>#DIV/0!</v>
      </c>
    </row>
    <row r="2476" spans="1:18" hidden="1">
      <c r="A2476" s="1">
        <v>6</v>
      </c>
      <c r="B2476" s="1" t="str">
        <f>"موجودي ملزومات اداري"</f>
        <v>موجودي ملزومات اداري</v>
      </c>
      <c r="C2476" s="1">
        <v>110</v>
      </c>
      <c r="D2476" s="1" t="str">
        <f>"ملزومات اداري اصفهان"</f>
        <v>ملزومات اداري اصفهان</v>
      </c>
      <c r="E2476" s="1" t="str">
        <f>"1501030012"</f>
        <v>1501030012</v>
      </c>
      <c r="F2476" s="1" t="str">
        <f>"کارتريج 13A"</f>
        <v>کارتريج 13A</v>
      </c>
      <c r="G2476" s="1" t="str">
        <f>"عدد"</f>
        <v>عدد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O2476" s="1">
        <v>97</v>
      </c>
      <c r="P2476" s="1">
        <f t="shared" si="114"/>
        <v>0</v>
      </c>
      <c r="Q2476" s="1">
        <f t="shared" si="115"/>
        <v>0</v>
      </c>
      <c r="R2476" s="1" t="e">
        <f t="shared" si="116"/>
        <v>#DIV/0!</v>
      </c>
    </row>
    <row r="2477" spans="1:18" hidden="1">
      <c r="A2477" s="1">
        <v>6</v>
      </c>
      <c r="B2477" s="1" t="str">
        <f>"موجودي ملزومات اداري"</f>
        <v>موجودي ملزومات اداري</v>
      </c>
      <c r="C2477" s="1">
        <v>110</v>
      </c>
      <c r="D2477" s="1" t="str">
        <f>"ملزومات اداري اصفهان"</f>
        <v>ملزومات اداري اصفهان</v>
      </c>
      <c r="E2477" s="1" t="str">
        <f>"1502030252"</f>
        <v>1502030252</v>
      </c>
      <c r="F2477" s="1" t="str">
        <f>"روغن دان"</f>
        <v>روغن دان</v>
      </c>
      <c r="G2477" s="1" t="str">
        <f>"عدد"</f>
        <v>عدد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O2477" s="1">
        <v>97</v>
      </c>
      <c r="P2477" s="1">
        <f t="shared" si="114"/>
        <v>0</v>
      </c>
      <c r="Q2477" s="1">
        <f t="shared" si="115"/>
        <v>0</v>
      </c>
      <c r="R2477" s="1" t="e">
        <f t="shared" si="116"/>
        <v>#DIV/0!</v>
      </c>
    </row>
    <row r="2478" spans="1:18" hidden="1">
      <c r="A2478" s="1">
        <v>6</v>
      </c>
      <c r="B2478" s="1" t="str">
        <f>"موجودي ملزومات اداري"</f>
        <v>موجودي ملزومات اداري</v>
      </c>
      <c r="C2478" s="1">
        <v>110</v>
      </c>
      <c r="D2478" s="1" t="str">
        <f>"ملزومات اداري اصفهان"</f>
        <v>ملزومات اداري اصفهان</v>
      </c>
      <c r="E2478" s="1" t="str">
        <f>"1502030322"</f>
        <v>1502030322</v>
      </c>
      <c r="F2478" s="1" t="str">
        <f>"فوم  10 ميلي"</f>
        <v>فوم  10 ميلي</v>
      </c>
      <c r="G2478" s="1" t="str">
        <f>"متر"</f>
        <v>متر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O2478" s="1">
        <v>97</v>
      </c>
      <c r="P2478" s="1">
        <f t="shared" si="114"/>
        <v>0</v>
      </c>
      <c r="Q2478" s="1">
        <f t="shared" si="115"/>
        <v>0</v>
      </c>
      <c r="R2478" s="1" t="e">
        <f t="shared" si="116"/>
        <v>#DIV/0!</v>
      </c>
    </row>
    <row r="2479" spans="1:18" hidden="1">
      <c r="A2479" s="1">
        <v>6</v>
      </c>
      <c r="B2479" s="1" t="str">
        <f>"موجودي ملزومات اداري"</f>
        <v>موجودي ملزومات اداري</v>
      </c>
      <c r="C2479" s="1">
        <v>110</v>
      </c>
      <c r="D2479" s="1" t="str">
        <f>"ملزومات اداري اصفهان"</f>
        <v>ملزومات اداري اصفهان</v>
      </c>
      <c r="E2479" s="1" t="str">
        <f>"1502030332"</f>
        <v>1502030332</v>
      </c>
      <c r="F2479" s="1" t="str">
        <f>"چسب آکواريوم.(سيليکون)"</f>
        <v>چسب آکواريوم.(سيليکون)</v>
      </c>
      <c r="G2479" s="1" t="str">
        <f>"عدد"</f>
        <v>عدد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O2479" s="1">
        <v>97</v>
      </c>
      <c r="P2479" s="1">
        <f t="shared" si="114"/>
        <v>0</v>
      </c>
      <c r="Q2479" s="1">
        <f t="shared" si="115"/>
        <v>0</v>
      </c>
      <c r="R2479" s="1" t="e">
        <f t="shared" si="116"/>
        <v>#DIV/0!</v>
      </c>
    </row>
    <row r="2480" spans="1:18" hidden="1">
      <c r="A2480" s="1">
        <v>6</v>
      </c>
      <c r="B2480" s="1" t="str">
        <f>"موجودي ملزومات اداري"</f>
        <v>موجودي ملزومات اداري</v>
      </c>
      <c r="C2480" s="1">
        <v>110</v>
      </c>
      <c r="D2480" s="1" t="str">
        <f>"ملزومات اداري اصفهان"</f>
        <v>ملزومات اداري اصفهان</v>
      </c>
      <c r="E2480" s="1" t="str">
        <f>"1502030362"</f>
        <v>1502030362</v>
      </c>
      <c r="F2480" s="1" t="str">
        <f>"الکترو موتور 2 اسب 1400"</f>
        <v>الکترو موتور 2 اسب 1400</v>
      </c>
      <c r="G2480" s="1" t="str">
        <f>"عدد"</f>
        <v>عدد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O2480" s="1">
        <v>97</v>
      </c>
      <c r="P2480" s="1">
        <f t="shared" si="114"/>
        <v>0</v>
      </c>
      <c r="Q2480" s="1">
        <f t="shared" si="115"/>
        <v>0</v>
      </c>
      <c r="R2480" s="1" t="e">
        <f t="shared" si="116"/>
        <v>#DIV/0!</v>
      </c>
    </row>
    <row r="2481" spans="1:18" hidden="1">
      <c r="A2481" s="1">
        <v>6</v>
      </c>
      <c r="B2481" s="1" t="str">
        <f>"موجودي ملزومات اداري"</f>
        <v>موجودي ملزومات اداري</v>
      </c>
      <c r="C2481" s="1">
        <v>110</v>
      </c>
      <c r="D2481" s="1" t="str">
        <f>"ملزومات اداري اصفهان"</f>
        <v>ملزومات اداري اصفهان</v>
      </c>
      <c r="E2481" s="1" t="str">
        <f>"1502030382"</f>
        <v>1502030382</v>
      </c>
      <c r="F2481" s="1" t="str">
        <f>"بست فلزي"</f>
        <v>بست فلزي</v>
      </c>
      <c r="G2481" s="1" t="str">
        <f>"عدد"</f>
        <v>عدد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O2481" s="1">
        <v>97</v>
      </c>
      <c r="P2481" s="1">
        <f t="shared" si="114"/>
        <v>0</v>
      </c>
      <c r="Q2481" s="1">
        <f t="shared" si="115"/>
        <v>0</v>
      </c>
      <c r="R2481" s="1" t="e">
        <f t="shared" si="116"/>
        <v>#DIV/0!</v>
      </c>
    </row>
    <row r="2482" spans="1:18" hidden="1">
      <c r="A2482" s="1">
        <v>6</v>
      </c>
      <c r="B2482" s="1" t="str">
        <f>"موجودي ملزومات اداري"</f>
        <v>موجودي ملزومات اداري</v>
      </c>
      <c r="C2482" s="1">
        <v>110</v>
      </c>
      <c r="D2482" s="1" t="str">
        <f>"ملزومات اداري اصفهان"</f>
        <v>ملزومات اداري اصفهان</v>
      </c>
      <c r="E2482" s="1" t="str">
        <f>"1502030392"</f>
        <v>1502030392</v>
      </c>
      <c r="F2482" s="1" t="str">
        <f>"شيلنگ مخصوص گاز"</f>
        <v>شيلنگ مخصوص گاز</v>
      </c>
      <c r="G2482" s="1" t="str">
        <f>"متر"</f>
        <v>متر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O2482" s="1">
        <v>97</v>
      </c>
      <c r="P2482" s="1">
        <f t="shared" si="114"/>
        <v>0</v>
      </c>
      <c r="Q2482" s="1">
        <f t="shared" si="115"/>
        <v>0</v>
      </c>
      <c r="R2482" s="1" t="e">
        <f t="shared" si="116"/>
        <v>#DIV/0!</v>
      </c>
    </row>
    <row r="2483" spans="1:18" hidden="1">
      <c r="A2483" s="1">
        <v>6</v>
      </c>
      <c r="B2483" s="1" t="str">
        <f>"موجودي ملزومات اداري"</f>
        <v>موجودي ملزومات اداري</v>
      </c>
      <c r="C2483" s="1">
        <v>110</v>
      </c>
      <c r="D2483" s="1" t="str">
        <f>"ملزومات اداري اصفهان"</f>
        <v>ملزومات اداري اصفهان</v>
      </c>
      <c r="E2483" s="1" t="str">
        <f>"1502030402"</f>
        <v>1502030402</v>
      </c>
      <c r="F2483" s="1" t="str">
        <f>"بشکه کارتني"</f>
        <v>بشکه کارتني</v>
      </c>
      <c r="G2483" s="1" t="str">
        <f>"عدد"</f>
        <v>عدد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O2483" s="1">
        <v>97</v>
      </c>
      <c r="P2483" s="1">
        <f t="shared" si="114"/>
        <v>0</v>
      </c>
      <c r="Q2483" s="1">
        <f t="shared" si="115"/>
        <v>0</v>
      </c>
      <c r="R2483" s="1" t="e">
        <f t="shared" si="116"/>
        <v>#DIV/0!</v>
      </c>
    </row>
    <row r="2484" spans="1:18" hidden="1">
      <c r="A2484" s="1">
        <v>6</v>
      </c>
      <c r="B2484" s="1" t="str">
        <f>"موجودي ملزومات اداري"</f>
        <v>موجودي ملزومات اداري</v>
      </c>
      <c r="C2484" s="1">
        <v>110</v>
      </c>
      <c r="D2484" s="1" t="str">
        <f>"ملزومات اداري اصفهان"</f>
        <v>ملزومات اداري اصفهان</v>
      </c>
      <c r="E2484" s="1" t="str">
        <f>"1502030462"</f>
        <v>1502030462</v>
      </c>
      <c r="F2484" s="1" t="str">
        <f>"دسته جغجغه"</f>
        <v>دسته جغجغه</v>
      </c>
      <c r="G2484" s="1" t="str">
        <f>"عدد"</f>
        <v>عدد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O2484" s="1">
        <v>97</v>
      </c>
      <c r="P2484" s="1">
        <f t="shared" si="114"/>
        <v>0</v>
      </c>
      <c r="Q2484" s="1">
        <f t="shared" si="115"/>
        <v>0</v>
      </c>
      <c r="R2484" s="1" t="e">
        <f t="shared" si="116"/>
        <v>#DIV/0!</v>
      </c>
    </row>
    <row r="2485" spans="1:18" hidden="1">
      <c r="A2485" s="1">
        <v>6</v>
      </c>
      <c r="B2485" s="1" t="str">
        <f>"موجودي ملزومات اداري"</f>
        <v>موجودي ملزومات اداري</v>
      </c>
      <c r="C2485" s="1">
        <v>110</v>
      </c>
      <c r="D2485" s="1" t="str">
        <f>"ملزومات اداري اصفهان"</f>
        <v>ملزومات اداري اصفهان</v>
      </c>
      <c r="E2485" s="1" t="str">
        <f>"1502030782"</f>
        <v>1502030782</v>
      </c>
      <c r="F2485" s="1" t="str">
        <f>"پيچ آلن"</f>
        <v>پيچ آلن</v>
      </c>
      <c r="G2485" s="1" t="str">
        <f>"عدد"</f>
        <v>عدد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O2485" s="1">
        <v>97</v>
      </c>
      <c r="P2485" s="1">
        <f t="shared" si="114"/>
        <v>0</v>
      </c>
      <c r="Q2485" s="1">
        <f t="shared" si="115"/>
        <v>0</v>
      </c>
      <c r="R2485" s="1" t="e">
        <f t="shared" si="116"/>
        <v>#DIV/0!</v>
      </c>
    </row>
    <row r="2486" spans="1:18" hidden="1">
      <c r="A2486" s="1">
        <v>6</v>
      </c>
      <c r="B2486" s="1" t="str">
        <f>"موجودي ملزومات اداري"</f>
        <v>موجودي ملزومات اداري</v>
      </c>
      <c r="C2486" s="1">
        <v>110</v>
      </c>
      <c r="D2486" s="1" t="str">
        <f>"ملزومات اداري اصفهان"</f>
        <v>ملزومات اداري اصفهان</v>
      </c>
      <c r="E2486" s="1" t="str">
        <f>"1502030912"</f>
        <v>1502030912</v>
      </c>
      <c r="F2486" s="1" t="str">
        <f>"لرزه گير PN16"</f>
        <v>لرزه گير PN16</v>
      </c>
      <c r="G2486" s="1" t="str">
        <f>"عدد"</f>
        <v>عدد</v>
      </c>
      <c r="H2486" s="1">
        <v>0</v>
      </c>
      <c r="I2486" s="1">
        <v>0</v>
      </c>
      <c r="J2486" s="1">
        <v>2</v>
      </c>
      <c r="K2486" s="1">
        <v>9000000</v>
      </c>
      <c r="L2486" s="1">
        <v>2</v>
      </c>
      <c r="M2486" s="1">
        <v>9000000</v>
      </c>
      <c r="O2486" s="1">
        <v>97</v>
      </c>
      <c r="P2486" s="1">
        <f t="shared" si="114"/>
        <v>0</v>
      </c>
      <c r="Q2486" s="1">
        <f t="shared" si="115"/>
        <v>0</v>
      </c>
      <c r="R2486" s="1" t="e">
        <f t="shared" si="116"/>
        <v>#DIV/0!</v>
      </c>
    </row>
    <row r="2487" spans="1:18" hidden="1">
      <c r="A2487" s="1">
        <v>6</v>
      </c>
      <c r="B2487" s="1" t="str">
        <f>"موجودي ملزومات اداري"</f>
        <v>موجودي ملزومات اداري</v>
      </c>
      <c r="C2487" s="1">
        <v>110</v>
      </c>
      <c r="D2487" s="1" t="str">
        <f>"ملزومات اداري اصفهان"</f>
        <v>ملزومات اداري اصفهان</v>
      </c>
      <c r="E2487" s="1" t="str">
        <f>"1502030952"</f>
        <v>1502030952</v>
      </c>
      <c r="F2487" s="1" t="str">
        <f>"ملحفه"</f>
        <v>ملحفه</v>
      </c>
      <c r="G2487" s="1" t="str">
        <f>"عدد"</f>
        <v>عدد</v>
      </c>
      <c r="H2487" s="1">
        <v>0</v>
      </c>
      <c r="I2487" s="1">
        <v>0</v>
      </c>
      <c r="J2487" s="1">
        <v>50</v>
      </c>
      <c r="K2487" s="1">
        <v>7500000</v>
      </c>
      <c r="L2487" s="1">
        <v>50</v>
      </c>
      <c r="M2487" s="1">
        <v>7500000</v>
      </c>
      <c r="O2487" s="1">
        <v>97</v>
      </c>
      <c r="P2487" s="1">
        <f t="shared" si="114"/>
        <v>0</v>
      </c>
      <c r="Q2487" s="1">
        <f t="shared" si="115"/>
        <v>0</v>
      </c>
      <c r="R2487" s="1" t="e">
        <f t="shared" si="116"/>
        <v>#DIV/0!</v>
      </c>
    </row>
    <row r="2488" spans="1:18" hidden="1">
      <c r="A2488" s="1">
        <v>6</v>
      </c>
      <c r="B2488" s="1" t="str">
        <f>"موجودي ملزومات اداري"</f>
        <v>موجودي ملزومات اداري</v>
      </c>
      <c r="C2488" s="1">
        <v>110</v>
      </c>
      <c r="D2488" s="1" t="str">
        <f>"ملزومات اداري اصفهان"</f>
        <v>ملزومات اداري اصفهان</v>
      </c>
      <c r="E2488" s="1" t="str">
        <f>"1502031112"</f>
        <v>1502031112</v>
      </c>
      <c r="F2488" s="1" t="str">
        <f>"دستگاه پلمپ"</f>
        <v>دستگاه پلمپ</v>
      </c>
      <c r="G2488" s="1" t="str">
        <f>"عدد"</f>
        <v>عدد</v>
      </c>
      <c r="H2488" s="1">
        <v>0</v>
      </c>
      <c r="I2488" s="1">
        <v>0</v>
      </c>
      <c r="J2488" s="1">
        <v>1</v>
      </c>
      <c r="K2488" s="1">
        <v>300000</v>
      </c>
      <c r="L2488" s="1">
        <v>1</v>
      </c>
      <c r="M2488" s="1">
        <v>300000</v>
      </c>
      <c r="O2488" s="1">
        <v>97</v>
      </c>
      <c r="P2488" s="1">
        <f t="shared" si="114"/>
        <v>0</v>
      </c>
      <c r="Q2488" s="1">
        <f t="shared" si="115"/>
        <v>0</v>
      </c>
      <c r="R2488" s="1" t="e">
        <f t="shared" si="116"/>
        <v>#DIV/0!</v>
      </c>
    </row>
    <row r="2489" spans="1:18" hidden="1">
      <c r="A2489" s="1">
        <v>6</v>
      </c>
      <c r="B2489" s="1" t="str">
        <f>"موجودي ملزومات اداري"</f>
        <v>موجودي ملزومات اداري</v>
      </c>
      <c r="C2489" s="1">
        <v>110</v>
      </c>
      <c r="D2489" s="1" t="str">
        <f>"ملزومات اداري اصفهان"</f>
        <v>ملزومات اداري اصفهان</v>
      </c>
      <c r="E2489" s="1" t="str">
        <f>"1502031122"</f>
        <v>1502031122</v>
      </c>
      <c r="F2489" s="1" t="str">
        <f>"پمپ آب کولر"</f>
        <v>پمپ آب کولر</v>
      </c>
      <c r="G2489" s="1" t="str">
        <f>"دستگاه"</f>
        <v>دستگاه</v>
      </c>
      <c r="H2489" s="1">
        <v>0</v>
      </c>
      <c r="I2489" s="1">
        <v>0</v>
      </c>
      <c r="J2489" s="1">
        <v>1</v>
      </c>
      <c r="K2489" s="1">
        <v>300000</v>
      </c>
      <c r="L2489" s="1">
        <v>1</v>
      </c>
      <c r="M2489" s="1">
        <v>300000</v>
      </c>
      <c r="O2489" s="1">
        <v>97</v>
      </c>
      <c r="P2489" s="1">
        <f t="shared" si="114"/>
        <v>0</v>
      </c>
      <c r="Q2489" s="1">
        <f t="shared" si="115"/>
        <v>0</v>
      </c>
      <c r="R2489" s="1" t="e">
        <f t="shared" si="116"/>
        <v>#DIV/0!</v>
      </c>
    </row>
    <row r="2490" spans="1:18" hidden="1">
      <c r="A2490" s="1">
        <v>6</v>
      </c>
      <c r="B2490" s="1" t="str">
        <f>"موجودي ملزومات اداري"</f>
        <v>موجودي ملزومات اداري</v>
      </c>
      <c r="C2490" s="1">
        <v>110</v>
      </c>
      <c r="D2490" s="1" t="str">
        <f>"ملزومات اداري اصفهان"</f>
        <v>ملزومات اداري اصفهان</v>
      </c>
      <c r="E2490" s="1" t="str">
        <f>"1502031492"</f>
        <v>1502031492</v>
      </c>
      <c r="F2490" s="1" t="str">
        <f>"جارو وخاک انداز"</f>
        <v>جارو وخاک انداز</v>
      </c>
      <c r="G2490" s="1" t="str">
        <f>"عدد"</f>
        <v>عدد</v>
      </c>
      <c r="H2490" s="1">
        <v>0</v>
      </c>
      <c r="I2490" s="1">
        <v>0</v>
      </c>
      <c r="J2490" s="1">
        <v>20</v>
      </c>
      <c r="K2490" s="1">
        <v>5000000</v>
      </c>
      <c r="L2490" s="1">
        <v>20</v>
      </c>
      <c r="M2490" s="1">
        <v>5000000</v>
      </c>
      <c r="O2490" s="1">
        <v>97</v>
      </c>
      <c r="P2490" s="1">
        <f t="shared" si="114"/>
        <v>0</v>
      </c>
      <c r="Q2490" s="1">
        <f t="shared" si="115"/>
        <v>0</v>
      </c>
      <c r="R2490" s="1" t="e">
        <f t="shared" si="116"/>
        <v>#DIV/0!</v>
      </c>
    </row>
    <row r="2491" spans="1:18" hidden="1">
      <c r="A2491" s="1">
        <v>6</v>
      </c>
      <c r="B2491" s="1" t="str">
        <f>"موجودي ملزومات اداري"</f>
        <v>موجودي ملزومات اداري</v>
      </c>
      <c r="C2491" s="1">
        <v>110</v>
      </c>
      <c r="D2491" s="1" t="str">
        <f>"ملزومات اداري اصفهان"</f>
        <v>ملزومات اداري اصفهان</v>
      </c>
      <c r="E2491" s="1" t="str">
        <f>"1502031542"</f>
        <v>1502031542</v>
      </c>
      <c r="F2491" s="1" t="str">
        <f>"طلق B4 خشک"</f>
        <v>طلق B4 خشک</v>
      </c>
      <c r="G2491" s="1" t="str">
        <f>"عدد"</f>
        <v>عدد</v>
      </c>
      <c r="H2491" s="1">
        <v>0</v>
      </c>
      <c r="I2491" s="1">
        <v>0</v>
      </c>
      <c r="J2491" s="1">
        <v>2000</v>
      </c>
      <c r="K2491" s="1">
        <v>14000000</v>
      </c>
      <c r="L2491" s="1">
        <v>2000</v>
      </c>
      <c r="M2491" s="1">
        <v>14000000</v>
      </c>
      <c r="O2491" s="1">
        <v>97</v>
      </c>
      <c r="P2491" s="1">
        <f t="shared" si="114"/>
        <v>0</v>
      </c>
      <c r="Q2491" s="1">
        <f t="shared" si="115"/>
        <v>0</v>
      </c>
      <c r="R2491" s="1" t="e">
        <f t="shared" si="116"/>
        <v>#DIV/0!</v>
      </c>
    </row>
    <row r="2492" spans="1:18">
      <c r="A2492" s="1">
        <v>6</v>
      </c>
      <c r="B2492" s="1" t="str">
        <f>"موجودي ملزومات اداري"</f>
        <v>موجودي ملزومات اداري</v>
      </c>
      <c r="C2492" s="1">
        <v>205</v>
      </c>
      <c r="D2492" s="1" t="str">
        <f>"انبار قطعات و لوازم يدكي بندرعباس"</f>
        <v>انبار قطعات و لوازم يدكي بندرعباس</v>
      </c>
      <c r="E2492" s="1" t="str">
        <f>"0000052322"</f>
        <v>0000052322</v>
      </c>
      <c r="F2492" s="1" t="str">
        <f>"شن کش بزرگ"</f>
        <v>شن کش بزرگ</v>
      </c>
      <c r="G2492" s="1" t="str">
        <f>"عدد"</f>
        <v>عدد</v>
      </c>
      <c r="H2492" s="1">
        <v>0</v>
      </c>
      <c r="I2492" s="1">
        <v>0</v>
      </c>
      <c r="J2492" s="1">
        <v>1</v>
      </c>
      <c r="K2492" s="1">
        <v>400000</v>
      </c>
      <c r="L2492" s="1">
        <v>0</v>
      </c>
      <c r="M2492" s="1">
        <v>0</v>
      </c>
      <c r="O2492" s="1">
        <v>97</v>
      </c>
      <c r="P2492" s="4">
        <f t="shared" si="114"/>
        <v>400000</v>
      </c>
      <c r="Q2492" s="4">
        <f t="shared" si="115"/>
        <v>1</v>
      </c>
      <c r="R2492" s="4">
        <f t="shared" si="116"/>
        <v>400000</v>
      </c>
    </row>
    <row r="2493" spans="1:18">
      <c r="A2493" s="1">
        <v>6</v>
      </c>
      <c r="B2493" s="1" t="str">
        <f>"موجودي ملزومات اداري"</f>
        <v>موجودي ملزومات اداري</v>
      </c>
      <c r="C2493" s="1">
        <v>205</v>
      </c>
      <c r="D2493" s="1" t="str">
        <f>"انبار قطعات و لوازم يدكي بندرعباس"</f>
        <v>انبار قطعات و لوازم يدكي بندرعباس</v>
      </c>
      <c r="E2493" s="1" t="str">
        <f>"0000052352"</f>
        <v>0000052352</v>
      </c>
      <c r="F2493" s="1" t="str">
        <f>"بيلچه"</f>
        <v>بيلچه</v>
      </c>
      <c r="G2493" s="1" t="str">
        <f>"عدد"</f>
        <v>عدد</v>
      </c>
      <c r="H2493" s="1">
        <v>0</v>
      </c>
      <c r="I2493" s="1">
        <v>0</v>
      </c>
      <c r="J2493" s="1">
        <v>2</v>
      </c>
      <c r="K2493" s="1">
        <v>140000</v>
      </c>
      <c r="L2493" s="1">
        <v>0</v>
      </c>
      <c r="M2493" s="1">
        <v>0</v>
      </c>
      <c r="O2493" s="1">
        <v>97</v>
      </c>
      <c r="P2493" s="4">
        <f t="shared" si="114"/>
        <v>140000</v>
      </c>
      <c r="Q2493" s="4">
        <f t="shared" si="115"/>
        <v>2</v>
      </c>
      <c r="R2493" s="4">
        <f t="shared" si="116"/>
        <v>70000</v>
      </c>
    </row>
    <row r="2494" spans="1:18">
      <c r="A2494" s="1">
        <v>6</v>
      </c>
      <c r="B2494" s="1" t="str">
        <f>"موجودي ملزومات اداري"</f>
        <v>موجودي ملزومات اداري</v>
      </c>
      <c r="C2494" s="1">
        <v>205</v>
      </c>
      <c r="D2494" s="1" t="str">
        <f>"انبار قطعات و لوازم يدكي بندرعباس"</f>
        <v>انبار قطعات و لوازم يدكي بندرعباس</v>
      </c>
      <c r="E2494" s="1" t="str">
        <f>"1501020712"</f>
        <v>1501020712</v>
      </c>
      <c r="F2494" s="1" t="str">
        <f>"رنگ روغني قرمز"</f>
        <v>رنگ روغني قرمز</v>
      </c>
      <c r="G2494" s="1" t="str">
        <f>"كيلوگرم"</f>
        <v>كيلوگرم</v>
      </c>
      <c r="H2494" s="1">
        <v>0</v>
      </c>
      <c r="I2494" s="1">
        <v>0</v>
      </c>
      <c r="J2494" s="1">
        <v>1</v>
      </c>
      <c r="K2494" s="1">
        <v>170000</v>
      </c>
      <c r="L2494" s="1">
        <v>0</v>
      </c>
      <c r="M2494" s="1">
        <v>0</v>
      </c>
      <c r="O2494" s="1">
        <v>97</v>
      </c>
      <c r="P2494" s="4">
        <f t="shared" si="114"/>
        <v>170000</v>
      </c>
      <c r="Q2494" s="4">
        <f t="shared" si="115"/>
        <v>1</v>
      </c>
      <c r="R2494" s="4">
        <f t="shared" si="116"/>
        <v>170000</v>
      </c>
    </row>
    <row r="2495" spans="1:18">
      <c r="A2495" s="1">
        <v>6</v>
      </c>
      <c r="B2495" s="1" t="str">
        <f>"موجودي ملزومات اداري"</f>
        <v>موجودي ملزومات اداري</v>
      </c>
      <c r="C2495" s="1">
        <v>205</v>
      </c>
      <c r="D2495" s="1" t="str">
        <f>"انبار قطعات و لوازم يدكي بندرعباس"</f>
        <v>انبار قطعات و لوازم يدكي بندرعباس</v>
      </c>
      <c r="E2495" s="1" t="str">
        <f>"1501020722"</f>
        <v>1501020722</v>
      </c>
      <c r="F2495" s="1" t="str">
        <f>"رنگ سفيد روغني"</f>
        <v>رنگ سفيد روغني</v>
      </c>
      <c r="G2495" s="1" t="str">
        <f>"كيلوگرم"</f>
        <v>كيلوگرم</v>
      </c>
      <c r="H2495" s="1">
        <v>0</v>
      </c>
      <c r="I2495" s="1">
        <v>0</v>
      </c>
      <c r="J2495" s="1">
        <v>33</v>
      </c>
      <c r="K2495" s="1">
        <v>6280000</v>
      </c>
      <c r="L2495" s="1">
        <v>5</v>
      </c>
      <c r="M2495" s="1">
        <v>951515</v>
      </c>
      <c r="O2495" s="1">
        <v>97</v>
      </c>
      <c r="P2495" s="4">
        <f t="shared" si="114"/>
        <v>5328485</v>
      </c>
      <c r="Q2495" s="4">
        <f t="shared" si="115"/>
        <v>28</v>
      </c>
      <c r="R2495" s="4">
        <f t="shared" si="116"/>
        <v>190303.03571428571</v>
      </c>
    </row>
    <row r="2496" spans="1:18" hidden="1">
      <c r="A2496" s="1">
        <v>9</v>
      </c>
      <c r="B2496" s="1" t="str">
        <f>"موجودي داراييهاي ثابت نزد انبار"</f>
        <v>موجودي داراييهاي ثابت نزد انبار</v>
      </c>
      <c r="C2496" s="1">
        <v>117</v>
      </c>
      <c r="D2496" s="1" t="str">
        <f>"انبار دارايي ثابت اصفهان"</f>
        <v>انبار دارايي ثابت اصفهان</v>
      </c>
      <c r="E2496" s="1" t="str">
        <f>"1301020312"</f>
        <v>1301020312</v>
      </c>
      <c r="F2496" s="1" t="str">
        <f>"دستگاه ضخامت سنج آلتراسونيک"</f>
        <v>دستگاه ضخامت سنج آلتراسونيک</v>
      </c>
      <c r="G2496" s="1" t="str">
        <f>"دستگاه"</f>
        <v>دستگاه</v>
      </c>
      <c r="H2496" s="1">
        <v>1</v>
      </c>
      <c r="I2496" s="1">
        <v>170000000</v>
      </c>
      <c r="J2496" s="1">
        <v>0</v>
      </c>
      <c r="K2496" s="1">
        <v>0</v>
      </c>
      <c r="L2496" s="1">
        <v>1</v>
      </c>
      <c r="M2496" s="1">
        <v>170000000</v>
      </c>
      <c r="O2496" s="1">
        <v>97</v>
      </c>
      <c r="P2496" s="1">
        <f t="shared" si="114"/>
        <v>0</v>
      </c>
      <c r="Q2496" s="1">
        <f t="shared" si="115"/>
        <v>0</v>
      </c>
      <c r="R2496" s="1" t="e">
        <f t="shared" si="116"/>
        <v>#DIV/0!</v>
      </c>
    </row>
    <row r="2497" spans="1:18" hidden="1">
      <c r="A2497" s="1">
        <v>9</v>
      </c>
      <c r="B2497" s="1" t="str">
        <f>"موجودي داراييهاي ثابت نزد انبار"</f>
        <v>موجودي داراييهاي ثابت نزد انبار</v>
      </c>
      <c r="C2497" s="1">
        <v>117</v>
      </c>
      <c r="D2497" s="1" t="str">
        <f>"انبار دارايي ثابت اصفهان"</f>
        <v>انبار دارايي ثابت اصفهان</v>
      </c>
      <c r="E2497" s="1" t="str">
        <f>"1301021302"</f>
        <v>1301021302</v>
      </c>
      <c r="F2497" s="1" t="str">
        <f>"کپسول 12 کيلوئي دي اکسيد کربن"</f>
        <v>کپسول 12 کيلوئي دي اکسيد کربن</v>
      </c>
      <c r="G2497" s="1" t="str">
        <f>"عدد"</f>
        <v>عدد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O2497" s="1">
        <v>97</v>
      </c>
      <c r="P2497" s="1">
        <f t="shared" si="114"/>
        <v>0</v>
      </c>
      <c r="Q2497" s="1">
        <f t="shared" si="115"/>
        <v>0</v>
      </c>
      <c r="R2497" s="1" t="e">
        <f t="shared" si="116"/>
        <v>#DIV/0!</v>
      </c>
    </row>
    <row r="2498" spans="1:18" hidden="1">
      <c r="A2498" s="1">
        <v>9</v>
      </c>
      <c r="B2498" s="1" t="str">
        <f>"موجودي داراييهاي ثابت نزد انبار"</f>
        <v>موجودي داراييهاي ثابت نزد انبار</v>
      </c>
      <c r="C2498" s="1">
        <v>117</v>
      </c>
      <c r="D2498" s="1" t="str">
        <f>"انبار دارايي ثابت اصفهان"</f>
        <v>انبار دارايي ثابت اصفهان</v>
      </c>
      <c r="E2498" s="1" t="str">
        <f>"1301021412"</f>
        <v>1301021412</v>
      </c>
      <c r="F2498" s="1" t="str">
        <f>"اسپيلت سرمايشي و گرمايشي LG مدلNEXT ONE"</f>
        <v>اسپيلت سرمايشي و گرمايشي LG مدلNEXT ONE</v>
      </c>
      <c r="G2498" s="1" t="str">
        <f>"دستگاه"</f>
        <v>دستگاه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O2498" s="1">
        <v>97</v>
      </c>
      <c r="P2498" s="1">
        <f t="shared" si="114"/>
        <v>0</v>
      </c>
      <c r="Q2498" s="1">
        <f t="shared" si="115"/>
        <v>0</v>
      </c>
      <c r="R2498" s="1" t="e">
        <f t="shared" si="116"/>
        <v>#DIV/0!</v>
      </c>
    </row>
    <row r="2499" spans="1:18" hidden="1">
      <c r="A2499" s="1">
        <v>9</v>
      </c>
      <c r="B2499" s="1" t="str">
        <f>"موجودي داراييهاي ثابت نزد انبار"</f>
        <v>موجودي داراييهاي ثابت نزد انبار</v>
      </c>
      <c r="C2499" s="1">
        <v>119</v>
      </c>
      <c r="D2499" s="1" t="str">
        <f>"انبار دارايي ثابت تهران"</f>
        <v>انبار دارايي ثابت تهران</v>
      </c>
      <c r="E2499" s="1" t="str">
        <f>"0000009363"</f>
        <v>0000009363</v>
      </c>
      <c r="F2499" s="1" t="str">
        <f>"Monitor Asus vs247Hr"</f>
        <v>Monitor Asus vs247Hr</v>
      </c>
      <c r="G2499" s="1" t="str">
        <f>"دستگاه"</f>
        <v>دستگاه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O2499" s="1">
        <v>97</v>
      </c>
      <c r="P2499" s="1">
        <f t="shared" ref="P2499:P2562" si="117">I2499+K2499-M2499</f>
        <v>0</v>
      </c>
      <c r="Q2499" s="1">
        <f t="shared" ref="Q2499:Q2562" si="118">H2499+J2499-L2499</f>
        <v>0</v>
      </c>
      <c r="R2499" s="1" t="e">
        <f t="shared" ref="R2499:R2562" si="119">P2499/Q2499</f>
        <v>#DIV/0!</v>
      </c>
    </row>
    <row r="2500" spans="1:18" hidden="1">
      <c r="A2500" s="1">
        <v>11</v>
      </c>
      <c r="B2500" s="1" t="str">
        <f>"موجودي نفتا"</f>
        <v>موجودي نفتا</v>
      </c>
      <c r="C2500" s="1">
        <v>105</v>
      </c>
      <c r="D2500" s="1" t="str">
        <f>"انبار بوشهر"</f>
        <v>انبار بوشهر</v>
      </c>
      <c r="E2500" s="1" t="str">
        <f>"0000000086"</f>
        <v>0000000086</v>
      </c>
      <c r="F2500" s="1" t="str">
        <f>"هيدرو كربن سبك(نفتا)"</f>
        <v>هيدرو كربن سبك(نفتا)</v>
      </c>
      <c r="G2500" s="1" t="str">
        <f>"كيلوگرم"</f>
        <v>كيلوگرم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O2500" s="1">
        <v>97</v>
      </c>
      <c r="P2500" s="1">
        <f t="shared" si="117"/>
        <v>0</v>
      </c>
      <c r="Q2500" s="1">
        <f t="shared" si="118"/>
        <v>0</v>
      </c>
      <c r="R2500" s="1" t="e">
        <f t="shared" si="119"/>
        <v>#DIV/0!</v>
      </c>
    </row>
    <row r="2501" spans="1:18" hidden="1">
      <c r="A2501" s="1">
        <v>2</v>
      </c>
      <c r="B2501" s="1" t="str">
        <f>"قطعات و لوازم يدكي"</f>
        <v>قطعات و لوازم يدكي</v>
      </c>
      <c r="C2501" s="1">
        <v>101</v>
      </c>
      <c r="D2501" s="1" t="str">
        <f>"انبار قطعات و لوازم يدكي اصفهان"</f>
        <v>انبار قطعات و لوازم يدكي اصفهان</v>
      </c>
      <c r="E2501" s="1" t="str">
        <f>"6900000062"</f>
        <v>6900000062</v>
      </c>
      <c r="F2501" s="1" t="str">
        <f>"پرژکتور 70 وات LED"</f>
        <v>پرژکتور 70 وات LED</v>
      </c>
      <c r="G2501" s="1" t="str">
        <f>"عدد"</f>
        <v>عدد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O2501" s="1">
        <v>97</v>
      </c>
      <c r="P2501" s="1">
        <f t="shared" si="117"/>
        <v>0</v>
      </c>
      <c r="Q2501" s="1">
        <f t="shared" si="118"/>
        <v>0</v>
      </c>
      <c r="R2501" s="1" t="e">
        <f t="shared" si="119"/>
        <v>#DIV/0!</v>
      </c>
    </row>
    <row r="2502" spans="1:18">
      <c r="A2502" s="1">
        <v>2</v>
      </c>
      <c r="B2502" s="1" t="str">
        <f>"قطعات و لوازم يدكي"</f>
        <v>قطعات و لوازم يدكي</v>
      </c>
      <c r="C2502" s="1">
        <v>101</v>
      </c>
      <c r="D2502" s="1" t="str">
        <f>"انبار قطعات و لوازم يدكي اصفهان"</f>
        <v>انبار قطعات و لوازم يدكي اصفهان</v>
      </c>
      <c r="E2502" s="1" t="str">
        <f>"6901020022"</f>
        <v>6901020022</v>
      </c>
      <c r="F2502" s="1" t="str">
        <f>"قاب مهتابي 2 فوت"</f>
        <v>قاب مهتابي 2 فوت</v>
      </c>
      <c r="G2502" s="1" t="str">
        <f>"عدد"</f>
        <v>عدد</v>
      </c>
      <c r="H2502" s="1">
        <v>240</v>
      </c>
      <c r="I2502" s="1">
        <v>192000000</v>
      </c>
      <c r="J2502" s="1">
        <v>0</v>
      </c>
      <c r="K2502" s="1">
        <v>0</v>
      </c>
      <c r="L2502" s="1">
        <v>0</v>
      </c>
      <c r="M2502" s="1">
        <v>0</v>
      </c>
      <c r="O2502" s="1">
        <v>97</v>
      </c>
      <c r="P2502" s="4">
        <f t="shared" si="117"/>
        <v>192000000</v>
      </c>
      <c r="Q2502" s="4">
        <f t="shared" si="118"/>
        <v>240</v>
      </c>
      <c r="R2502" s="4">
        <f t="shared" si="119"/>
        <v>800000</v>
      </c>
    </row>
    <row r="2503" spans="1:18" hidden="1">
      <c r="A2503" s="1">
        <v>2</v>
      </c>
      <c r="B2503" s="1" t="str">
        <f>"قطعات و لوازم يدكي"</f>
        <v>قطعات و لوازم يدكي</v>
      </c>
      <c r="C2503" s="1">
        <v>101</v>
      </c>
      <c r="D2503" s="1" t="str">
        <f>"انبار قطعات و لوازم يدكي اصفهان"</f>
        <v>انبار قطعات و لوازم يدكي اصفهان</v>
      </c>
      <c r="E2503" s="1" t="str">
        <f>"6901020062"</f>
        <v>6901020062</v>
      </c>
      <c r="F2503" s="1" t="str">
        <f>"کانکتور PG 21"</f>
        <v>کانکتور PG 21</v>
      </c>
      <c r="G2503" s="1" t="str">
        <f>"عدد"</f>
        <v>عدد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O2503" s="1">
        <v>97</v>
      </c>
      <c r="P2503" s="1">
        <f t="shared" si="117"/>
        <v>0</v>
      </c>
      <c r="Q2503" s="1">
        <f t="shared" si="118"/>
        <v>0</v>
      </c>
      <c r="R2503" s="1" t="e">
        <f t="shared" si="119"/>
        <v>#DIV/0!</v>
      </c>
    </row>
    <row r="2504" spans="1:18" hidden="1">
      <c r="A2504" s="1">
        <v>2</v>
      </c>
      <c r="B2504" s="1" t="str">
        <f>"قطعات و لوازم يدكي"</f>
        <v>قطعات و لوازم يدكي</v>
      </c>
      <c r="C2504" s="1">
        <v>101</v>
      </c>
      <c r="D2504" s="1" t="str">
        <f>"انبار قطعات و لوازم يدكي اصفهان"</f>
        <v>انبار قطعات و لوازم يدكي اصفهان</v>
      </c>
      <c r="E2504" s="1" t="str">
        <f>"6901020092"</f>
        <v>6901020092</v>
      </c>
      <c r="F2504" s="1" t="str">
        <f>"صفحه فلزي 5*15*10"</f>
        <v>صفحه فلزي 5*15*10</v>
      </c>
      <c r="G2504" s="1" t="str">
        <f>"عدد"</f>
        <v>عدد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O2504" s="1">
        <v>97</v>
      </c>
      <c r="P2504" s="1">
        <f t="shared" si="117"/>
        <v>0</v>
      </c>
      <c r="Q2504" s="1">
        <f t="shared" si="118"/>
        <v>0</v>
      </c>
      <c r="R2504" s="1" t="e">
        <f t="shared" si="119"/>
        <v>#DIV/0!</v>
      </c>
    </row>
    <row r="2505" spans="1:18" hidden="1">
      <c r="A2505" s="1">
        <v>2</v>
      </c>
      <c r="B2505" s="1" t="str">
        <f>"قطعات و لوازم يدكي"</f>
        <v>قطعات و لوازم يدكي</v>
      </c>
      <c r="C2505" s="1">
        <v>101</v>
      </c>
      <c r="D2505" s="1" t="str">
        <f>"انبار قطعات و لوازم يدكي اصفهان"</f>
        <v>انبار قطعات و لوازم يدكي اصفهان</v>
      </c>
      <c r="E2505" s="1" t="str">
        <f>"6901020172"</f>
        <v>6901020172</v>
      </c>
      <c r="F2505" s="1" t="str">
        <f>"پيچ و رول پلاک 8"</f>
        <v>پيچ و رول پلاک 8</v>
      </c>
      <c r="G2505" s="1" t="str">
        <f>"بسته"</f>
        <v>بسته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O2505" s="1">
        <v>97</v>
      </c>
      <c r="P2505" s="1">
        <f t="shared" si="117"/>
        <v>0</v>
      </c>
      <c r="Q2505" s="1">
        <f t="shared" si="118"/>
        <v>0</v>
      </c>
      <c r="R2505" s="1" t="e">
        <f t="shared" si="119"/>
        <v>#DIV/0!</v>
      </c>
    </row>
    <row r="2506" spans="1:18">
      <c r="A2506" s="1">
        <v>2</v>
      </c>
      <c r="B2506" s="1" t="str">
        <f>"قطعات و لوازم يدكي"</f>
        <v>قطعات و لوازم يدكي</v>
      </c>
      <c r="C2506" s="1">
        <v>101</v>
      </c>
      <c r="D2506" s="1" t="str">
        <f>"انبار قطعات و لوازم يدكي اصفهان"</f>
        <v>انبار قطعات و لوازم يدكي اصفهان</v>
      </c>
      <c r="E2506" s="1" t="str">
        <f>"6935430562"</f>
        <v>6935430562</v>
      </c>
      <c r="F2506" s="1" t="str">
        <f>"لامپ EMLI 250 W"</f>
        <v>لامپ EMLI 250 W</v>
      </c>
      <c r="G2506" s="1" t="str">
        <f>"عدد"</f>
        <v>عدد</v>
      </c>
      <c r="H2506" s="1">
        <v>14</v>
      </c>
      <c r="I2506" s="1">
        <v>5414</v>
      </c>
      <c r="J2506" s="1">
        <v>0</v>
      </c>
      <c r="K2506" s="1">
        <v>0</v>
      </c>
      <c r="L2506" s="1">
        <v>0</v>
      </c>
      <c r="M2506" s="1">
        <v>0</v>
      </c>
      <c r="O2506" s="1">
        <v>97</v>
      </c>
      <c r="P2506" s="4">
        <f t="shared" si="117"/>
        <v>5414</v>
      </c>
      <c r="Q2506" s="4">
        <f t="shared" si="118"/>
        <v>14</v>
      </c>
      <c r="R2506" s="4">
        <f t="shared" si="119"/>
        <v>386.71428571428572</v>
      </c>
    </row>
    <row r="2507" spans="1:18" hidden="1">
      <c r="A2507" s="1">
        <v>2</v>
      </c>
      <c r="B2507" s="1" t="str">
        <f>"قطعات و لوازم يدكي"</f>
        <v>قطعات و لوازم يدكي</v>
      </c>
      <c r="C2507" s="1">
        <v>101</v>
      </c>
      <c r="D2507" s="1" t="str">
        <f>"انبار قطعات و لوازم يدكي اصفهان"</f>
        <v>انبار قطعات و لوازم يدكي اصفهان</v>
      </c>
      <c r="E2507" s="1" t="str">
        <f>"6935431002"</f>
        <v>6935431002</v>
      </c>
      <c r="F2507" s="1" t="str">
        <f>"پرژکتور 600 وات"</f>
        <v>پرژکتور 600 وات</v>
      </c>
      <c r="G2507" s="1" t="str">
        <f>"عدد"</f>
        <v>عدد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O2507" s="1">
        <v>97</v>
      </c>
      <c r="P2507" s="1">
        <f t="shared" si="117"/>
        <v>0</v>
      </c>
      <c r="Q2507" s="1">
        <f t="shared" si="118"/>
        <v>0</v>
      </c>
      <c r="R2507" s="1" t="e">
        <f t="shared" si="119"/>
        <v>#DIV/0!</v>
      </c>
    </row>
    <row r="2508" spans="1:18">
      <c r="A2508" s="1">
        <v>2</v>
      </c>
      <c r="B2508" s="1" t="str">
        <f>"قطعات و لوازم يدكي"</f>
        <v>قطعات و لوازم يدكي</v>
      </c>
      <c r="C2508" s="1">
        <v>101</v>
      </c>
      <c r="D2508" s="1" t="str">
        <f>"انبار قطعات و لوازم يدكي اصفهان"</f>
        <v>انبار قطعات و لوازم يدكي اصفهان</v>
      </c>
      <c r="E2508" s="1" t="str">
        <f>"6935521812"</f>
        <v>6935521812</v>
      </c>
      <c r="F2508" s="1" t="str">
        <f>"لامپ خياري 250W بخار جيوه"</f>
        <v>لامپ خياري 250W بخار جيوه</v>
      </c>
      <c r="G2508" s="1" t="str">
        <f>"عدد"</f>
        <v>عدد</v>
      </c>
      <c r="H2508" s="1">
        <v>0</v>
      </c>
      <c r="I2508" s="1">
        <v>0</v>
      </c>
      <c r="J2508" s="1">
        <v>20</v>
      </c>
      <c r="K2508" s="1">
        <v>16600000</v>
      </c>
      <c r="L2508" s="1">
        <v>0</v>
      </c>
      <c r="M2508" s="1">
        <v>0</v>
      </c>
      <c r="O2508" s="1">
        <v>97</v>
      </c>
      <c r="P2508" s="4">
        <f t="shared" si="117"/>
        <v>16600000</v>
      </c>
      <c r="Q2508" s="4">
        <f t="shared" si="118"/>
        <v>20</v>
      </c>
      <c r="R2508" s="4">
        <f t="shared" si="119"/>
        <v>830000</v>
      </c>
    </row>
    <row r="2509" spans="1:18">
      <c r="A2509" s="1">
        <v>2</v>
      </c>
      <c r="B2509" s="1" t="str">
        <f>"قطعات و لوازم يدكي"</f>
        <v>قطعات و لوازم يدكي</v>
      </c>
      <c r="C2509" s="1">
        <v>101</v>
      </c>
      <c r="D2509" s="1" t="str">
        <f>"انبار قطعات و لوازم يدكي اصفهان"</f>
        <v>انبار قطعات و لوازم يدكي اصفهان</v>
      </c>
      <c r="E2509" s="1" t="str">
        <f>"6935521832"</f>
        <v>6935521832</v>
      </c>
      <c r="F2509" s="1" t="str">
        <f>"لامپ متال هاليد 400 وات"</f>
        <v>لامپ متال هاليد 400 وات</v>
      </c>
      <c r="G2509" s="1" t="str">
        <f>"عدد"</f>
        <v>عدد</v>
      </c>
      <c r="H2509" s="1">
        <v>8</v>
      </c>
      <c r="I2509" s="1">
        <v>3148000</v>
      </c>
      <c r="J2509" s="1">
        <v>1</v>
      </c>
      <c r="K2509" s="1">
        <v>393500</v>
      </c>
      <c r="L2509" s="1">
        <v>8</v>
      </c>
      <c r="M2509" s="1">
        <v>3148000</v>
      </c>
      <c r="O2509" s="1">
        <v>97</v>
      </c>
      <c r="P2509" s="4">
        <f t="shared" si="117"/>
        <v>393500</v>
      </c>
      <c r="Q2509" s="4">
        <f t="shared" si="118"/>
        <v>1</v>
      </c>
      <c r="R2509" s="4">
        <f t="shared" si="119"/>
        <v>393500</v>
      </c>
    </row>
    <row r="2510" spans="1:18">
      <c r="A2510" s="1">
        <v>2</v>
      </c>
      <c r="B2510" s="1" t="str">
        <f>"قطعات و لوازم يدكي"</f>
        <v>قطعات و لوازم يدكي</v>
      </c>
      <c r="C2510" s="1">
        <v>101</v>
      </c>
      <c r="D2510" s="1" t="str">
        <f>"انبار قطعات و لوازم يدكي اصفهان"</f>
        <v>انبار قطعات و لوازم يدكي اصفهان</v>
      </c>
      <c r="E2510" s="1" t="str">
        <f>"6941781362"</f>
        <v>6941781362</v>
      </c>
      <c r="F2510" s="1" t="str">
        <f>"لامپ مهتابي 15w اينچ 18"</f>
        <v>لامپ مهتابي 15w اينچ 18</v>
      </c>
      <c r="G2510" s="1" t="str">
        <f>"عدد"</f>
        <v>عدد</v>
      </c>
      <c r="H2510" s="1">
        <v>5</v>
      </c>
      <c r="I2510" s="1">
        <v>140000</v>
      </c>
      <c r="J2510" s="1">
        <v>0</v>
      </c>
      <c r="K2510" s="1">
        <v>0</v>
      </c>
      <c r="L2510" s="1">
        <v>0</v>
      </c>
      <c r="M2510" s="1">
        <v>0</v>
      </c>
      <c r="O2510" s="1">
        <v>97</v>
      </c>
      <c r="P2510" s="4">
        <f t="shared" si="117"/>
        <v>140000</v>
      </c>
      <c r="Q2510" s="4">
        <f t="shared" si="118"/>
        <v>5</v>
      </c>
      <c r="R2510" s="4">
        <f t="shared" si="119"/>
        <v>28000</v>
      </c>
    </row>
    <row r="2511" spans="1:18">
      <c r="A2511" s="1">
        <v>2</v>
      </c>
      <c r="B2511" s="1" t="str">
        <f>"قطعات و لوازم يدكي"</f>
        <v>قطعات و لوازم يدكي</v>
      </c>
      <c r="C2511" s="1">
        <v>101</v>
      </c>
      <c r="D2511" s="1" t="str">
        <f>"انبار قطعات و لوازم يدكي اصفهان"</f>
        <v>انبار قطعات و لوازم يدكي اصفهان</v>
      </c>
      <c r="E2511" s="1" t="str">
        <f>"6941932502"</f>
        <v>6941932502</v>
      </c>
      <c r="F2511" s="1" t="str">
        <f>"لامپ مهتابي 20 وات تك پين كوچك"</f>
        <v>لامپ مهتابي 20 وات تك پين كوچك</v>
      </c>
      <c r="G2511" s="1" t="str">
        <f>"عدد"</f>
        <v>عدد</v>
      </c>
      <c r="H2511" s="1">
        <v>54</v>
      </c>
      <c r="I2511" s="1">
        <v>39420000</v>
      </c>
      <c r="J2511" s="1">
        <v>2</v>
      </c>
      <c r="K2511" s="1">
        <v>1460000</v>
      </c>
      <c r="L2511" s="1">
        <v>2</v>
      </c>
      <c r="M2511" s="1">
        <v>1460000</v>
      </c>
      <c r="O2511" s="1">
        <v>97</v>
      </c>
      <c r="P2511" s="4">
        <f t="shared" si="117"/>
        <v>39420000</v>
      </c>
      <c r="Q2511" s="4">
        <f t="shared" si="118"/>
        <v>54</v>
      </c>
      <c r="R2511" s="4">
        <f t="shared" si="119"/>
        <v>730000</v>
      </c>
    </row>
    <row r="2512" spans="1:18">
      <c r="A2512" s="1">
        <v>2</v>
      </c>
      <c r="B2512" s="1" t="str">
        <f>"قطعات و لوازم يدكي"</f>
        <v>قطعات و لوازم يدكي</v>
      </c>
      <c r="C2512" s="1">
        <v>101</v>
      </c>
      <c r="D2512" s="1" t="str">
        <f>"انبار قطعات و لوازم يدكي اصفهان"</f>
        <v>انبار قطعات و لوازم يدكي اصفهان</v>
      </c>
      <c r="E2512" s="1" t="str">
        <f>"6952025612"</f>
        <v>6952025612</v>
      </c>
      <c r="F2512" s="1" t="str">
        <f>"لامپ فيتينگ"</f>
        <v>لامپ فيتينگ</v>
      </c>
      <c r="G2512" s="1" t="str">
        <f>"عدد"</f>
        <v>عدد</v>
      </c>
      <c r="H2512" s="1">
        <v>16</v>
      </c>
      <c r="I2512" s="1">
        <v>7902767</v>
      </c>
      <c r="J2512" s="1">
        <v>0</v>
      </c>
      <c r="K2512" s="1">
        <v>0</v>
      </c>
      <c r="L2512" s="1">
        <v>0</v>
      </c>
      <c r="M2512" s="1">
        <v>0</v>
      </c>
      <c r="O2512" s="1">
        <v>97</v>
      </c>
      <c r="P2512" s="4">
        <f t="shared" si="117"/>
        <v>7902767</v>
      </c>
      <c r="Q2512" s="4">
        <f t="shared" si="118"/>
        <v>16</v>
      </c>
      <c r="R2512" s="4">
        <f t="shared" si="119"/>
        <v>493922.9375</v>
      </c>
    </row>
    <row r="2513" spans="1:18">
      <c r="A2513" s="1">
        <v>2</v>
      </c>
      <c r="B2513" s="1" t="str">
        <f>"قطعات و لوازم يدكي"</f>
        <v>قطعات و لوازم يدكي</v>
      </c>
      <c r="C2513" s="1">
        <v>101</v>
      </c>
      <c r="D2513" s="1" t="str">
        <f>"انبار قطعات و لوازم يدكي اصفهان"</f>
        <v>انبار قطعات و لوازم يدكي اصفهان</v>
      </c>
      <c r="E2513" s="1" t="str">
        <f>"6980295502"</f>
        <v>6980295502</v>
      </c>
      <c r="F2513" s="1" t="str">
        <f>"بالاست (ترانس مهتابي)"</f>
        <v>بالاست (ترانس مهتابي)</v>
      </c>
      <c r="G2513" s="1" t="str">
        <f>"عدد"</f>
        <v>عدد</v>
      </c>
      <c r="H2513" s="1">
        <v>16</v>
      </c>
      <c r="I2513" s="1">
        <v>1478400</v>
      </c>
      <c r="J2513" s="1">
        <v>0</v>
      </c>
      <c r="K2513" s="1">
        <v>0</v>
      </c>
      <c r="L2513" s="1">
        <v>2</v>
      </c>
      <c r="M2513" s="1">
        <v>184800</v>
      </c>
      <c r="O2513" s="1">
        <v>97</v>
      </c>
      <c r="P2513" s="4">
        <f t="shared" si="117"/>
        <v>1293600</v>
      </c>
      <c r="Q2513" s="4">
        <f t="shared" si="118"/>
        <v>14</v>
      </c>
      <c r="R2513" s="4">
        <f t="shared" si="119"/>
        <v>92400</v>
      </c>
    </row>
    <row r="2514" spans="1:18">
      <c r="A2514" s="1">
        <v>2</v>
      </c>
      <c r="B2514" s="1" t="str">
        <f>"قطعات و لوازم يدكي"</f>
        <v>قطعات و لوازم يدكي</v>
      </c>
      <c r="C2514" s="1">
        <v>101</v>
      </c>
      <c r="D2514" s="1" t="str">
        <f>"انبار قطعات و لوازم يدكي اصفهان"</f>
        <v>انبار قطعات و لوازم يدكي اصفهان</v>
      </c>
      <c r="E2514" s="1" t="str">
        <f>"6980295512"</f>
        <v>6980295512</v>
      </c>
      <c r="F2514" s="1" t="str">
        <f>"بالاست الكترونيكي"</f>
        <v>بالاست الكترونيكي</v>
      </c>
      <c r="G2514" s="1" t="str">
        <f>"عدد"</f>
        <v>عدد</v>
      </c>
      <c r="H2514" s="1">
        <v>39</v>
      </c>
      <c r="I2514" s="1">
        <v>5866414</v>
      </c>
      <c r="J2514" s="1">
        <v>0</v>
      </c>
      <c r="K2514" s="1">
        <v>0</v>
      </c>
      <c r="L2514" s="1">
        <v>3</v>
      </c>
      <c r="M2514" s="1">
        <v>451263</v>
      </c>
      <c r="O2514" s="1">
        <v>97</v>
      </c>
      <c r="P2514" s="4">
        <f t="shared" si="117"/>
        <v>5415151</v>
      </c>
      <c r="Q2514" s="4">
        <f t="shared" si="118"/>
        <v>36</v>
      </c>
      <c r="R2514" s="4">
        <f t="shared" si="119"/>
        <v>150420.86111111112</v>
      </c>
    </row>
    <row r="2515" spans="1:18" hidden="1">
      <c r="A2515" s="1">
        <v>2</v>
      </c>
      <c r="B2515" s="1" t="str">
        <f>"قطعات و لوازم يدكي"</f>
        <v>قطعات و لوازم يدكي</v>
      </c>
      <c r="C2515" s="1">
        <v>101</v>
      </c>
      <c r="D2515" s="1" t="str">
        <f>"انبار قطعات و لوازم يدكي اصفهان"</f>
        <v>انبار قطعات و لوازم يدكي اصفهان</v>
      </c>
      <c r="E2515" s="1" t="str">
        <f>"6980295542"</f>
        <v>6980295542</v>
      </c>
      <c r="F2515" s="1" t="str">
        <f>"ترانس 2*36 اکترونيکي"</f>
        <v>ترانس 2*36 اکترونيکي</v>
      </c>
      <c r="G2515" s="1" t="str">
        <f>"عدد"</f>
        <v>عدد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O2515" s="1">
        <v>97</v>
      </c>
      <c r="P2515" s="1">
        <f t="shared" si="117"/>
        <v>0</v>
      </c>
      <c r="Q2515" s="1">
        <f t="shared" si="118"/>
        <v>0</v>
      </c>
      <c r="R2515" s="1" t="e">
        <f t="shared" si="119"/>
        <v>#DIV/0!</v>
      </c>
    </row>
    <row r="2516" spans="1:18">
      <c r="A2516" s="1">
        <v>2</v>
      </c>
      <c r="B2516" s="1" t="str">
        <f>"قطعات و لوازم يدكي"</f>
        <v>قطعات و لوازم يدكي</v>
      </c>
      <c r="C2516" s="1">
        <v>101</v>
      </c>
      <c r="D2516" s="1" t="str">
        <f>"انبار قطعات و لوازم يدكي اصفهان"</f>
        <v>انبار قطعات و لوازم يدكي اصفهان</v>
      </c>
      <c r="E2516" s="1" t="str">
        <f>"6981591172"</f>
        <v>6981591172</v>
      </c>
      <c r="F2516" s="1" t="str">
        <f>"هولدر لامپ سراميکي"</f>
        <v>هولدر لامپ سراميکي</v>
      </c>
      <c r="G2516" s="1" t="str">
        <f>"عدد"</f>
        <v>عدد</v>
      </c>
      <c r="H2516" s="1">
        <v>42</v>
      </c>
      <c r="I2516" s="1">
        <v>18543</v>
      </c>
      <c r="J2516" s="1">
        <v>0</v>
      </c>
      <c r="K2516" s="1">
        <v>0</v>
      </c>
      <c r="L2516" s="1">
        <v>0</v>
      </c>
      <c r="M2516" s="1">
        <v>0</v>
      </c>
      <c r="O2516" s="1">
        <v>97</v>
      </c>
      <c r="P2516" s="4">
        <f t="shared" si="117"/>
        <v>18543</v>
      </c>
      <c r="Q2516" s="4">
        <f t="shared" si="118"/>
        <v>42</v>
      </c>
      <c r="R2516" s="4">
        <f t="shared" si="119"/>
        <v>441.5</v>
      </c>
    </row>
    <row r="2517" spans="1:18">
      <c r="A2517" s="1">
        <v>2</v>
      </c>
      <c r="B2517" s="1" t="str">
        <f>"قطعات و لوازم يدكي"</f>
        <v>قطعات و لوازم يدكي</v>
      </c>
      <c r="C2517" s="1">
        <v>101</v>
      </c>
      <c r="D2517" s="1" t="str">
        <f>"انبار قطعات و لوازم يدكي اصفهان"</f>
        <v>انبار قطعات و لوازم يدكي اصفهان</v>
      </c>
      <c r="E2517" s="1" t="str">
        <f>"7042042052"</f>
        <v>7042042052</v>
      </c>
      <c r="F2517" s="1" t="str">
        <f>"كليد دو پل توكار"</f>
        <v>كليد دو پل توكار</v>
      </c>
      <c r="G2517" s="1" t="str">
        <f>"عدد"</f>
        <v>عدد</v>
      </c>
      <c r="H2517" s="1">
        <v>17</v>
      </c>
      <c r="I2517" s="1">
        <v>425000</v>
      </c>
      <c r="J2517" s="1">
        <v>0</v>
      </c>
      <c r="K2517" s="1">
        <v>0</v>
      </c>
      <c r="L2517" s="1">
        <v>1</v>
      </c>
      <c r="M2517" s="1">
        <v>25000</v>
      </c>
      <c r="O2517" s="1">
        <v>97</v>
      </c>
      <c r="P2517" s="4">
        <f t="shared" si="117"/>
        <v>400000</v>
      </c>
      <c r="Q2517" s="4">
        <f t="shared" si="118"/>
        <v>16</v>
      </c>
      <c r="R2517" s="4">
        <f t="shared" si="119"/>
        <v>25000</v>
      </c>
    </row>
    <row r="2518" spans="1:18">
      <c r="A2518" s="1">
        <v>2</v>
      </c>
      <c r="B2518" s="1" t="str">
        <f>"قطعات و لوازم يدكي"</f>
        <v>قطعات و لوازم يدكي</v>
      </c>
      <c r="C2518" s="1">
        <v>101</v>
      </c>
      <c r="D2518" s="1" t="str">
        <f>"انبار قطعات و لوازم يدكي اصفهان"</f>
        <v>انبار قطعات و لوازم يدكي اصفهان</v>
      </c>
      <c r="E2518" s="1" t="str">
        <f>"7057010012"</f>
        <v>7057010012</v>
      </c>
      <c r="F2518" s="1" t="str">
        <f>"پايه فيوز فشنگي"</f>
        <v>پايه فيوز فشنگي</v>
      </c>
      <c r="G2518" s="1" t="str">
        <f>"عدد"</f>
        <v>عدد</v>
      </c>
      <c r="H2518" s="1">
        <v>10</v>
      </c>
      <c r="I2518" s="1">
        <v>80000</v>
      </c>
      <c r="J2518" s="1">
        <v>0</v>
      </c>
      <c r="K2518" s="1">
        <v>0</v>
      </c>
      <c r="L2518" s="1">
        <v>0</v>
      </c>
      <c r="M2518" s="1">
        <v>0</v>
      </c>
      <c r="O2518" s="1">
        <v>97</v>
      </c>
      <c r="P2518" s="4">
        <f t="shared" si="117"/>
        <v>80000</v>
      </c>
      <c r="Q2518" s="4">
        <f t="shared" si="118"/>
        <v>10</v>
      </c>
      <c r="R2518" s="4">
        <f t="shared" si="119"/>
        <v>8000</v>
      </c>
    </row>
    <row r="2519" spans="1:18">
      <c r="A2519" s="1">
        <v>2</v>
      </c>
      <c r="B2519" s="1" t="str">
        <f>"قطعات و لوازم يدكي"</f>
        <v>قطعات و لوازم يدكي</v>
      </c>
      <c r="C2519" s="1">
        <v>101</v>
      </c>
      <c r="D2519" s="1" t="str">
        <f>"انبار قطعات و لوازم يدكي اصفهان"</f>
        <v>انبار قطعات و لوازم يدكي اصفهان</v>
      </c>
      <c r="E2519" s="1" t="str">
        <f>"7061044222"</f>
        <v>7061044222</v>
      </c>
      <c r="F2519" s="1" t="str">
        <f>"فيوز کاردي 63A پايه کوتاه"</f>
        <v>فيوز کاردي 63A پايه کوتاه</v>
      </c>
      <c r="G2519" s="1" t="str">
        <f>"عدد"</f>
        <v>عدد</v>
      </c>
      <c r="H2519" s="1">
        <v>9</v>
      </c>
      <c r="I2519" s="1">
        <v>720000</v>
      </c>
      <c r="J2519" s="1">
        <v>18</v>
      </c>
      <c r="K2519" s="1">
        <v>3249000</v>
      </c>
      <c r="L2519" s="1">
        <v>18</v>
      </c>
      <c r="M2519" s="1">
        <v>2226375</v>
      </c>
      <c r="O2519" s="1">
        <v>97</v>
      </c>
      <c r="P2519" s="4">
        <f t="shared" si="117"/>
        <v>1742625</v>
      </c>
      <c r="Q2519" s="4">
        <f t="shared" si="118"/>
        <v>9</v>
      </c>
      <c r="R2519" s="4">
        <f t="shared" si="119"/>
        <v>193625</v>
      </c>
    </row>
    <row r="2520" spans="1:18">
      <c r="A2520" s="1">
        <v>2</v>
      </c>
      <c r="B2520" s="1" t="str">
        <f>"قطعات و لوازم يدكي"</f>
        <v>قطعات و لوازم يدكي</v>
      </c>
      <c r="C2520" s="1">
        <v>101</v>
      </c>
      <c r="D2520" s="1" t="str">
        <f>"انبار قطعات و لوازم يدكي اصفهان"</f>
        <v>انبار قطعات و لوازم يدكي اصفهان</v>
      </c>
      <c r="E2520" s="1" t="str">
        <f>"7061044702"</f>
        <v>7061044702</v>
      </c>
      <c r="F2520" s="1" t="str">
        <f>"فيوز کاردي 400A پايه بلند"</f>
        <v>فيوز کاردي 400A پايه بلند</v>
      </c>
      <c r="G2520" s="1" t="str">
        <f>"عدد"</f>
        <v>عدد</v>
      </c>
      <c r="H2520" s="1">
        <v>10</v>
      </c>
      <c r="I2520" s="1">
        <v>3485000</v>
      </c>
      <c r="J2520" s="1">
        <v>0</v>
      </c>
      <c r="K2520" s="1">
        <v>0</v>
      </c>
      <c r="L2520" s="1">
        <v>0</v>
      </c>
      <c r="M2520" s="1">
        <v>0</v>
      </c>
      <c r="O2520" s="1">
        <v>97</v>
      </c>
      <c r="P2520" s="4">
        <f t="shared" si="117"/>
        <v>3485000</v>
      </c>
      <c r="Q2520" s="4">
        <f t="shared" si="118"/>
        <v>10</v>
      </c>
      <c r="R2520" s="4">
        <f t="shared" si="119"/>
        <v>348500</v>
      </c>
    </row>
    <row r="2521" spans="1:18">
      <c r="A2521" s="1">
        <v>2</v>
      </c>
      <c r="B2521" s="1" t="str">
        <f>"قطعات و لوازم يدكي"</f>
        <v>قطعات و لوازم يدكي</v>
      </c>
      <c r="C2521" s="1">
        <v>101</v>
      </c>
      <c r="D2521" s="1" t="str">
        <f>"انبار قطعات و لوازم يدكي اصفهان"</f>
        <v>انبار قطعات و لوازم يدكي اصفهان</v>
      </c>
      <c r="E2521" s="1" t="str">
        <f>"7093040182"</f>
        <v>7093040182</v>
      </c>
      <c r="F2521" s="1" t="str">
        <f>"پريز گلابي شكل"</f>
        <v>پريز گلابي شكل</v>
      </c>
      <c r="G2521" s="1" t="str">
        <f>"عدد"</f>
        <v>عدد</v>
      </c>
      <c r="H2521" s="1">
        <v>20</v>
      </c>
      <c r="I2521" s="1">
        <v>490000</v>
      </c>
      <c r="J2521" s="1">
        <v>0</v>
      </c>
      <c r="K2521" s="1">
        <v>0</v>
      </c>
      <c r="L2521" s="1">
        <v>4</v>
      </c>
      <c r="M2521" s="1">
        <v>98000</v>
      </c>
      <c r="O2521" s="1">
        <v>97</v>
      </c>
      <c r="P2521" s="4">
        <f t="shared" si="117"/>
        <v>392000</v>
      </c>
      <c r="Q2521" s="4">
        <f t="shared" si="118"/>
        <v>16</v>
      </c>
      <c r="R2521" s="4">
        <f t="shared" si="119"/>
        <v>24500</v>
      </c>
    </row>
    <row r="2522" spans="1:18">
      <c r="A2522" s="1">
        <v>2</v>
      </c>
      <c r="B2522" s="1" t="str">
        <f>"قطعات و لوازم يدكي"</f>
        <v>قطعات و لوازم يدكي</v>
      </c>
      <c r="C2522" s="1">
        <v>101</v>
      </c>
      <c r="D2522" s="1" t="str">
        <f>"انبار قطعات و لوازم يدكي اصفهان"</f>
        <v>انبار قطعات و لوازم يدكي اصفهان</v>
      </c>
      <c r="E2522" s="1" t="str">
        <f>"7098980032"</f>
        <v>7098980032</v>
      </c>
      <c r="F2522" s="1" t="str">
        <f>"شش راه سيم دار"</f>
        <v>شش راه سيم دار</v>
      </c>
      <c r="G2522" s="1" t="str">
        <f>"عدد"</f>
        <v>عدد</v>
      </c>
      <c r="H2522" s="1">
        <v>3</v>
      </c>
      <c r="I2522" s="1">
        <v>558600</v>
      </c>
      <c r="J2522" s="1">
        <v>9</v>
      </c>
      <c r="K2522" s="1">
        <v>4860000</v>
      </c>
      <c r="L2522" s="1">
        <v>8</v>
      </c>
      <c r="M2522" s="1">
        <v>3258600</v>
      </c>
      <c r="O2522" s="1">
        <v>97</v>
      </c>
      <c r="P2522" s="4">
        <f t="shared" si="117"/>
        <v>2160000</v>
      </c>
      <c r="Q2522" s="4">
        <f t="shared" si="118"/>
        <v>4</v>
      </c>
      <c r="R2522" s="4">
        <f t="shared" si="119"/>
        <v>540000</v>
      </c>
    </row>
    <row r="2523" spans="1:18" hidden="1">
      <c r="A2523" s="1">
        <v>2</v>
      </c>
      <c r="B2523" s="1" t="str">
        <f>"قطعات و لوازم يدكي"</f>
        <v>قطعات و لوازم يدكي</v>
      </c>
      <c r="C2523" s="1">
        <v>101</v>
      </c>
      <c r="D2523" s="1" t="str">
        <f>"انبار قطعات و لوازم يدكي اصفهان"</f>
        <v>انبار قطعات و لوازم يدكي اصفهان</v>
      </c>
      <c r="E2523" s="1" t="str">
        <f>"7301020012"</f>
        <v>7301020012</v>
      </c>
      <c r="F2523" s="1" t="str">
        <f>"فلاکسي بل 1/2-1 15 متري"</f>
        <v>فلاکسي بل 1/2-1 15 متري</v>
      </c>
      <c r="G2523" s="1" t="str">
        <f>"عدد"</f>
        <v>عدد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O2523" s="1">
        <v>97</v>
      </c>
      <c r="P2523" s="1">
        <f t="shared" si="117"/>
        <v>0</v>
      </c>
      <c r="Q2523" s="1">
        <f t="shared" si="118"/>
        <v>0</v>
      </c>
      <c r="R2523" s="1" t="e">
        <f t="shared" si="119"/>
        <v>#DIV/0!</v>
      </c>
    </row>
    <row r="2524" spans="1:18" hidden="1">
      <c r="A2524" s="1">
        <v>2</v>
      </c>
      <c r="B2524" s="1" t="str">
        <f>"قطعات و لوازم يدكي"</f>
        <v>قطعات و لوازم يدكي</v>
      </c>
      <c r="C2524" s="1">
        <v>101</v>
      </c>
      <c r="D2524" s="1" t="str">
        <f>"انبار قطعات و لوازم يدكي اصفهان"</f>
        <v>انبار قطعات و لوازم يدكي اصفهان</v>
      </c>
      <c r="E2524" s="1" t="str">
        <f>"7301020042"</f>
        <v>7301020042</v>
      </c>
      <c r="F2524" s="1" t="str">
        <f>"شيلنگ فشار قوي 50 سانت"</f>
        <v>شيلنگ فشار قوي 50 سانت</v>
      </c>
      <c r="G2524" s="1" t="str">
        <f>"عدد"</f>
        <v>عدد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O2524" s="1">
        <v>97</v>
      </c>
      <c r="P2524" s="1">
        <f t="shared" si="117"/>
        <v>0</v>
      </c>
      <c r="Q2524" s="1">
        <f t="shared" si="118"/>
        <v>0</v>
      </c>
      <c r="R2524" s="1" t="e">
        <f t="shared" si="119"/>
        <v>#DIV/0!</v>
      </c>
    </row>
    <row r="2525" spans="1:18">
      <c r="A2525" s="1">
        <v>2</v>
      </c>
      <c r="B2525" s="1" t="str">
        <f>"قطعات و لوازم يدكي"</f>
        <v>قطعات و لوازم يدكي</v>
      </c>
      <c r="C2525" s="1">
        <v>101</v>
      </c>
      <c r="D2525" s="1" t="str">
        <f>"انبار قطعات و لوازم يدكي اصفهان"</f>
        <v>انبار قطعات و لوازم يدكي اصفهان</v>
      </c>
      <c r="E2525" s="1" t="str">
        <f>"7413310722"</f>
        <v>7413310722</v>
      </c>
      <c r="F2525" s="1" t="str">
        <f>"لوله 2 اينچ رده 40"</f>
        <v>لوله 2 اينچ رده 40</v>
      </c>
      <c r="G2525" s="1" t="str">
        <f>"فوت"</f>
        <v>فوت</v>
      </c>
      <c r="H2525" s="1">
        <v>120</v>
      </c>
      <c r="I2525" s="1">
        <v>6051384</v>
      </c>
      <c r="J2525" s="1">
        <v>100</v>
      </c>
      <c r="K2525" s="1">
        <v>5042820</v>
      </c>
      <c r="L2525" s="1">
        <v>200</v>
      </c>
      <c r="M2525" s="1">
        <v>10085640</v>
      </c>
      <c r="O2525" s="1">
        <v>97</v>
      </c>
      <c r="P2525" s="4">
        <f t="shared" si="117"/>
        <v>1008564</v>
      </c>
      <c r="Q2525" s="4">
        <f t="shared" si="118"/>
        <v>20</v>
      </c>
      <c r="R2525" s="4">
        <f t="shared" si="119"/>
        <v>50428.2</v>
      </c>
    </row>
    <row r="2526" spans="1:18">
      <c r="A2526" s="1">
        <v>2</v>
      </c>
      <c r="B2526" s="1" t="str">
        <f>"قطعات و لوازم يدكي"</f>
        <v>قطعات و لوازم يدكي</v>
      </c>
      <c r="C2526" s="1">
        <v>101</v>
      </c>
      <c r="D2526" s="1" t="str">
        <f>"انبار قطعات و لوازم يدكي اصفهان"</f>
        <v>انبار قطعات و لوازم يدكي اصفهان</v>
      </c>
      <c r="E2526" s="1" t="str">
        <f>"7466223422"</f>
        <v>7466223422</v>
      </c>
      <c r="F2526" s="1" t="s">
        <v>147</v>
      </c>
      <c r="G2526" s="1" t="str">
        <f>"متر"</f>
        <v>متر</v>
      </c>
      <c r="H2526" s="1">
        <v>0</v>
      </c>
      <c r="I2526" s="1">
        <v>0</v>
      </c>
      <c r="J2526" s="1">
        <v>30</v>
      </c>
      <c r="K2526" s="1">
        <v>8400000</v>
      </c>
      <c r="L2526" s="1">
        <v>0</v>
      </c>
      <c r="M2526" s="1">
        <v>0</v>
      </c>
      <c r="O2526" s="1">
        <v>97</v>
      </c>
      <c r="P2526" s="4">
        <f t="shared" si="117"/>
        <v>8400000</v>
      </c>
      <c r="Q2526" s="4">
        <f t="shared" si="118"/>
        <v>30</v>
      </c>
      <c r="R2526" s="4">
        <f t="shared" si="119"/>
        <v>280000</v>
      </c>
    </row>
    <row r="2527" spans="1:18" hidden="1">
      <c r="A2527" s="1">
        <v>2</v>
      </c>
      <c r="B2527" s="1" t="str">
        <f>"قطعات و لوازم يدكي"</f>
        <v>قطعات و لوازم يدكي</v>
      </c>
      <c r="C2527" s="1">
        <v>101</v>
      </c>
      <c r="D2527" s="1" t="str">
        <f>"انبار قطعات و لوازم يدكي اصفهان"</f>
        <v>انبار قطعات و لوازم يدكي اصفهان</v>
      </c>
      <c r="E2527" s="1" t="str">
        <f>"7501010032"</f>
        <v>7501010032</v>
      </c>
      <c r="F2527" s="1" t="str">
        <f>"شير خودکار 3 اينچ کلاس 150"</f>
        <v>شير خودکار 3 اينچ کلاس 150</v>
      </c>
      <c r="G2527" s="1" t="str">
        <f>"عدد"</f>
        <v>عدد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O2527" s="1">
        <v>97</v>
      </c>
      <c r="P2527" s="1">
        <f t="shared" si="117"/>
        <v>0</v>
      </c>
      <c r="Q2527" s="1">
        <f t="shared" si="118"/>
        <v>0</v>
      </c>
      <c r="R2527" s="1" t="e">
        <f t="shared" si="119"/>
        <v>#DIV/0!</v>
      </c>
    </row>
    <row r="2528" spans="1:18">
      <c r="A2528" s="1">
        <v>2</v>
      </c>
      <c r="B2528" s="1" t="str">
        <f>"قطعات و لوازم يدكي"</f>
        <v>قطعات و لوازم يدكي</v>
      </c>
      <c r="C2528" s="1">
        <v>101</v>
      </c>
      <c r="D2528" s="1" t="str">
        <f>"انبار قطعات و لوازم يدكي اصفهان"</f>
        <v>انبار قطعات و لوازم يدكي اصفهان</v>
      </c>
      <c r="E2528" s="1" t="str">
        <f>"7521161562"</f>
        <v>7521161562</v>
      </c>
      <c r="F2528" s="1" t="str">
        <f>"شير گازي 3/4"</f>
        <v>شير گازي 3/4</v>
      </c>
      <c r="G2528" s="1" t="str">
        <f>"عدد"</f>
        <v>عدد</v>
      </c>
      <c r="H2528" s="1">
        <v>18</v>
      </c>
      <c r="I2528" s="1">
        <v>2864000</v>
      </c>
      <c r="J2528" s="1">
        <v>3</v>
      </c>
      <c r="K2528" s="1">
        <v>477334</v>
      </c>
      <c r="L2528" s="1">
        <v>9</v>
      </c>
      <c r="M2528" s="1">
        <v>1432000</v>
      </c>
      <c r="O2528" s="1">
        <v>97</v>
      </c>
      <c r="P2528" s="4">
        <f t="shared" si="117"/>
        <v>1909334</v>
      </c>
      <c r="Q2528" s="4">
        <f t="shared" si="118"/>
        <v>12</v>
      </c>
      <c r="R2528" s="4">
        <f t="shared" si="119"/>
        <v>159111.16666666666</v>
      </c>
    </row>
    <row r="2529" spans="1:18">
      <c r="A2529" s="1">
        <v>2</v>
      </c>
      <c r="B2529" s="1" t="str">
        <f>"قطعات و لوازم يدكي"</f>
        <v>قطعات و لوازم يدكي</v>
      </c>
      <c r="C2529" s="1">
        <v>101</v>
      </c>
      <c r="D2529" s="1" t="str">
        <f>"انبار قطعات و لوازم يدكي اصفهان"</f>
        <v>انبار قطعات و لوازم يدكي اصفهان</v>
      </c>
      <c r="E2529" s="1" t="str">
        <f>"7521161582"</f>
        <v>7521161582</v>
      </c>
      <c r="F2529" s="1" t="str">
        <f>"شير گازي 1 اينچ"</f>
        <v>شير گازي 1 اينچ</v>
      </c>
      <c r="G2529" s="1" t="str">
        <f>"عدد"</f>
        <v>عدد</v>
      </c>
      <c r="H2529" s="1">
        <v>11</v>
      </c>
      <c r="I2529" s="1">
        <v>2366514</v>
      </c>
      <c r="J2529" s="1">
        <v>0</v>
      </c>
      <c r="K2529" s="1">
        <v>0</v>
      </c>
      <c r="L2529" s="1">
        <v>5</v>
      </c>
      <c r="M2529" s="1">
        <v>1075689</v>
      </c>
      <c r="O2529" s="1">
        <v>97</v>
      </c>
      <c r="P2529" s="4">
        <f t="shared" si="117"/>
        <v>1290825</v>
      </c>
      <c r="Q2529" s="4">
        <f t="shared" si="118"/>
        <v>6</v>
      </c>
      <c r="R2529" s="4">
        <f t="shared" si="119"/>
        <v>215137.5</v>
      </c>
    </row>
    <row r="2530" spans="1:18">
      <c r="A2530" s="1">
        <v>2</v>
      </c>
      <c r="B2530" s="1" t="str">
        <f>"قطعات و لوازم يدكي"</f>
        <v>قطعات و لوازم يدكي</v>
      </c>
      <c r="C2530" s="1">
        <v>101</v>
      </c>
      <c r="D2530" s="1" t="str">
        <f>"انبار قطعات و لوازم يدكي اصفهان"</f>
        <v>انبار قطعات و لوازم يدكي اصفهان</v>
      </c>
      <c r="E2530" s="1" t="str">
        <f>"7525184042"</f>
        <v>7525184042</v>
      </c>
      <c r="F2530" s="1" t="s">
        <v>148</v>
      </c>
      <c r="G2530" s="1" t="str">
        <f>"عدد"</f>
        <v>عدد</v>
      </c>
      <c r="H2530" s="1">
        <v>9</v>
      </c>
      <c r="I2530" s="1">
        <v>3780000</v>
      </c>
      <c r="J2530" s="1">
        <v>0</v>
      </c>
      <c r="K2530" s="1">
        <v>0</v>
      </c>
      <c r="L2530" s="1">
        <v>0</v>
      </c>
      <c r="M2530" s="1">
        <v>0</v>
      </c>
      <c r="O2530" s="1">
        <v>97</v>
      </c>
      <c r="P2530" s="4">
        <f t="shared" si="117"/>
        <v>3780000</v>
      </c>
      <c r="Q2530" s="4">
        <f t="shared" si="118"/>
        <v>9</v>
      </c>
      <c r="R2530" s="4">
        <f t="shared" si="119"/>
        <v>420000</v>
      </c>
    </row>
    <row r="2531" spans="1:18" hidden="1">
      <c r="A2531" s="1">
        <v>2</v>
      </c>
      <c r="B2531" s="1" t="str">
        <f>"قطعات و لوازم يدكي"</f>
        <v>قطعات و لوازم يدكي</v>
      </c>
      <c r="C2531" s="1">
        <v>101</v>
      </c>
      <c r="D2531" s="1" t="str">
        <f>"انبار قطعات و لوازم يدكي اصفهان"</f>
        <v>انبار قطعات و لوازم يدكي اصفهان</v>
      </c>
      <c r="E2531" s="1" t="str">
        <f>"7537101052"</f>
        <v>7537101052</v>
      </c>
      <c r="F2531" s="1" t="str">
        <f>"بال ولو 5 اينچ کلاس 150"</f>
        <v>بال ولو 5 اينچ کلاس 150</v>
      </c>
      <c r="G2531" s="1" t="str">
        <f>"عدد"</f>
        <v>عدد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O2531" s="1">
        <v>97</v>
      </c>
      <c r="P2531" s="1">
        <f t="shared" si="117"/>
        <v>0</v>
      </c>
      <c r="Q2531" s="1">
        <f t="shared" si="118"/>
        <v>0</v>
      </c>
      <c r="R2531" s="1" t="e">
        <f t="shared" si="119"/>
        <v>#DIV/0!</v>
      </c>
    </row>
    <row r="2532" spans="1:18" hidden="1">
      <c r="A2532" s="1">
        <v>2</v>
      </c>
      <c r="B2532" s="1" t="str">
        <f>"قطعات و لوازم يدكي"</f>
        <v>قطعات و لوازم يدكي</v>
      </c>
      <c r="C2532" s="1">
        <v>101</v>
      </c>
      <c r="D2532" s="1" t="str">
        <f>"انبار قطعات و لوازم يدكي اصفهان"</f>
        <v>انبار قطعات و لوازم يدكي اصفهان</v>
      </c>
      <c r="E2532" s="1" t="str">
        <f>"7537121202"</f>
        <v>7537121202</v>
      </c>
      <c r="F2532" s="1" t="s">
        <v>149</v>
      </c>
      <c r="G2532" s="1" t="str">
        <f>"عدد"</f>
        <v>عدد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O2532" s="1">
        <v>97</v>
      </c>
      <c r="P2532" s="1">
        <f t="shared" si="117"/>
        <v>0</v>
      </c>
      <c r="Q2532" s="1">
        <f t="shared" si="118"/>
        <v>0</v>
      </c>
      <c r="R2532" s="1" t="e">
        <f t="shared" si="119"/>
        <v>#DIV/0!</v>
      </c>
    </row>
    <row r="2533" spans="1:18">
      <c r="A2533" s="1">
        <v>2</v>
      </c>
      <c r="B2533" s="1" t="str">
        <f>"قطعات و لوازم يدكي"</f>
        <v>قطعات و لوازم يدكي</v>
      </c>
      <c r="C2533" s="1">
        <v>101</v>
      </c>
      <c r="D2533" s="1" t="str">
        <f>"انبار قطعات و لوازم يدكي اصفهان"</f>
        <v>انبار قطعات و لوازم يدكي اصفهان</v>
      </c>
      <c r="E2533" s="1" t="str">
        <f>"7537421222"</f>
        <v>7537421222</v>
      </c>
      <c r="F2533" s="1" t="str">
        <f>"گلوب ولو 4 اينچ 150 (golob valve)"</f>
        <v>گلوب ولو 4 اينچ 150 (golob valve)</v>
      </c>
      <c r="G2533" s="1" t="str">
        <f>"عدد"</f>
        <v>عدد</v>
      </c>
      <c r="H2533" s="1">
        <v>4</v>
      </c>
      <c r="I2533" s="1">
        <v>8736179</v>
      </c>
      <c r="J2533" s="1">
        <v>2</v>
      </c>
      <c r="K2533" s="1">
        <v>108000000</v>
      </c>
      <c r="L2533" s="1">
        <v>3</v>
      </c>
      <c r="M2533" s="1">
        <v>6552134</v>
      </c>
      <c r="O2533" s="1">
        <v>97</v>
      </c>
      <c r="P2533" s="4">
        <f t="shared" si="117"/>
        <v>110184045</v>
      </c>
      <c r="Q2533" s="4">
        <f t="shared" si="118"/>
        <v>3</v>
      </c>
      <c r="R2533" s="4">
        <f t="shared" si="119"/>
        <v>36728015</v>
      </c>
    </row>
    <row r="2534" spans="1:18">
      <c r="A2534" s="1">
        <v>2</v>
      </c>
      <c r="B2534" s="1" t="str">
        <f>"قطعات و لوازم يدكي"</f>
        <v>قطعات و لوازم يدكي</v>
      </c>
      <c r="C2534" s="1">
        <v>101</v>
      </c>
      <c r="D2534" s="1" t="str">
        <f>"انبار قطعات و لوازم يدكي اصفهان"</f>
        <v>انبار قطعات و لوازم يدكي اصفهان</v>
      </c>
      <c r="E2534" s="1" t="str">
        <f>"7537431162"</f>
        <v>7537431162</v>
      </c>
      <c r="F2534" s="1" t="str">
        <f>"گلوب ولو 2 اينچ 300 (golob valve)"</f>
        <v>گلوب ولو 2 اينچ 300 (golob valve)</v>
      </c>
      <c r="G2534" s="1" t="str">
        <f>"عدد"</f>
        <v>عدد</v>
      </c>
      <c r="H2534" s="1">
        <v>4</v>
      </c>
      <c r="I2534" s="1">
        <v>6142395</v>
      </c>
      <c r="J2534" s="1">
        <v>0</v>
      </c>
      <c r="K2534" s="1">
        <v>0</v>
      </c>
      <c r="L2534" s="1">
        <v>0</v>
      </c>
      <c r="M2534" s="1">
        <v>0</v>
      </c>
      <c r="O2534" s="1">
        <v>97</v>
      </c>
      <c r="P2534" s="4">
        <f t="shared" si="117"/>
        <v>6142395</v>
      </c>
      <c r="Q2534" s="4">
        <f t="shared" si="118"/>
        <v>4</v>
      </c>
      <c r="R2534" s="4">
        <f t="shared" si="119"/>
        <v>1535598.75</v>
      </c>
    </row>
    <row r="2535" spans="1:18">
      <c r="A2535" s="1">
        <v>2</v>
      </c>
      <c r="B2535" s="1" t="str">
        <f>"قطعات و لوازم يدكي"</f>
        <v>قطعات و لوازم يدكي</v>
      </c>
      <c r="C2535" s="1">
        <v>101</v>
      </c>
      <c r="D2535" s="1" t="str">
        <f>"انبار قطعات و لوازم يدكي اصفهان"</f>
        <v>انبار قطعات و لوازم يدكي اصفهان</v>
      </c>
      <c r="E2535" s="1" t="str">
        <f>"7556131122"</f>
        <v>7556131122</v>
      </c>
      <c r="F2535" s="1" t="str">
        <f>"جک ولو جوشي2 /1-1 اينچ 800(check valve)"</f>
        <v>جک ولو جوشي2 /1-1 اينچ 800(check valve)</v>
      </c>
      <c r="G2535" s="1" t="str">
        <f>"عدد"</f>
        <v>عدد</v>
      </c>
      <c r="H2535" s="1">
        <v>10</v>
      </c>
      <c r="I2535" s="1">
        <v>18000000</v>
      </c>
      <c r="J2535" s="1">
        <v>0</v>
      </c>
      <c r="K2535" s="1">
        <v>0</v>
      </c>
      <c r="L2535" s="1">
        <v>1</v>
      </c>
      <c r="M2535" s="1">
        <v>1800000</v>
      </c>
      <c r="O2535" s="1">
        <v>97</v>
      </c>
      <c r="P2535" s="4">
        <f t="shared" si="117"/>
        <v>16200000</v>
      </c>
      <c r="Q2535" s="4">
        <f t="shared" si="118"/>
        <v>9</v>
      </c>
      <c r="R2535" s="4">
        <f t="shared" si="119"/>
        <v>1800000</v>
      </c>
    </row>
    <row r="2536" spans="1:18">
      <c r="A2536" s="1">
        <v>2</v>
      </c>
      <c r="B2536" s="1" t="str">
        <f>"قطعات و لوازم يدكي"</f>
        <v>قطعات و لوازم يدكي</v>
      </c>
      <c r="C2536" s="1">
        <v>101</v>
      </c>
      <c r="D2536" s="1" t="str">
        <f>"انبار قطعات و لوازم يدكي اصفهان"</f>
        <v>انبار قطعات و لوازم يدكي اصفهان</v>
      </c>
      <c r="E2536" s="1" t="str">
        <f>"7556351082"</f>
        <v>7556351082</v>
      </c>
      <c r="F2536" s="1" t="str">
        <f>"گيت ولو 1 اينچ جوشي كلاس800"</f>
        <v>گيت ولو 1 اينچ جوشي كلاس800</v>
      </c>
      <c r="G2536" s="1" t="str">
        <f>"عدد"</f>
        <v>عدد</v>
      </c>
      <c r="H2536" s="1">
        <v>21</v>
      </c>
      <c r="I2536" s="1">
        <v>28770000</v>
      </c>
      <c r="J2536" s="1">
        <v>12</v>
      </c>
      <c r="K2536" s="1">
        <v>25868571</v>
      </c>
      <c r="L2536" s="1">
        <v>11</v>
      </c>
      <c r="M2536" s="1">
        <v>17584286</v>
      </c>
      <c r="O2536" s="1">
        <v>97</v>
      </c>
      <c r="P2536" s="4">
        <f t="shared" si="117"/>
        <v>37054285</v>
      </c>
      <c r="Q2536" s="4">
        <f t="shared" si="118"/>
        <v>22</v>
      </c>
      <c r="R2536" s="4">
        <f t="shared" si="119"/>
        <v>1684285.6818181819</v>
      </c>
    </row>
    <row r="2537" spans="1:18">
      <c r="A2537" s="1">
        <v>2</v>
      </c>
      <c r="B2537" s="1" t="str">
        <f>"قطعات و لوازم يدكي"</f>
        <v>قطعات و لوازم يدكي</v>
      </c>
      <c r="C2537" s="1">
        <v>120</v>
      </c>
      <c r="D2537" s="1" t="str">
        <f>"انبار قطعات و لوازم يدكي بشکه سازي اصفهان"</f>
        <v>انبار قطعات و لوازم يدكي بشکه سازي اصفهان</v>
      </c>
      <c r="E2537" s="1" t="str">
        <f>"4111700080"</f>
        <v>4111700080</v>
      </c>
      <c r="F2537" s="1" t="str">
        <f>"کابل 2*1/5"</f>
        <v>کابل 2*1/5</v>
      </c>
      <c r="G2537" s="1" t="str">
        <f>"متر"</f>
        <v>متر</v>
      </c>
      <c r="H2537" s="1">
        <v>0</v>
      </c>
      <c r="I2537" s="1">
        <v>0</v>
      </c>
      <c r="J2537" s="1">
        <v>31</v>
      </c>
      <c r="K2537" s="1">
        <v>310000</v>
      </c>
      <c r="L2537" s="1">
        <v>26</v>
      </c>
      <c r="M2537" s="1">
        <v>260000</v>
      </c>
      <c r="O2537" s="1">
        <v>97</v>
      </c>
      <c r="P2537" s="4">
        <f t="shared" si="117"/>
        <v>50000</v>
      </c>
      <c r="Q2537" s="4">
        <f t="shared" si="118"/>
        <v>5</v>
      </c>
      <c r="R2537" s="4">
        <f t="shared" si="119"/>
        <v>10000</v>
      </c>
    </row>
    <row r="2538" spans="1:18">
      <c r="A2538" s="1">
        <v>2</v>
      </c>
      <c r="B2538" s="1" t="str">
        <f>"قطعات و لوازم يدكي"</f>
        <v>قطعات و لوازم يدكي</v>
      </c>
      <c r="C2538" s="1">
        <v>120</v>
      </c>
      <c r="D2538" s="1" t="str">
        <f>"انبار قطعات و لوازم يدكي بشکه سازي اصفهان"</f>
        <v>انبار قطعات و لوازم يدكي بشکه سازي اصفهان</v>
      </c>
      <c r="E2538" s="1" t="str">
        <f>"4111700081"</f>
        <v>4111700081</v>
      </c>
      <c r="F2538" s="1" t="str">
        <f>"کابل شبکه (سيستم )"</f>
        <v>کابل شبکه (سيستم )</v>
      </c>
      <c r="G2538" s="1" t="str">
        <f>"متر"</f>
        <v>متر</v>
      </c>
      <c r="H2538" s="1">
        <v>0</v>
      </c>
      <c r="I2538" s="1">
        <v>0</v>
      </c>
      <c r="J2538" s="1">
        <v>51</v>
      </c>
      <c r="K2538" s="1">
        <v>1785000</v>
      </c>
      <c r="L2538" s="1">
        <v>0</v>
      </c>
      <c r="M2538" s="1">
        <v>0</v>
      </c>
      <c r="O2538" s="1">
        <v>97</v>
      </c>
      <c r="P2538" s="4">
        <f t="shared" si="117"/>
        <v>1785000</v>
      </c>
      <c r="Q2538" s="4">
        <f t="shared" si="118"/>
        <v>51</v>
      </c>
      <c r="R2538" s="4">
        <f t="shared" si="119"/>
        <v>35000</v>
      </c>
    </row>
    <row r="2539" spans="1:18">
      <c r="A2539" s="1">
        <v>2</v>
      </c>
      <c r="B2539" s="1" t="str">
        <f>"قطعات و لوازم يدكي"</f>
        <v>قطعات و لوازم يدكي</v>
      </c>
      <c r="C2539" s="1">
        <v>120</v>
      </c>
      <c r="D2539" s="1" t="str">
        <f>"انبار قطعات و لوازم يدكي بشکه سازي اصفهان"</f>
        <v>انبار قطعات و لوازم يدكي بشکه سازي اصفهان</v>
      </c>
      <c r="E2539" s="1" t="str">
        <f>"4111700086"</f>
        <v>4111700086</v>
      </c>
      <c r="F2539" s="1" t="str">
        <f>"سيني کابل 2* 20"</f>
        <v>سيني کابل 2* 20</v>
      </c>
      <c r="G2539" s="1" t="str">
        <f>"عدد"</f>
        <v>عدد</v>
      </c>
      <c r="H2539" s="1">
        <v>0</v>
      </c>
      <c r="I2539" s="1">
        <v>0</v>
      </c>
      <c r="J2539" s="1">
        <v>1</v>
      </c>
      <c r="K2539" s="1">
        <v>80000</v>
      </c>
      <c r="L2539" s="1">
        <v>0</v>
      </c>
      <c r="M2539" s="1">
        <v>0</v>
      </c>
      <c r="O2539" s="1">
        <v>97</v>
      </c>
      <c r="P2539" s="4">
        <f t="shared" si="117"/>
        <v>80000</v>
      </c>
      <c r="Q2539" s="4">
        <f t="shared" si="118"/>
        <v>1</v>
      </c>
      <c r="R2539" s="4">
        <f t="shared" si="119"/>
        <v>80000</v>
      </c>
    </row>
    <row r="2540" spans="1:18">
      <c r="A2540" s="1">
        <v>2</v>
      </c>
      <c r="B2540" s="1" t="str">
        <f>"قطعات و لوازم يدكي"</f>
        <v>قطعات و لوازم يدكي</v>
      </c>
      <c r="C2540" s="1">
        <v>120</v>
      </c>
      <c r="D2540" s="1" t="str">
        <f>"انبار قطعات و لوازم يدكي بشکه سازي اصفهان"</f>
        <v>انبار قطعات و لوازم يدكي بشکه سازي اصفهان</v>
      </c>
      <c r="E2540" s="1" t="str">
        <f>"4111700089"</f>
        <v>4111700089</v>
      </c>
      <c r="F2540" s="1" t="str">
        <f>"بوبين 220 ولت"</f>
        <v>بوبين 220 ولت</v>
      </c>
      <c r="G2540" s="1" t="str">
        <f>"عدد"</f>
        <v>عدد</v>
      </c>
      <c r="H2540" s="1">
        <v>0</v>
      </c>
      <c r="I2540" s="1">
        <v>0</v>
      </c>
      <c r="J2540" s="1">
        <v>6</v>
      </c>
      <c r="K2540" s="1">
        <v>12600000</v>
      </c>
      <c r="L2540" s="1">
        <v>0</v>
      </c>
      <c r="M2540" s="1">
        <v>0</v>
      </c>
      <c r="O2540" s="1">
        <v>97</v>
      </c>
      <c r="P2540" s="4">
        <f t="shared" si="117"/>
        <v>12600000</v>
      </c>
      <c r="Q2540" s="4">
        <f t="shared" si="118"/>
        <v>6</v>
      </c>
      <c r="R2540" s="4">
        <f t="shared" si="119"/>
        <v>2100000</v>
      </c>
    </row>
    <row r="2541" spans="1:18">
      <c r="A2541" s="1">
        <v>2</v>
      </c>
      <c r="B2541" s="1" t="str">
        <f>"قطعات و لوازم يدكي"</f>
        <v>قطعات و لوازم يدكي</v>
      </c>
      <c r="C2541" s="1">
        <v>120</v>
      </c>
      <c r="D2541" s="1" t="str">
        <f>"انبار قطعات و لوازم يدكي بشکه سازي اصفهان"</f>
        <v>انبار قطعات و لوازم يدكي بشکه سازي اصفهان</v>
      </c>
      <c r="E2541" s="1" t="str">
        <f>"4111700090"</f>
        <v>4111700090</v>
      </c>
      <c r="F2541" s="1" t="str">
        <f>"کنتاکتور 32 توسن"</f>
        <v>کنتاکتور 32 توسن</v>
      </c>
      <c r="G2541" s="1" t="str">
        <f>"عدد"</f>
        <v>عدد</v>
      </c>
      <c r="H2541" s="1">
        <v>0</v>
      </c>
      <c r="I2541" s="1">
        <v>0</v>
      </c>
      <c r="J2541" s="1">
        <v>4</v>
      </c>
      <c r="K2541" s="1">
        <v>6720000</v>
      </c>
      <c r="L2541" s="1">
        <v>0</v>
      </c>
      <c r="M2541" s="1">
        <v>0</v>
      </c>
      <c r="O2541" s="1">
        <v>97</v>
      </c>
      <c r="P2541" s="4">
        <f t="shared" si="117"/>
        <v>6720000</v>
      </c>
      <c r="Q2541" s="4">
        <f t="shared" si="118"/>
        <v>4</v>
      </c>
      <c r="R2541" s="4">
        <f t="shared" si="119"/>
        <v>1680000</v>
      </c>
    </row>
    <row r="2542" spans="1:18">
      <c r="A2542" s="1">
        <v>2</v>
      </c>
      <c r="B2542" s="1" t="str">
        <f>"قطعات و لوازم يدكي"</f>
        <v>قطعات و لوازم يدكي</v>
      </c>
      <c r="C2542" s="1">
        <v>120</v>
      </c>
      <c r="D2542" s="1" t="str">
        <f>"انبار قطعات و لوازم يدكي بشکه سازي اصفهان"</f>
        <v>انبار قطعات و لوازم يدكي بشکه سازي اصفهان</v>
      </c>
      <c r="E2542" s="1" t="str">
        <f>"4111700097"</f>
        <v>4111700097</v>
      </c>
      <c r="F2542" s="1" t="str">
        <f>"فيوز کاردي 200 آمپر"</f>
        <v>فيوز کاردي 200 آمپر</v>
      </c>
      <c r="G2542" s="1" t="str">
        <f>"عدد"</f>
        <v>عدد</v>
      </c>
      <c r="H2542" s="1">
        <v>0</v>
      </c>
      <c r="I2542" s="1">
        <v>0</v>
      </c>
      <c r="J2542" s="1">
        <v>6</v>
      </c>
      <c r="K2542" s="1">
        <v>468000</v>
      </c>
      <c r="L2542" s="1">
        <v>0</v>
      </c>
      <c r="M2542" s="1">
        <v>0</v>
      </c>
      <c r="O2542" s="1">
        <v>97</v>
      </c>
      <c r="P2542" s="4">
        <f t="shared" si="117"/>
        <v>468000</v>
      </c>
      <c r="Q2542" s="4">
        <f t="shared" si="118"/>
        <v>6</v>
      </c>
      <c r="R2542" s="4">
        <f t="shared" si="119"/>
        <v>78000</v>
      </c>
    </row>
    <row r="2543" spans="1:18">
      <c r="A2543" s="1">
        <v>2</v>
      </c>
      <c r="B2543" s="1" t="str">
        <f>"قطعات و لوازم يدكي"</f>
        <v>قطعات و لوازم يدكي</v>
      </c>
      <c r="C2543" s="1">
        <v>120</v>
      </c>
      <c r="D2543" s="1" t="str">
        <f>"انبار قطعات و لوازم يدكي بشکه سازي اصفهان"</f>
        <v>انبار قطعات و لوازم يدكي بشکه سازي اصفهان</v>
      </c>
      <c r="E2543" s="1" t="str">
        <f>"4111700100"</f>
        <v>4111700100</v>
      </c>
      <c r="F2543" s="1" t="str">
        <f>"فن هواکش 40*40"</f>
        <v>فن هواکش 40*40</v>
      </c>
      <c r="G2543" s="1" t="str">
        <f>"عدد"</f>
        <v>عدد</v>
      </c>
      <c r="H2543" s="1">
        <v>0</v>
      </c>
      <c r="I2543" s="1">
        <v>0</v>
      </c>
      <c r="J2543" s="1">
        <v>3</v>
      </c>
      <c r="K2543" s="1">
        <v>1440000</v>
      </c>
      <c r="L2543" s="1">
        <v>0</v>
      </c>
      <c r="M2543" s="1">
        <v>0</v>
      </c>
      <c r="O2543" s="1">
        <v>97</v>
      </c>
      <c r="P2543" s="4">
        <f t="shared" si="117"/>
        <v>1440000</v>
      </c>
      <c r="Q2543" s="4">
        <f t="shared" si="118"/>
        <v>3</v>
      </c>
      <c r="R2543" s="4">
        <f t="shared" si="119"/>
        <v>480000</v>
      </c>
    </row>
    <row r="2544" spans="1:18">
      <c r="A2544" s="1">
        <v>2</v>
      </c>
      <c r="B2544" s="1" t="str">
        <f>"قطعات و لوازم يدكي"</f>
        <v>قطعات و لوازم يدكي</v>
      </c>
      <c r="C2544" s="1">
        <v>120</v>
      </c>
      <c r="D2544" s="1" t="str">
        <f>"انبار قطعات و لوازم يدكي بشکه سازي اصفهان"</f>
        <v>انبار قطعات و لوازم يدكي بشکه سازي اصفهان</v>
      </c>
      <c r="E2544" s="1" t="str">
        <f>"4111700104"</f>
        <v>4111700104</v>
      </c>
      <c r="F2544" s="1" t="str">
        <f>"بوش باتون bs-42 سون"</f>
        <v>بوش باتون bs-42 سون</v>
      </c>
      <c r="G2544" s="1" t="str">
        <f>"عدد"</f>
        <v>عدد</v>
      </c>
      <c r="H2544" s="1">
        <v>0</v>
      </c>
      <c r="I2544" s="1">
        <v>0</v>
      </c>
      <c r="J2544" s="1">
        <v>7</v>
      </c>
      <c r="K2544" s="1">
        <v>385000</v>
      </c>
      <c r="L2544" s="1">
        <v>0</v>
      </c>
      <c r="M2544" s="1">
        <v>0</v>
      </c>
      <c r="O2544" s="1">
        <v>97</v>
      </c>
      <c r="P2544" s="4">
        <f t="shared" si="117"/>
        <v>385000</v>
      </c>
      <c r="Q2544" s="4">
        <f t="shared" si="118"/>
        <v>7</v>
      </c>
      <c r="R2544" s="4">
        <f t="shared" si="119"/>
        <v>55000</v>
      </c>
    </row>
    <row r="2545" spans="1:18">
      <c r="A2545" s="1">
        <v>2</v>
      </c>
      <c r="B2545" s="1" t="str">
        <f>"قطعات و لوازم يدكي"</f>
        <v>قطعات و لوازم يدكي</v>
      </c>
      <c r="C2545" s="1">
        <v>120</v>
      </c>
      <c r="D2545" s="1" t="str">
        <f>"انبار قطعات و لوازم يدكي بشکه سازي اصفهان"</f>
        <v>انبار قطعات و لوازم يدكي بشکه سازي اصفهان</v>
      </c>
      <c r="E2545" s="1" t="str">
        <f>"4111700107"</f>
        <v>4111700107</v>
      </c>
      <c r="F2545" s="1" t="str">
        <f>"کنتاکتور VMC32A"</f>
        <v>کنتاکتور VMC32A</v>
      </c>
      <c r="G2545" s="1" t="str">
        <f>"عدد"</f>
        <v>عدد</v>
      </c>
      <c r="H2545" s="1">
        <v>0</v>
      </c>
      <c r="I2545" s="1">
        <v>0</v>
      </c>
      <c r="J2545" s="1">
        <v>3</v>
      </c>
      <c r="K2545" s="1">
        <v>1860000</v>
      </c>
      <c r="L2545" s="1">
        <v>0</v>
      </c>
      <c r="M2545" s="1">
        <v>0</v>
      </c>
      <c r="O2545" s="1">
        <v>97</v>
      </c>
      <c r="P2545" s="4">
        <f t="shared" si="117"/>
        <v>1860000</v>
      </c>
      <c r="Q2545" s="4">
        <f t="shared" si="118"/>
        <v>3</v>
      </c>
      <c r="R2545" s="4">
        <f t="shared" si="119"/>
        <v>620000</v>
      </c>
    </row>
    <row r="2546" spans="1:18">
      <c r="A2546" s="1">
        <v>2</v>
      </c>
      <c r="B2546" s="1" t="str">
        <f>"قطعات و لوازم يدكي"</f>
        <v>قطعات و لوازم يدكي</v>
      </c>
      <c r="C2546" s="1">
        <v>120</v>
      </c>
      <c r="D2546" s="1" t="str">
        <f>"انبار قطعات و لوازم يدكي بشکه سازي اصفهان"</f>
        <v>انبار قطعات و لوازم يدكي بشکه سازي اصفهان</v>
      </c>
      <c r="E2546" s="1" t="str">
        <f>"4111700112"</f>
        <v>4111700112</v>
      </c>
      <c r="F2546" s="1" t="str">
        <f>"بي متال پارس فانل"</f>
        <v>بي متال پارس فانل</v>
      </c>
      <c r="G2546" s="1" t="str">
        <f>"عدد"</f>
        <v>عدد</v>
      </c>
      <c r="H2546" s="1">
        <v>0</v>
      </c>
      <c r="I2546" s="1">
        <v>0</v>
      </c>
      <c r="J2546" s="1">
        <v>3</v>
      </c>
      <c r="K2546" s="1">
        <v>1020000</v>
      </c>
      <c r="L2546" s="1">
        <v>0</v>
      </c>
      <c r="M2546" s="1">
        <v>0</v>
      </c>
      <c r="O2546" s="1">
        <v>97</v>
      </c>
      <c r="P2546" s="4">
        <f t="shared" si="117"/>
        <v>1020000</v>
      </c>
      <c r="Q2546" s="4">
        <f t="shared" si="118"/>
        <v>3</v>
      </c>
      <c r="R2546" s="4">
        <f t="shared" si="119"/>
        <v>340000</v>
      </c>
    </row>
    <row r="2547" spans="1:18">
      <c r="A2547" s="1">
        <v>2</v>
      </c>
      <c r="B2547" s="1" t="str">
        <f>"قطعات و لوازم يدكي"</f>
        <v>قطعات و لوازم يدكي</v>
      </c>
      <c r="C2547" s="1">
        <v>120</v>
      </c>
      <c r="D2547" s="1" t="str">
        <f>"انبار قطعات و لوازم يدكي بشکه سازي اصفهان"</f>
        <v>انبار قطعات و لوازم يدكي بشکه سازي اصفهان</v>
      </c>
      <c r="E2547" s="1" t="str">
        <f>"4111700115"</f>
        <v>4111700115</v>
      </c>
      <c r="F2547" s="1" t="str">
        <f>"کابل 5  1*4"</f>
        <v>کابل 5  1*4</v>
      </c>
      <c r="G2547" s="1" t="str">
        <f>"متر"</f>
        <v>متر</v>
      </c>
      <c r="H2547" s="1">
        <v>0</v>
      </c>
      <c r="I2547" s="1">
        <v>0</v>
      </c>
      <c r="J2547" s="1">
        <v>16</v>
      </c>
      <c r="K2547" s="1">
        <v>896000</v>
      </c>
      <c r="L2547" s="1">
        <v>0</v>
      </c>
      <c r="M2547" s="1">
        <v>0</v>
      </c>
      <c r="O2547" s="1">
        <v>97</v>
      </c>
      <c r="P2547" s="4">
        <f t="shared" si="117"/>
        <v>896000</v>
      </c>
      <c r="Q2547" s="4">
        <f t="shared" si="118"/>
        <v>16</v>
      </c>
      <c r="R2547" s="4">
        <f t="shared" si="119"/>
        <v>56000</v>
      </c>
    </row>
    <row r="2548" spans="1:18">
      <c r="A2548" s="1">
        <v>2</v>
      </c>
      <c r="B2548" s="1" t="str">
        <f>"قطعات و لوازم يدكي"</f>
        <v>قطعات و لوازم يدكي</v>
      </c>
      <c r="C2548" s="1">
        <v>120</v>
      </c>
      <c r="D2548" s="1" t="str">
        <f>"انبار قطعات و لوازم يدكي بشکه سازي اصفهان"</f>
        <v>انبار قطعات و لوازم يدكي بشکه سازي اصفهان</v>
      </c>
      <c r="E2548" s="1" t="str">
        <f>"4111700118"</f>
        <v>4111700118</v>
      </c>
      <c r="F2548" s="1" t="str">
        <f>"الکترو موتور"</f>
        <v>الکترو موتور</v>
      </c>
      <c r="G2548" s="1" t="str">
        <f>"عدد"</f>
        <v>عدد</v>
      </c>
      <c r="H2548" s="1">
        <v>0</v>
      </c>
      <c r="I2548" s="1">
        <v>0</v>
      </c>
      <c r="J2548" s="1">
        <v>1</v>
      </c>
      <c r="K2548" s="1">
        <v>2500000</v>
      </c>
      <c r="L2548" s="1">
        <v>0</v>
      </c>
      <c r="M2548" s="1">
        <v>0</v>
      </c>
      <c r="O2548" s="1">
        <v>97</v>
      </c>
      <c r="P2548" s="4">
        <f t="shared" si="117"/>
        <v>2500000</v>
      </c>
      <c r="Q2548" s="4">
        <f t="shared" si="118"/>
        <v>1</v>
      </c>
      <c r="R2548" s="4">
        <f t="shared" si="119"/>
        <v>2500000</v>
      </c>
    </row>
    <row r="2549" spans="1:18">
      <c r="A2549" s="1">
        <v>2</v>
      </c>
      <c r="B2549" s="1" t="str">
        <f>"قطعات و لوازم يدكي"</f>
        <v>قطعات و لوازم يدكي</v>
      </c>
      <c r="C2549" s="1">
        <v>120</v>
      </c>
      <c r="D2549" s="1" t="str">
        <f>"انبار قطعات و لوازم يدكي بشکه سازي اصفهان"</f>
        <v>انبار قطعات و لوازم يدكي بشکه سازي اصفهان</v>
      </c>
      <c r="E2549" s="1" t="str">
        <f>"4211700030"</f>
        <v>4211700030</v>
      </c>
      <c r="F2549" s="1" t="str">
        <f>"فنر قرمز 750*240"</f>
        <v>فنر قرمز 750*240</v>
      </c>
      <c r="G2549" s="1" t="str">
        <f>"عدد"</f>
        <v>عدد</v>
      </c>
      <c r="H2549" s="1">
        <v>0</v>
      </c>
      <c r="I2549" s="1">
        <v>0</v>
      </c>
      <c r="J2549" s="1">
        <v>12</v>
      </c>
      <c r="K2549" s="1">
        <v>7680000</v>
      </c>
      <c r="L2549" s="1">
        <v>0</v>
      </c>
      <c r="M2549" s="1">
        <v>0</v>
      </c>
      <c r="O2549" s="1">
        <v>97</v>
      </c>
      <c r="P2549" s="4">
        <f t="shared" si="117"/>
        <v>7680000</v>
      </c>
      <c r="Q2549" s="4">
        <f t="shared" si="118"/>
        <v>12</v>
      </c>
      <c r="R2549" s="4">
        <f t="shared" si="119"/>
        <v>640000</v>
      </c>
    </row>
    <row r="2550" spans="1:18">
      <c r="A2550" s="1">
        <v>2</v>
      </c>
      <c r="B2550" s="1" t="str">
        <f>"قطعات و لوازم يدكي"</f>
        <v>قطعات و لوازم يدكي</v>
      </c>
      <c r="C2550" s="1">
        <v>120</v>
      </c>
      <c r="D2550" s="1" t="str">
        <f>"انبار قطعات و لوازم يدكي بشکه سازي اصفهان"</f>
        <v>انبار قطعات و لوازم يدكي بشکه سازي اصفهان</v>
      </c>
      <c r="E2550" s="1" t="str">
        <f>"4211700032"</f>
        <v>4211700032</v>
      </c>
      <c r="F2550" s="1" t="str">
        <f>"فنر سبز 180*750 ميليمتر"</f>
        <v>فنر سبز 180*750 ميليمتر</v>
      </c>
      <c r="G2550" s="1" t="str">
        <f>"عدد"</f>
        <v>عدد</v>
      </c>
      <c r="H2550" s="1">
        <v>0</v>
      </c>
      <c r="I2550" s="1">
        <v>0</v>
      </c>
      <c r="J2550" s="1">
        <v>16</v>
      </c>
      <c r="K2550" s="1">
        <v>2000000</v>
      </c>
      <c r="L2550" s="1">
        <v>0</v>
      </c>
      <c r="M2550" s="1">
        <v>0</v>
      </c>
      <c r="O2550" s="1">
        <v>97</v>
      </c>
      <c r="P2550" s="4">
        <f t="shared" si="117"/>
        <v>2000000</v>
      </c>
      <c r="Q2550" s="4">
        <f t="shared" si="118"/>
        <v>16</v>
      </c>
      <c r="R2550" s="4">
        <f t="shared" si="119"/>
        <v>125000</v>
      </c>
    </row>
    <row r="2551" spans="1:18">
      <c r="A2551" s="1">
        <v>2</v>
      </c>
      <c r="B2551" s="1" t="str">
        <f>"قطعات و لوازم يدكي"</f>
        <v>قطعات و لوازم يدكي</v>
      </c>
      <c r="C2551" s="1">
        <v>120</v>
      </c>
      <c r="D2551" s="1" t="str">
        <f>"انبار قطعات و لوازم يدكي بشکه سازي اصفهان"</f>
        <v>انبار قطعات و لوازم يدكي بشکه سازي اصفهان</v>
      </c>
      <c r="E2551" s="1" t="str">
        <f>"4211700034"</f>
        <v>4211700034</v>
      </c>
      <c r="F2551" s="1" t="str">
        <f>"فنر آبي 180*430 ميليمتر"</f>
        <v>فنر آبي 180*430 ميليمتر</v>
      </c>
      <c r="G2551" s="1" t="str">
        <f>"عدد"</f>
        <v>عدد</v>
      </c>
      <c r="H2551" s="1">
        <v>0</v>
      </c>
      <c r="I2551" s="1">
        <v>0</v>
      </c>
      <c r="J2551" s="1">
        <v>11</v>
      </c>
      <c r="K2551" s="1">
        <v>1375000</v>
      </c>
      <c r="L2551" s="1">
        <v>0</v>
      </c>
      <c r="M2551" s="1">
        <v>0</v>
      </c>
      <c r="O2551" s="1">
        <v>97</v>
      </c>
      <c r="P2551" s="4">
        <f t="shared" si="117"/>
        <v>1375000</v>
      </c>
      <c r="Q2551" s="4">
        <f t="shared" si="118"/>
        <v>11</v>
      </c>
      <c r="R2551" s="4">
        <f t="shared" si="119"/>
        <v>125000</v>
      </c>
    </row>
    <row r="2552" spans="1:18">
      <c r="A2552" s="1">
        <v>2</v>
      </c>
      <c r="B2552" s="1" t="str">
        <f>"قطعات و لوازم يدكي"</f>
        <v>قطعات و لوازم يدكي</v>
      </c>
      <c r="C2552" s="1">
        <v>120</v>
      </c>
      <c r="D2552" s="1" t="str">
        <f>"انبار قطعات و لوازم يدكي بشکه سازي اصفهان"</f>
        <v>انبار قطعات و لوازم يدكي بشکه سازي اصفهان</v>
      </c>
      <c r="E2552" s="1" t="str">
        <f>"4211700042"</f>
        <v>4211700042</v>
      </c>
      <c r="F2552" s="1" t="str">
        <f>"آچار رول گير اتومات بدون دسته"</f>
        <v>آچار رول گير اتومات بدون دسته</v>
      </c>
      <c r="G2552" s="1" t="str">
        <f>"عدد"</f>
        <v>عدد</v>
      </c>
      <c r="H2552" s="1">
        <v>0</v>
      </c>
      <c r="I2552" s="1">
        <v>0</v>
      </c>
      <c r="J2552" s="1">
        <v>1</v>
      </c>
      <c r="K2552" s="1">
        <v>1000000</v>
      </c>
      <c r="L2552" s="1">
        <v>0</v>
      </c>
      <c r="M2552" s="1">
        <v>0</v>
      </c>
      <c r="O2552" s="1">
        <v>97</v>
      </c>
      <c r="P2552" s="4">
        <f t="shared" si="117"/>
        <v>1000000</v>
      </c>
      <c r="Q2552" s="4">
        <f t="shared" si="118"/>
        <v>1</v>
      </c>
      <c r="R2552" s="4">
        <f t="shared" si="119"/>
        <v>1000000</v>
      </c>
    </row>
    <row r="2553" spans="1:18">
      <c r="A2553" s="1">
        <v>2</v>
      </c>
      <c r="B2553" s="1" t="str">
        <f>"قطعات و لوازم يدكي"</f>
        <v>قطعات و لوازم يدكي</v>
      </c>
      <c r="C2553" s="1">
        <v>120</v>
      </c>
      <c r="D2553" s="1" t="str">
        <f>"انبار قطعات و لوازم يدكي بشکه سازي اصفهان"</f>
        <v>انبار قطعات و لوازم يدكي بشکه سازي اصفهان</v>
      </c>
      <c r="E2553" s="1" t="str">
        <f>"4211700047"</f>
        <v>4211700047</v>
      </c>
      <c r="F2553" s="1" t="str">
        <f>"بلبيرينگ 32211 j"</f>
        <v>بلبيرينگ 32211 j</v>
      </c>
      <c r="G2553" s="1" t="str">
        <f>"عدد"</f>
        <v>عدد</v>
      </c>
      <c r="H2553" s="1">
        <v>0</v>
      </c>
      <c r="I2553" s="1">
        <v>0</v>
      </c>
      <c r="J2553" s="1">
        <v>5</v>
      </c>
      <c r="K2553" s="1">
        <v>1900000</v>
      </c>
      <c r="L2553" s="1">
        <v>1</v>
      </c>
      <c r="M2553" s="1">
        <v>380000</v>
      </c>
      <c r="O2553" s="1">
        <v>97</v>
      </c>
      <c r="P2553" s="4">
        <f t="shared" si="117"/>
        <v>1520000</v>
      </c>
      <c r="Q2553" s="4">
        <f t="shared" si="118"/>
        <v>4</v>
      </c>
      <c r="R2553" s="4">
        <f t="shared" si="119"/>
        <v>380000</v>
      </c>
    </row>
    <row r="2554" spans="1:18" hidden="1">
      <c r="A2554" s="1">
        <v>2</v>
      </c>
      <c r="B2554" s="1" t="str">
        <f>"قطعات و لوازم يدكي"</f>
        <v>قطعات و لوازم يدكي</v>
      </c>
      <c r="C2554" s="1">
        <v>120</v>
      </c>
      <c r="D2554" s="1" t="str">
        <f>"انبار قطعات و لوازم يدكي بشکه سازي اصفهان"</f>
        <v>انبار قطعات و لوازم يدكي بشکه سازي اصفهان</v>
      </c>
      <c r="E2554" s="1" t="str">
        <f>"4211700075"</f>
        <v>4211700075</v>
      </c>
      <c r="F2554" s="1" t="str">
        <f>"بلبرينگ 6004."</f>
        <v>بلبرينگ 6004.</v>
      </c>
      <c r="G2554" s="1" t="str">
        <f>"عدد"</f>
        <v>عدد</v>
      </c>
      <c r="H2554" s="1">
        <v>0</v>
      </c>
      <c r="I2554" s="1">
        <v>0</v>
      </c>
      <c r="J2554" s="1">
        <v>1</v>
      </c>
      <c r="K2554" s="1">
        <v>200000</v>
      </c>
      <c r="L2554" s="1">
        <v>1</v>
      </c>
      <c r="M2554" s="1">
        <v>200000</v>
      </c>
      <c r="O2554" s="1">
        <v>97</v>
      </c>
      <c r="P2554" s="1">
        <f t="shared" si="117"/>
        <v>0</v>
      </c>
      <c r="Q2554" s="1">
        <f t="shared" si="118"/>
        <v>0</v>
      </c>
      <c r="R2554" s="1" t="e">
        <f t="shared" si="119"/>
        <v>#DIV/0!</v>
      </c>
    </row>
    <row r="2555" spans="1:18">
      <c r="A2555" s="1">
        <v>2</v>
      </c>
      <c r="B2555" s="1" t="str">
        <f>"قطعات و لوازم يدكي"</f>
        <v>قطعات و لوازم يدكي</v>
      </c>
      <c r="C2555" s="1">
        <v>120</v>
      </c>
      <c r="D2555" s="1" t="str">
        <f>"انبار قطعات و لوازم يدكي بشکه سازي اصفهان"</f>
        <v>انبار قطعات و لوازم يدكي بشکه سازي اصفهان</v>
      </c>
      <c r="E2555" s="1" t="str">
        <f>"4211700081"</f>
        <v>4211700081</v>
      </c>
      <c r="F2555" s="1" t="str">
        <f>"فيبر و فنر آب بندي جوش اتومات"</f>
        <v>فيبر و فنر آب بندي جوش اتومات</v>
      </c>
      <c r="G2555" s="1" t="str">
        <f>"عدد"</f>
        <v>عدد</v>
      </c>
      <c r="H2555" s="1">
        <v>0</v>
      </c>
      <c r="I2555" s="1">
        <v>0</v>
      </c>
      <c r="J2555" s="1">
        <v>3</v>
      </c>
      <c r="K2555" s="1">
        <v>300000</v>
      </c>
      <c r="L2555" s="1">
        <v>0</v>
      </c>
      <c r="M2555" s="1">
        <v>0</v>
      </c>
      <c r="O2555" s="1">
        <v>97</v>
      </c>
      <c r="P2555" s="4">
        <f t="shared" si="117"/>
        <v>300000</v>
      </c>
      <c r="Q2555" s="4">
        <f t="shared" si="118"/>
        <v>3</v>
      </c>
      <c r="R2555" s="4">
        <f t="shared" si="119"/>
        <v>100000</v>
      </c>
    </row>
    <row r="2556" spans="1:18">
      <c r="A2556" s="1">
        <v>2</v>
      </c>
      <c r="B2556" s="1" t="str">
        <f>"قطعات و لوازم يدكي"</f>
        <v>قطعات و لوازم يدكي</v>
      </c>
      <c r="C2556" s="1">
        <v>120</v>
      </c>
      <c r="D2556" s="1" t="str">
        <f>"انبار قطعات و لوازم يدكي بشکه سازي اصفهان"</f>
        <v>انبار قطعات و لوازم يدكي بشکه سازي اصفهان</v>
      </c>
      <c r="E2556" s="1" t="str">
        <f>"4211700082"</f>
        <v>4211700082</v>
      </c>
      <c r="F2556" s="1" t="str">
        <f>"شلنگ گريس پمپ"</f>
        <v>شلنگ گريس پمپ</v>
      </c>
      <c r="G2556" s="1" t="str">
        <f>"عدد"</f>
        <v>عدد</v>
      </c>
      <c r="H2556" s="1">
        <v>0</v>
      </c>
      <c r="I2556" s="1">
        <v>0</v>
      </c>
      <c r="J2556" s="1">
        <v>2</v>
      </c>
      <c r="K2556" s="1">
        <v>360000</v>
      </c>
      <c r="L2556" s="1">
        <v>0</v>
      </c>
      <c r="M2556" s="1">
        <v>0</v>
      </c>
      <c r="O2556" s="1">
        <v>97</v>
      </c>
      <c r="P2556" s="4">
        <f t="shared" si="117"/>
        <v>360000</v>
      </c>
      <c r="Q2556" s="4">
        <f t="shared" si="118"/>
        <v>2</v>
      </c>
      <c r="R2556" s="4">
        <f t="shared" si="119"/>
        <v>180000</v>
      </c>
    </row>
    <row r="2557" spans="1:18">
      <c r="A2557" s="1">
        <v>2</v>
      </c>
      <c r="B2557" s="1" t="str">
        <f>"قطعات و لوازم يدكي"</f>
        <v>قطعات و لوازم يدكي</v>
      </c>
      <c r="C2557" s="1">
        <v>120</v>
      </c>
      <c r="D2557" s="1" t="str">
        <f>"انبار قطعات و لوازم يدكي بشکه سازي اصفهان"</f>
        <v>انبار قطعات و لوازم يدكي بشکه سازي اصفهان</v>
      </c>
      <c r="E2557" s="1" t="str">
        <f>"4211700085"</f>
        <v>4211700085</v>
      </c>
      <c r="F2557" s="1" t="str">
        <f>"پکينگ 100 کامل"</f>
        <v>پکينگ 100 کامل</v>
      </c>
      <c r="G2557" s="1" t="str">
        <f>"عدد"</f>
        <v>عدد</v>
      </c>
      <c r="H2557" s="1">
        <v>0</v>
      </c>
      <c r="I2557" s="1">
        <v>0</v>
      </c>
      <c r="J2557" s="1">
        <v>6</v>
      </c>
      <c r="K2557" s="1">
        <v>1500000</v>
      </c>
      <c r="L2557" s="1">
        <v>2</v>
      </c>
      <c r="M2557" s="1">
        <v>500000</v>
      </c>
      <c r="O2557" s="1">
        <v>97</v>
      </c>
      <c r="P2557" s="4">
        <f t="shared" si="117"/>
        <v>1000000</v>
      </c>
      <c r="Q2557" s="4">
        <f t="shared" si="118"/>
        <v>4</v>
      </c>
      <c r="R2557" s="4">
        <f t="shared" si="119"/>
        <v>250000</v>
      </c>
    </row>
    <row r="2558" spans="1:18">
      <c r="A2558" s="1">
        <v>2</v>
      </c>
      <c r="B2558" s="1" t="str">
        <f>"قطعات و لوازم يدكي"</f>
        <v>قطعات و لوازم يدكي</v>
      </c>
      <c r="C2558" s="1">
        <v>120</v>
      </c>
      <c r="D2558" s="1" t="str">
        <f>"انبار قطعات و لوازم يدكي بشکه سازي اصفهان"</f>
        <v>انبار قطعات و لوازم يدكي بشکه سازي اصفهان</v>
      </c>
      <c r="E2558" s="1" t="str">
        <f>"4211700108"</f>
        <v>4211700108</v>
      </c>
      <c r="F2558" s="1" t="str">
        <f>"سيلندر 100-25-100"</f>
        <v>سيلندر 100-25-100</v>
      </c>
      <c r="G2558" s="1" t="str">
        <f>"عدد"</f>
        <v>عدد</v>
      </c>
      <c r="H2558" s="1">
        <v>0</v>
      </c>
      <c r="I2558" s="1">
        <v>0</v>
      </c>
      <c r="J2558" s="1">
        <v>4</v>
      </c>
      <c r="K2558" s="1">
        <v>1600000</v>
      </c>
      <c r="L2558" s="1">
        <v>0</v>
      </c>
      <c r="M2558" s="1">
        <v>0</v>
      </c>
      <c r="O2558" s="1">
        <v>97</v>
      </c>
      <c r="P2558" s="4">
        <f t="shared" si="117"/>
        <v>1600000</v>
      </c>
      <c r="Q2558" s="4">
        <f t="shared" si="118"/>
        <v>4</v>
      </c>
      <c r="R2558" s="4">
        <f t="shared" si="119"/>
        <v>400000</v>
      </c>
    </row>
    <row r="2559" spans="1:18">
      <c r="A2559" s="1">
        <v>2</v>
      </c>
      <c r="B2559" s="1" t="str">
        <f>"قطعات و لوازم يدكي"</f>
        <v>قطعات و لوازم يدكي</v>
      </c>
      <c r="C2559" s="1">
        <v>120</v>
      </c>
      <c r="D2559" s="1" t="str">
        <f>"انبار قطعات و لوازم يدكي بشکه سازي اصفهان"</f>
        <v>انبار قطعات و لوازم يدكي بشکه سازي اصفهان</v>
      </c>
      <c r="E2559" s="1" t="str">
        <f>"4211700138"</f>
        <v>4211700138</v>
      </c>
      <c r="F2559" s="1" t="str">
        <f>"کمکي زير طبق سمير"</f>
        <v>کمکي زير طبق سمير</v>
      </c>
      <c r="G2559" s="1" t="str">
        <f>"عدد"</f>
        <v>عدد</v>
      </c>
      <c r="H2559" s="1">
        <v>0</v>
      </c>
      <c r="I2559" s="1">
        <v>0</v>
      </c>
      <c r="J2559" s="1">
        <v>2</v>
      </c>
      <c r="K2559" s="1">
        <v>1400000</v>
      </c>
      <c r="L2559" s="1">
        <v>0</v>
      </c>
      <c r="M2559" s="1">
        <v>0</v>
      </c>
      <c r="O2559" s="1">
        <v>97</v>
      </c>
      <c r="P2559" s="4">
        <f t="shared" si="117"/>
        <v>1400000</v>
      </c>
      <c r="Q2559" s="4">
        <f t="shared" si="118"/>
        <v>2</v>
      </c>
      <c r="R2559" s="4">
        <f t="shared" si="119"/>
        <v>700000</v>
      </c>
    </row>
    <row r="2560" spans="1:18">
      <c r="A2560" s="1">
        <v>2</v>
      </c>
      <c r="B2560" s="1" t="str">
        <f>"قطعات و لوازم يدكي"</f>
        <v>قطعات و لوازم يدكي</v>
      </c>
      <c r="C2560" s="1">
        <v>120</v>
      </c>
      <c r="D2560" s="1" t="str">
        <f>"انبار قطعات و لوازم يدكي بشکه سازي اصفهان"</f>
        <v>انبار قطعات و لوازم يدكي بشکه سازي اصفهان</v>
      </c>
      <c r="E2560" s="1" t="str">
        <f>"4211700141"</f>
        <v>4211700141</v>
      </c>
      <c r="F2560" s="1" t="str">
        <f>"پمپ دستگاه پاشش رنگ"</f>
        <v>پمپ دستگاه پاشش رنگ</v>
      </c>
      <c r="G2560" s="1" t="str">
        <f>"عدد"</f>
        <v>عدد</v>
      </c>
      <c r="H2560" s="1">
        <v>0</v>
      </c>
      <c r="I2560" s="1">
        <v>0</v>
      </c>
      <c r="J2560" s="1">
        <v>1</v>
      </c>
      <c r="K2560" s="1">
        <v>2400000</v>
      </c>
      <c r="L2560" s="1">
        <v>0</v>
      </c>
      <c r="M2560" s="1">
        <v>0</v>
      </c>
      <c r="O2560" s="1">
        <v>97</v>
      </c>
      <c r="P2560" s="4">
        <f t="shared" si="117"/>
        <v>2400000</v>
      </c>
      <c r="Q2560" s="4">
        <f t="shared" si="118"/>
        <v>1</v>
      </c>
      <c r="R2560" s="4">
        <f t="shared" si="119"/>
        <v>2400000</v>
      </c>
    </row>
    <row r="2561" spans="1:18">
      <c r="A2561" s="1">
        <v>2</v>
      </c>
      <c r="B2561" s="1" t="str">
        <f>"قطعات و لوازم يدكي"</f>
        <v>قطعات و لوازم يدكي</v>
      </c>
      <c r="C2561" s="1">
        <v>120</v>
      </c>
      <c r="D2561" s="1" t="str">
        <f>"انبار قطعات و لوازم يدكي بشکه سازي اصفهان"</f>
        <v>انبار قطعات و لوازم يدكي بشکه سازي اصفهان</v>
      </c>
      <c r="E2561" s="1" t="str">
        <f>"4211700164"</f>
        <v>4211700164</v>
      </c>
      <c r="F2561" s="1" t="str">
        <f>"گوشواره قيچي ورق بر دستي"</f>
        <v>گوشواره قيچي ورق بر دستي</v>
      </c>
      <c r="G2561" s="1" t="str">
        <f>"عدد"</f>
        <v>عدد</v>
      </c>
      <c r="H2561" s="1">
        <v>0</v>
      </c>
      <c r="I2561" s="1">
        <v>0</v>
      </c>
      <c r="J2561" s="1">
        <v>7</v>
      </c>
      <c r="K2561" s="1">
        <v>490000</v>
      </c>
      <c r="L2561" s="1">
        <v>0</v>
      </c>
      <c r="M2561" s="1">
        <v>0</v>
      </c>
      <c r="O2561" s="1">
        <v>97</v>
      </c>
      <c r="P2561" s="4">
        <f t="shared" si="117"/>
        <v>490000</v>
      </c>
      <c r="Q2561" s="4">
        <f t="shared" si="118"/>
        <v>7</v>
      </c>
      <c r="R2561" s="4">
        <f t="shared" si="119"/>
        <v>70000</v>
      </c>
    </row>
    <row r="2562" spans="1:18">
      <c r="A2562" s="1">
        <v>2</v>
      </c>
      <c r="B2562" s="1" t="str">
        <f>"قطعات و لوازم يدكي"</f>
        <v>قطعات و لوازم يدكي</v>
      </c>
      <c r="C2562" s="1">
        <v>120</v>
      </c>
      <c r="D2562" s="1" t="str">
        <f>"انبار قطعات و لوازم يدكي بشکه سازي اصفهان"</f>
        <v>انبار قطعات و لوازم يدكي بشکه سازي اصفهان</v>
      </c>
      <c r="E2562" s="1" t="str">
        <f>"4211700170"</f>
        <v>4211700170</v>
      </c>
      <c r="F2562" s="1" t="str">
        <f>"شير برقي 1/8 - 5"</f>
        <v>شير برقي 1/8 - 5</v>
      </c>
      <c r="G2562" s="1" t="str">
        <f>"عدد"</f>
        <v>عدد</v>
      </c>
      <c r="H2562" s="1">
        <v>0</v>
      </c>
      <c r="I2562" s="1">
        <v>0</v>
      </c>
      <c r="J2562" s="1">
        <v>4</v>
      </c>
      <c r="K2562" s="1">
        <v>980000</v>
      </c>
      <c r="L2562" s="1">
        <v>0</v>
      </c>
      <c r="M2562" s="1">
        <v>0</v>
      </c>
      <c r="O2562" s="1">
        <v>97</v>
      </c>
      <c r="P2562" s="4">
        <f t="shared" si="117"/>
        <v>980000</v>
      </c>
      <c r="Q2562" s="4">
        <f t="shared" si="118"/>
        <v>4</v>
      </c>
      <c r="R2562" s="4">
        <f t="shared" si="119"/>
        <v>245000</v>
      </c>
    </row>
    <row r="2563" spans="1:18">
      <c r="A2563" s="1">
        <v>2</v>
      </c>
      <c r="B2563" s="1" t="str">
        <f>"قطعات و لوازم يدكي"</f>
        <v>قطعات و لوازم يدكي</v>
      </c>
      <c r="C2563" s="1">
        <v>120</v>
      </c>
      <c r="D2563" s="1" t="str">
        <f>"انبار قطعات و لوازم يدكي بشکه سازي اصفهان"</f>
        <v>انبار قطعات و لوازم يدكي بشکه سازي اصفهان</v>
      </c>
      <c r="E2563" s="1" t="str">
        <f>"4211700171"</f>
        <v>4211700171</v>
      </c>
      <c r="F2563" s="1" t="str">
        <f>"پکينگ 110-125"</f>
        <v>پکينگ 110-125</v>
      </c>
      <c r="G2563" s="1" t="str">
        <f>"عدد"</f>
        <v>عدد</v>
      </c>
      <c r="H2563" s="1">
        <v>0</v>
      </c>
      <c r="I2563" s="1">
        <v>0</v>
      </c>
      <c r="J2563" s="1">
        <v>1</v>
      </c>
      <c r="K2563" s="1">
        <v>180000</v>
      </c>
      <c r="L2563" s="1">
        <v>0</v>
      </c>
      <c r="M2563" s="1">
        <v>0</v>
      </c>
      <c r="O2563" s="1">
        <v>97</v>
      </c>
      <c r="P2563" s="4">
        <f t="shared" ref="P2563:P2626" si="120">I2563+K2563-M2563</f>
        <v>180000</v>
      </c>
      <c r="Q2563" s="4">
        <f t="shared" ref="Q2563:Q2626" si="121">H2563+J2563-L2563</f>
        <v>1</v>
      </c>
      <c r="R2563" s="4">
        <f t="shared" ref="R2563:R2626" si="122">P2563/Q2563</f>
        <v>180000</v>
      </c>
    </row>
    <row r="2564" spans="1:18">
      <c r="A2564" s="1">
        <v>2</v>
      </c>
      <c r="B2564" s="1" t="str">
        <f>"قطعات و لوازم يدكي"</f>
        <v>قطعات و لوازم يدكي</v>
      </c>
      <c r="C2564" s="1">
        <v>120</v>
      </c>
      <c r="D2564" s="1" t="str">
        <f>"انبار قطعات و لوازم يدكي بشکه سازي اصفهان"</f>
        <v>انبار قطعات و لوازم يدكي بشکه سازي اصفهان</v>
      </c>
      <c r="E2564" s="1" t="str">
        <f>"4211700188"</f>
        <v>4211700188</v>
      </c>
      <c r="F2564" s="1" t="str">
        <f>"بلبرينگ 30210"</f>
        <v>بلبرينگ 30210</v>
      </c>
      <c r="G2564" s="1" t="str">
        <f>"عدد"</f>
        <v>عدد</v>
      </c>
      <c r="H2564" s="1">
        <v>0</v>
      </c>
      <c r="I2564" s="1">
        <v>0</v>
      </c>
      <c r="J2564" s="1">
        <v>1</v>
      </c>
      <c r="K2564" s="1">
        <v>200000</v>
      </c>
      <c r="L2564" s="1">
        <v>0</v>
      </c>
      <c r="M2564" s="1">
        <v>0</v>
      </c>
      <c r="O2564" s="1">
        <v>97</v>
      </c>
      <c r="P2564" s="4">
        <f t="shared" si="120"/>
        <v>200000</v>
      </c>
      <c r="Q2564" s="4">
        <f t="shared" si="121"/>
        <v>1</v>
      </c>
      <c r="R2564" s="4">
        <f t="shared" si="122"/>
        <v>200000</v>
      </c>
    </row>
    <row r="2565" spans="1:18">
      <c r="A2565" s="1">
        <v>2</v>
      </c>
      <c r="B2565" s="1" t="str">
        <f>"قطعات و لوازم يدكي"</f>
        <v>قطعات و لوازم يدكي</v>
      </c>
      <c r="C2565" s="1">
        <v>120</v>
      </c>
      <c r="D2565" s="1" t="str">
        <f>"انبار قطعات و لوازم يدكي بشکه سازي اصفهان"</f>
        <v>انبار قطعات و لوازم يدكي بشکه سازي اصفهان</v>
      </c>
      <c r="E2565" s="1" t="str">
        <f>"4311700019"</f>
        <v>4311700019</v>
      </c>
      <c r="F2565" s="1" t="str">
        <f>"مته آهن سايز 5"</f>
        <v>مته آهن سايز 5</v>
      </c>
      <c r="G2565" s="1" t="str">
        <f>"عدد"</f>
        <v>عدد</v>
      </c>
      <c r="H2565" s="1">
        <v>0</v>
      </c>
      <c r="I2565" s="1">
        <v>0</v>
      </c>
      <c r="J2565" s="1">
        <v>10</v>
      </c>
      <c r="K2565" s="1">
        <v>500000</v>
      </c>
      <c r="L2565" s="1">
        <v>7</v>
      </c>
      <c r="M2565" s="1">
        <v>350000</v>
      </c>
      <c r="O2565" s="1">
        <v>97</v>
      </c>
      <c r="P2565" s="4">
        <f t="shared" si="120"/>
        <v>150000</v>
      </c>
      <c r="Q2565" s="4">
        <f t="shared" si="121"/>
        <v>3</v>
      </c>
      <c r="R2565" s="4">
        <f t="shared" si="122"/>
        <v>50000</v>
      </c>
    </row>
    <row r="2566" spans="1:18" hidden="1">
      <c r="A2566" s="1">
        <v>2</v>
      </c>
      <c r="B2566" s="1" t="str">
        <f>"قطعات و لوازم يدكي"</f>
        <v>قطعات و لوازم يدكي</v>
      </c>
      <c r="C2566" s="1">
        <v>120</v>
      </c>
      <c r="D2566" s="1" t="str">
        <f>"انبار قطعات و لوازم يدكي بشکه سازي اصفهان"</f>
        <v>انبار قطعات و لوازم يدكي بشکه سازي اصفهان</v>
      </c>
      <c r="E2566" s="1" t="str">
        <f>"4311700036"</f>
        <v>4311700036</v>
      </c>
      <c r="F2566" s="1" t="str">
        <f>"سمباده نرم"</f>
        <v>سمباده نرم</v>
      </c>
      <c r="G2566" s="1" t="str">
        <f>"عدد"</f>
        <v>عدد</v>
      </c>
      <c r="H2566" s="1">
        <v>0</v>
      </c>
      <c r="I2566" s="1">
        <v>0</v>
      </c>
      <c r="J2566" s="1">
        <v>3</v>
      </c>
      <c r="K2566" s="1">
        <v>45000</v>
      </c>
      <c r="L2566" s="1">
        <v>3</v>
      </c>
      <c r="M2566" s="1">
        <v>45000</v>
      </c>
      <c r="O2566" s="1">
        <v>97</v>
      </c>
      <c r="P2566" s="1">
        <f t="shared" si="120"/>
        <v>0</v>
      </c>
      <c r="Q2566" s="1">
        <f t="shared" si="121"/>
        <v>0</v>
      </c>
      <c r="R2566" s="1" t="e">
        <f t="shared" si="122"/>
        <v>#DIV/0!</v>
      </c>
    </row>
    <row r="2567" spans="1:18">
      <c r="A2567" s="1">
        <v>2</v>
      </c>
      <c r="B2567" s="1" t="str">
        <f>"قطعات و لوازم يدكي"</f>
        <v>قطعات و لوازم يدكي</v>
      </c>
      <c r="C2567" s="1">
        <v>120</v>
      </c>
      <c r="D2567" s="1" t="str">
        <f>"انبار قطعات و لوازم يدكي بشکه سازي اصفهان"</f>
        <v>انبار قطعات و لوازم يدكي بشکه سازي اصفهان</v>
      </c>
      <c r="E2567" s="1" t="str">
        <f>"4311700042"</f>
        <v>4311700042</v>
      </c>
      <c r="F2567" s="1" t="str">
        <f>"نوار تفلن بزرگ"</f>
        <v>نوار تفلن بزرگ</v>
      </c>
      <c r="G2567" s="1" t="str">
        <f>"عدد"</f>
        <v>عدد</v>
      </c>
      <c r="H2567" s="1">
        <v>0</v>
      </c>
      <c r="I2567" s="1">
        <v>0</v>
      </c>
      <c r="J2567" s="1">
        <v>12</v>
      </c>
      <c r="K2567" s="1">
        <v>120000</v>
      </c>
      <c r="L2567" s="1">
        <v>2</v>
      </c>
      <c r="M2567" s="1">
        <v>20000</v>
      </c>
      <c r="O2567" s="1">
        <v>97</v>
      </c>
      <c r="P2567" s="4">
        <f t="shared" si="120"/>
        <v>100000</v>
      </c>
      <c r="Q2567" s="4">
        <f t="shared" si="121"/>
        <v>10</v>
      </c>
      <c r="R2567" s="4">
        <f t="shared" si="122"/>
        <v>10000</v>
      </c>
    </row>
    <row r="2568" spans="1:18">
      <c r="A2568" s="1">
        <v>2</v>
      </c>
      <c r="B2568" s="1" t="str">
        <f>"قطعات و لوازم يدكي"</f>
        <v>قطعات و لوازم يدكي</v>
      </c>
      <c r="C2568" s="1">
        <v>120</v>
      </c>
      <c r="D2568" s="1" t="str">
        <f>"انبار قطعات و لوازم يدكي بشکه سازي اصفهان"</f>
        <v>انبار قطعات و لوازم يدكي بشکه سازي اصفهان</v>
      </c>
      <c r="E2568" s="1" t="str">
        <f>"4311700043"</f>
        <v>4311700043</v>
      </c>
      <c r="F2568" s="1" t="str">
        <f>"نوار تفلن متوسط"</f>
        <v>نوار تفلن متوسط</v>
      </c>
      <c r="G2568" s="1" t="str">
        <f>"عدد"</f>
        <v>عدد</v>
      </c>
      <c r="H2568" s="1">
        <v>0</v>
      </c>
      <c r="I2568" s="1">
        <v>0</v>
      </c>
      <c r="J2568" s="1">
        <v>36</v>
      </c>
      <c r="K2568" s="1">
        <v>360000</v>
      </c>
      <c r="L2568" s="1">
        <v>1</v>
      </c>
      <c r="M2568" s="1">
        <v>10000</v>
      </c>
      <c r="O2568" s="1">
        <v>97</v>
      </c>
      <c r="P2568" s="4">
        <f t="shared" si="120"/>
        <v>350000</v>
      </c>
      <c r="Q2568" s="4">
        <f t="shared" si="121"/>
        <v>35</v>
      </c>
      <c r="R2568" s="4">
        <f t="shared" si="122"/>
        <v>10000</v>
      </c>
    </row>
    <row r="2569" spans="1:18">
      <c r="A2569" s="1">
        <v>2</v>
      </c>
      <c r="B2569" s="1" t="str">
        <f>"قطعات و لوازم يدكي"</f>
        <v>قطعات و لوازم يدكي</v>
      </c>
      <c r="C2569" s="1">
        <v>120</v>
      </c>
      <c r="D2569" s="1" t="str">
        <f>"انبار قطعات و لوازم يدكي بشکه سازي اصفهان"</f>
        <v>انبار قطعات و لوازم يدكي بشکه سازي اصفهان</v>
      </c>
      <c r="E2569" s="1" t="str">
        <f>"4311700055"</f>
        <v>4311700055</v>
      </c>
      <c r="F2569" s="1" t="str">
        <f>"شلنگ کولر"</f>
        <v>شلنگ کولر</v>
      </c>
      <c r="G2569" s="1" t="str">
        <f>"متر"</f>
        <v>متر</v>
      </c>
      <c r="H2569" s="1">
        <v>0</v>
      </c>
      <c r="I2569" s="1">
        <v>0</v>
      </c>
      <c r="J2569" s="1">
        <v>21</v>
      </c>
      <c r="K2569" s="1">
        <v>945000</v>
      </c>
      <c r="L2569" s="1">
        <v>0</v>
      </c>
      <c r="M2569" s="1">
        <v>0</v>
      </c>
      <c r="O2569" s="1">
        <v>97</v>
      </c>
      <c r="P2569" s="4">
        <f t="shared" si="120"/>
        <v>945000</v>
      </c>
      <c r="Q2569" s="4">
        <f t="shared" si="121"/>
        <v>21</v>
      </c>
      <c r="R2569" s="4">
        <f t="shared" si="122"/>
        <v>45000</v>
      </c>
    </row>
    <row r="2570" spans="1:18">
      <c r="A2570" s="1">
        <v>2</v>
      </c>
      <c r="B2570" s="1" t="str">
        <f>"قطعات و لوازم يدكي"</f>
        <v>قطعات و لوازم يدكي</v>
      </c>
      <c r="C2570" s="1">
        <v>120</v>
      </c>
      <c r="D2570" s="1" t="str">
        <f>"انبار قطعات و لوازم يدكي بشکه سازي اصفهان"</f>
        <v>انبار قطعات و لوازم يدكي بشکه سازي اصفهان</v>
      </c>
      <c r="E2570" s="1" t="str">
        <f>"4311700056"</f>
        <v>4311700056</v>
      </c>
      <c r="F2570" s="1" t="str">
        <f>"بست گازي کوچک 1"</f>
        <v>بست گازي کوچک 1</v>
      </c>
      <c r="G2570" s="1" t="str">
        <f>"عدد"</f>
        <v>عدد</v>
      </c>
      <c r="H2570" s="1">
        <v>0</v>
      </c>
      <c r="I2570" s="1">
        <v>0</v>
      </c>
      <c r="J2570" s="1">
        <v>311</v>
      </c>
      <c r="K2570" s="1">
        <v>1555000</v>
      </c>
      <c r="L2570" s="1">
        <v>22</v>
      </c>
      <c r="M2570" s="1">
        <v>110000</v>
      </c>
      <c r="O2570" s="1">
        <v>97</v>
      </c>
      <c r="P2570" s="4">
        <f t="shared" si="120"/>
        <v>1445000</v>
      </c>
      <c r="Q2570" s="4">
        <f t="shared" si="121"/>
        <v>289</v>
      </c>
      <c r="R2570" s="4">
        <f t="shared" si="122"/>
        <v>5000</v>
      </c>
    </row>
    <row r="2571" spans="1:18">
      <c r="A2571" s="1">
        <v>2</v>
      </c>
      <c r="B2571" s="1" t="str">
        <f>"قطعات و لوازم يدكي"</f>
        <v>قطعات و لوازم يدكي</v>
      </c>
      <c r="C2571" s="1">
        <v>120</v>
      </c>
      <c r="D2571" s="1" t="str">
        <f>"انبار قطعات و لوازم يدكي بشکه سازي اصفهان"</f>
        <v>انبار قطعات و لوازم يدكي بشکه سازي اصفهان</v>
      </c>
      <c r="E2571" s="1" t="str">
        <f>"4311700058"</f>
        <v>4311700058</v>
      </c>
      <c r="F2571" s="1" t="str">
        <f>"بست گازي متوسط"</f>
        <v>بست گازي متوسط</v>
      </c>
      <c r="G2571" s="1" t="str">
        <f>"عدد"</f>
        <v>عدد</v>
      </c>
      <c r="H2571" s="1">
        <v>0</v>
      </c>
      <c r="I2571" s="1">
        <v>0</v>
      </c>
      <c r="J2571" s="1">
        <v>39</v>
      </c>
      <c r="K2571" s="1">
        <v>117000</v>
      </c>
      <c r="L2571" s="1">
        <v>3</v>
      </c>
      <c r="M2571" s="1">
        <v>9000</v>
      </c>
      <c r="O2571" s="1">
        <v>97</v>
      </c>
      <c r="P2571" s="4">
        <f t="shared" si="120"/>
        <v>108000</v>
      </c>
      <c r="Q2571" s="4">
        <f t="shared" si="121"/>
        <v>36</v>
      </c>
      <c r="R2571" s="4">
        <f t="shared" si="122"/>
        <v>3000</v>
      </c>
    </row>
    <row r="2572" spans="1:18">
      <c r="A2572" s="1">
        <v>2</v>
      </c>
      <c r="B2572" s="1" t="str">
        <f>"قطعات و لوازم يدكي"</f>
        <v>قطعات و لوازم يدكي</v>
      </c>
      <c r="C2572" s="1">
        <v>120</v>
      </c>
      <c r="D2572" s="1" t="str">
        <f>"انبار قطعات و لوازم يدكي بشکه سازي اصفهان"</f>
        <v>انبار قطعات و لوازم يدكي بشکه سازي اصفهان</v>
      </c>
      <c r="E2572" s="1" t="str">
        <f>"4311700074"</f>
        <v>4311700074</v>
      </c>
      <c r="F2572" s="1" t="str">
        <f>"اورينگ 70*3/5"</f>
        <v>اورينگ 70*3/5</v>
      </c>
      <c r="G2572" s="1" t="str">
        <f>"عدد"</f>
        <v>عدد</v>
      </c>
      <c r="H2572" s="1">
        <v>0</v>
      </c>
      <c r="I2572" s="1">
        <v>0</v>
      </c>
      <c r="J2572" s="1">
        <v>21</v>
      </c>
      <c r="K2572" s="1">
        <v>105000</v>
      </c>
      <c r="L2572" s="1">
        <v>0</v>
      </c>
      <c r="M2572" s="1">
        <v>0</v>
      </c>
      <c r="O2572" s="1">
        <v>97</v>
      </c>
      <c r="P2572" s="4">
        <f t="shared" si="120"/>
        <v>105000</v>
      </c>
      <c r="Q2572" s="4">
        <f t="shared" si="121"/>
        <v>21</v>
      </c>
      <c r="R2572" s="4">
        <f t="shared" si="122"/>
        <v>5000</v>
      </c>
    </row>
    <row r="2573" spans="1:18">
      <c r="A2573" s="1">
        <v>2</v>
      </c>
      <c r="B2573" s="1" t="str">
        <f>"قطعات و لوازم يدكي"</f>
        <v>قطعات و لوازم يدكي</v>
      </c>
      <c r="C2573" s="1">
        <v>101</v>
      </c>
      <c r="D2573" s="1" t="str">
        <f>"انبار قطعات و لوازم يدكي اصفهان"</f>
        <v>انبار قطعات و لوازم يدكي اصفهان</v>
      </c>
      <c r="E2573" s="1" t="str">
        <f>"7589795152"</f>
        <v>7589795152</v>
      </c>
      <c r="F2573" s="1" t="str">
        <f>"استيم تراپ(تله بخار)1/2اينچ800"</f>
        <v>استيم تراپ(تله بخار)1/2اينچ800</v>
      </c>
      <c r="G2573" s="1" t="str">
        <f>"عدد"</f>
        <v>عدد</v>
      </c>
      <c r="H2573" s="1">
        <v>50</v>
      </c>
      <c r="I2573" s="1">
        <v>137577392</v>
      </c>
      <c r="J2573" s="1">
        <v>0</v>
      </c>
      <c r="K2573" s="1">
        <v>0</v>
      </c>
      <c r="L2573" s="1">
        <v>9</v>
      </c>
      <c r="M2573" s="1">
        <v>24763931</v>
      </c>
      <c r="O2573" s="1">
        <v>97</v>
      </c>
      <c r="P2573" s="4">
        <f t="shared" si="120"/>
        <v>112813461</v>
      </c>
      <c r="Q2573" s="4">
        <f t="shared" si="121"/>
        <v>41</v>
      </c>
      <c r="R2573" s="4">
        <f t="shared" si="122"/>
        <v>2751547.8292682925</v>
      </c>
    </row>
    <row r="2574" spans="1:18">
      <c r="A2574" s="1">
        <v>2</v>
      </c>
      <c r="B2574" s="1" t="str">
        <f>"قطعات و لوازم يدكي"</f>
        <v>قطعات و لوازم يدكي</v>
      </c>
      <c r="C2574" s="1">
        <v>101</v>
      </c>
      <c r="D2574" s="1" t="str">
        <f>"انبار قطعات و لوازم يدكي اصفهان"</f>
        <v>انبار قطعات و لوازم يدكي اصفهان</v>
      </c>
      <c r="E2574" s="1" t="str">
        <f>"7605140132"</f>
        <v>7605140132</v>
      </c>
      <c r="F2574" s="1" t="str">
        <f>"بوشينگ 1/4*3/8"</f>
        <v>بوشينگ 1/4*3/8</v>
      </c>
      <c r="G2574" s="1" t="str">
        <f>"عدد"</f>
        <v>عدد</v>
      </c>
      <c r="H2574" s="1">
        <v>43</v>
      </c>
      <c r="I2574" s="1">
        <v>903914</v>
      </c>
      <c r="J2574" s="1">
        <v>0</v>
      </c>
      <c r="K2574" s="1">
        <v>0</v>
      </c>
      <c r="L2574" s="1">
        <v>0</v>
      </c>
      <c r="M2574" s="1">
        <v>0</v>
      </c>
      <c r="O2574" s="1">
        <v>97</v>
      </c>
      <c r="P2574" s="4">
        <f t="shared" si="120"/>
        <v>903914</v>
      </c>
      <c r="Q2574" s="4">
        <f t="shared" si="121"/>
        <v>43</v>
      </c>
      <c r="R2574" s="4">
        <f t="shared" si="122"/>
        <v>21021.255813953489</v>
      </c>
    </row>
    <row r="2575" spans="1:18">
      <c r="A2575" s="1">
        <v>2</v>
      </c>
      <c r="B2575" s="1" t="str">
        <f>"قطعات و لوازم يدكي"</f>
        <v>قطعات و لوازم يدكي</v>
      </c>
      <c r="C2575" s="1">
        <v>101</v>
      </c>
      <c r="D2575" s="1" t="str">
        <f>"انبار قطعات و لوازم يدكي اصفهان"</f>
        <v>انبار قطعات و لوازم يدكي اصفهان</v>
      </c>
      <c r="E2575" s="1" t="str">
        <f>"7605140722"</f>
        <v>7605140722</v>
      </c>
      <c r="F2575" s="1" t="str">
        <f>"بوشن 3/4*1/2-1"</f>
        <v>بوشن 3/4*1/2-1</v>
      </c>
      <c r="G2575" s="1" t="str">
        <f>"عدد"</f>
        <v>عدد</v>
      </c>
      <c r="H2575" s="1">
        <v>23</v>
      </c>
      <c r="I2575" s="1">
        <v>2203178</v>
      </c>
      <c r="J2575" s="1">
        <v>0</v>
      </c>
      <c r="K2575" s="1">
        <v>0</v>
      </c>
      <c r="L2575" s="1">
        <v>0</v>
      </c>
      <c r="M2575" s="1">
        <v>0</v>
      </c>
      <c r="O2575" s="1">
        <v>97</v>
      </c>
      <c r="P2575" s="4">
        <f t="shared" si="120"/>
        <v>2203178</v>
      </c>
      <c r="Q2575" s="4">
        <f t="shared" si="121"/>
        <v>23</v>
      </c>
      <c r="R2575" s="4">
        <f t="shared" si="122"/>
        <v>95790.34782608696</v>
      </c>
    </row>
    <row r="2576" spans="1:18">
      <c r="A2576" s="1">
        <v>2</v>
      </c>
      <c r="B2576" s="1" t="str">
        <f>"قطعات و لوازم يدكي"</f>
        <v>قطعات و لوازم يدكي</v>
      </c>
      <c r="C2576" s="1">
        <v>101</v>
      </c>
      <c r="D2576" s="1" t="str">
        <f>"انبار قطعات و لوازم يدكي اصفهان"</f>
        <v>انبار قطعات و لوازم يدكي اصفهان</v>
      </c>
      <c r="E2576" s="1" t="str">
        <f>"7605140862"</f>
        <v>7605140862</v>
      </c>
      <c r="F2576" s="1" t="str">
        <f>"BUSHING 2*3/4"</f>
        <v>BUSHING 2*3/4</v>
      </c>
      <c r="G2576" s="1" t="str">
        <f>"عدد"</f>
        <v>عدد</v>
      </c>
      <c r="H2576" s="1">
        <v>3</v>
      </c>
      <c r="I2576" s="1">
        <v>585000</v>
      </c>
      <c r="J2576" s="1">
        <v>0</v>
      </c>
      <c r="K2576" s="1">
        <v>0</v>
      </c>
      <c r="L2576" s="1">
        <v>0</v>
      </c>
      <c r="M2576" s="1">
        <v>0</v>
      </c>
      <c r="O2576" s="1">
        <v>97</v>
      </c>
      <c r="P2576" s="4">
        <f t="shared" si="120"/>
        <v>585000</v>
      </c>
      <c r="Q2576" s="4">
        <f t="shared" si="121"/>
        <v>3</v>
      </c>
      <c r="R2576" s="4">
        <f t="shared" si="122"/>
        <v>195000</v>
      </c>
    </row>
    <row r="2577" spans="1:18">
      <c r="A2577" s="1">
        <v>2</v>
      </c>
      <c r="B2577" s="1" t="str">
        <f>"قطعات و لوازم يدكي"</f>
        <v>قطعات و لوازم يدكي</v>
      </c>
      <c r="C2577" s="1">
        <v>101</v>
      </c>
      <c r="D2577" s="1" t="str">
        <f>"انبار قطعات و لوازم يدكي اصفهان"</f>
        <v>انبار قطعات و لوازم يدكي اصفهان</v>
      </c>
      <c r="E2577" s="1" t="str">
        <f>"7605280062"</f>
        <v>7605280062</v>
      </c>
      <c r="F2577" s="1" t="s">
        <v>150</v>
      </c>
      <c r="G2577" s="1" t="str">
        <f>"عدد"</f>
        <v>عدد</v>
      </c>
      <c r="H2577" s="1">
        <v>12</v>
      </c>
      <c r="I2577" s="1">
        <v>384000</v>
      </c>
      <c r="J2577" s="1">
        <v>0</v>
      </c>
      <c r="K2577" s="1">
        <v>0</v>
      </c>
      <c r="L2577" s="1">
        <v>0</v>
      </c>
      <c r="M2577" s="1">
        <v>0</v>
      </c>
      <c r="O2577" s="1">
        <v>97</v>
      </c>
      <c r="P2577" s="4">
        <f t="shared" si="120"/>
        <v>384000</v>
      </c>
      <c r="Q2577" s="4">
        <f t="shared" si="121"/>
        <v>12</v>
      </c>
      <c r="R2577" s="4">
        <f t="shared" si="122"/>
        <v>32000</v>
      </c>
    </row>
    <row r="2578" spans="1:18">
      <c r="A2578" s="1">
        <v>2</v>
      </c>
      <c r="B2578" s="1" t="str">
        <f>"قطعات و لوازم يدكي"</f>
        <v>قطعات و لوازم يدكي</v>
      </c>
      <c r="C2578" s="1">
        <v>101</v>
      </c>
      <c r="D2578" s="1" t="str">
        <f>"انبار قطعات و لوازم يدكي اصفهان"</f>
        <v>انبار قطعات و لوازم يدكي اصفهان</v>
      </c>
      <c r="E2578" s="1" t="str">
        <f>"7605281202"</f>
        <v>7605281202</v>
      </c>
      <c r="F2578" s="1" t="str">
        <f>"فول كوپلينگ دنده اي 2اينچ 3000"</f>
        <v>فول كوپلينگ دنده اي 2اينچ 3000</v>
      </c>
      <c r="G2578" s="1" t="str">
        <f>"عدد"</f>
        <v>عدد</v>
      </c>
      <c r="H2578" s="1">
        <v>1</v>
      </c>
      <c r="I2578" s="1">
        <v>65000</v>
      </c>
      <c r="J2578" s="1">
        <v>0</v>
      </c>
      <c r="K2578" s="1">
        <v>0</v>
      </c>
      <c r="L2578" s="1">
        <v>0</v>
      </c>
      <c r="M2578" s="1">
        <v>0</v>
      </c>
      <c r="O2578" s="1">
        <v>97</v>
      </c>
      <c r="P2578" s="4">
        <f t="shared" si="120"/>
        <v>65000</v>
      </c>
      <c r="Q2578" s="4">
        <f t="shared" si="121"/>
        <v>1</v>
      </c>
      <c r="R2578" s="4">
        <f t="shared" si="122"/>
        <v>65000</v>
      </c>
    </row>
    <row r="2579" spans="1:18">
      <c r="A2579" s="1">
        <v>2</v>
      </c>
      <c r="B2579" s="1" t="str">
        <f>"قطعات و لوازم يدكي"</f>
        <v>قطعات و لوازم يدكي</v>
      </c>
      <c r="C2579" s="1">
        <v>101</v>
      </c>
      <c r="D2579" s="1" t="str">
        <f>"انبار قطعات و لوازم يدكي اصفهان"</f>
        <v>انبار قطعات و لوازم يدكي اصفهان</v>
      </c>
      <c r="E2579" s="1" t="str">
        <f>"7605381162"</f>
        <v>7605381162</v>
      </c>
      <c r="F2579" s="1" t="str">
        <f>"زانوي 45درجه دنده اي 1اينچ 3000"</f>
        <v>زانوي 45درجه دنده اي 1اينچ 3000</v>
      </c>
      <c r="G2579" s="1" t="str">
        <f>"عدد"</f>
        <v>عدد</v>
      </c>
      <c r="H2579" s="1">
        <v>10</v>
      </c>
      <c r="I2579" s="1">
        <v>1108507</v>
      </c>
      <c r="J2579" s="1">
        <v>0</v>
      </c>
      <c r="K2579" s="1">
        <v>0</v>
      </c>
      <c r="L2579" s="1">
        <v>0</v>
      </c>
      <c r="M2579" s="1">
        <v>0</v>
      </c>
      <c r="O2579" s="1">
        <v>97</v>
      </c>
      <c r="P2579" s="4">
        <f t="shared" si="120"/>
        <v>1108507</v>
      </c>
      <c r="Q2579" s="4">
        <f t="shared" si="121"/>
        <v>10</v>
      </c>
      <c r="R2579" s="4">
        <f t="shared" si="122"/>
        <v>110850.7</v>
      </c>
    </row>
    <row r="2580" spans="1:18">
      <c r="A2580" s="1">
        <v>2</v>
      </c>
      <c r="B2580" s="1" t="str">
        <f>"قطعات و لوازم يدكي"</f>
        <v>قطعات و لوازم يدكي</v>
      </c>
      <c r="C2580" s="1">
        <v>101</v>
      </c>
      <c r="D2580" s="1" t="str">
        <f>"انبار قطعات و لوازم يدكي اصفهان"</f>
        <v>انبار قطعات و لوازم يدكي اصفهان</v>
      </c>
      <c r="E2580" s="1" t="str">
        <f>"7605564482"</f>
        <v>7605564482</v>
      </c>
      <c r="F2580" s="1" t="str">
        <f>"نيپل بارل دنده اي 100* 1 رده80"</f>
        <v>نيپل بارل دنده اي 100* 1 رده80</v>
      </c>
      <c r="G2580" s="1" t="str">
        <f>"عدد"</f>
        <v>عدد</v>
      </c>
      <c r="H2580" s="1">
        <v>15</v>
      </c>
      <c r="I2580" s="1">
        <v>1200000</v>
      </c>
      <c r="J2580" s="1">
        <v>21</v>
      </c>
      <c r="K2580" s="1">
        <v>4765714</v>
      </c>
      <c r="L2580" s="1">
        <v>20</v>
      </c>
      <c r="M2580" s="1">
        <v>3314286</v>
      </c>
      <c r="O2580" s="1">
        <v>97</v>
      </c>
      <c r="P2580" s="4">
        <f t="shared" si="120"/>
        <v>2651428</v>
      </c>
      <c r="Q2580" s="4">
        <f t="shared" si="121"/>
        <v>16</v>
      </c>
      <c r="R2580" s="4">
        <f t="shared" si="122"/>
        <v>165714.25</v>
      </c>
    </row>
    <row r="2581" spans="1:18">
      <c r="A2581" s="1">
        <v>2</v>
      </c>
      <c r="B2581" s="1" t="str">
        <f>"قطعات و لوازم يدكي"</f>
        <v>قطعات و لوازم يدكي</v>
      </c>
      <c r="C2581" s="1">
        <v>101</v>
      </c>
      <c r="D2581" s="1" t="str">
        <f>"انبار قطعات و لوازم يدكي اصفهان"</f>
        <v>انبار قطعات و لوازم يدكي اصفهان</v>
      </c>
      <c r="E2581" s="1" t="str">
        <f>"7605567042"</f>
        <v>7605567042</v>
      </c>
      <c r="F2581" s="1" t="s">
        <v>151</v>
      </c>
      <c r="G2581" s="1" t="str">
        <f>"عدد"</f>
        <v>عدد</v>
      </c>
      <c r="H2581" s="1">
        <v>16</v>
      </c>
      <c r="I2581" s="1">
        <v>874667</v>
      </c>
      <c r="J2581" s="1">
        <v>0</v>
      </c>
      <c r="K2581" s="1">
        <v>0</v>
      </c>
      <c r="L2581" s="1">
        <v>0</v>
      </c>
      <c r="M2581" s="1">
        <v>0</v>
      </c>
      <c r="O2581" s="1">
        <v>97</v>
      </c>
      <c r="P2581" s="4">
        <f t="shared" si="120"/>
        <v>874667</v>
      </c>
      <c r="Q2581" s="4">
        <f t="shared" si="121"/>
        <v>16</v>
      </c>
      <c r="R2581" s="4">
        <f t="shared" si="122"/>
        <v>54666.6875</v>
      </c>
    </row>
    <row r="2582" spans="1:18">
      <c r="A2582" s="1">
        <v>2</v>
      </c>
      <c r="B2582" s="1" t="str">
        <f>"قطعات و لوازم يدكي"</f>
        <v>قطعات و لوازم يدكي</v>
      </c>
      <c r="C2582" s="1">
        <v>101</v>
      </c>
      <c r="D2582" s="1" t="str">
        <f>"انبار قطعات و لوازم يدكي اصفهان"</f>
        <v>انبار قطعات و لوازم يدكي اصفهان</v>
      </c>
      <c r="E2582" s="1" t="str">
        <f>"7605581222"</f>
        <v>7605581222</v>
      </c>
      <c r="F2582" s="1" t="str">
        <f>"رديوس نيپل تردي 3/4*1/2"</f>
        <v>رديوس نيپل تردي 3/4*1/2</v>
      </c>
      <c r="G2582" s="1" t="str">
        <f>"عدد"</f>
        <v>عدد</v>
      </c>
      <c r="H2582" s="1">
        <v>12</v>
      </c>
      <c r="I2582" s="1">
        <v>880458</v>
      </c>
      <c r="J2582" s="1">
        <v>50</v>
      </c>
      <c r="K2582" s="1">
        <v>10000000</v>
      </c>
      <c r="L2582" s="1">
        <v>6</v>
      </c>
      <c r="M2582" s="1">
        <v>959197</v>
      </c>
      <c r="O2582" s="1">
        <v>97</v>
      </c>
      <c r="P2582" s="4">
        <f t="shared" si="120"/>
        <v>9921261</v>
      </c>
      <c r="Q2582" s="4">
        <f t="shared" si="121"/>
        <v>56</v>
      </c>
      <c r="R2582" s="4">
        <f t="shared" si="122"/>
        <v>177165.375</v>
      </c>
    </row>
    <row r="2583" spans="1:18">
      <c r="A2583" s="1">
        <v>2</v>
      </c>
      <c r="B2583" s="1" t="str">
        <f>"قطعات و لوازم يدكي"</f>
        <v>قطعات و لوازم يدكي</v>
      </c>
      <c r="C2583" s="1">
        <v>101</v>
      </c>
      <c r="D2583" s="1" t="str">
        <f>"انبار قطعات و لوازم يدكي اصفهان"</f>
        <v>انبار قطعات و لوازم يدكي اصفهان</v>
      </c>
      <c r="E2583" s="1" t="str">
        <f>"7605586082"</f>
        <v>7605586082</v>
      </c>
      <c r="F2583" s="1" t="str">
        <f>"سو ئيچ نيپل 1/2-1*3/4"</f>
        <v>سو ئيچ نيپل 1/2-1*3/4</v>
      </c>
      <c r="G2583" s="1" t="str">
        <f>"عدد"</f>
        <v>عدد</v>
      </c>
      <c r="H2583" s="1">
        <v>2</v>
      </c>
      <c r="I2583" s="1">
        <v>290500</v>
      </c>
      <c r="J2583" s="1">
        <v>0</v>
      </c>
      <c r="K2583" s="1">
        <v>0</v>
      </c>
      <c r="L2583" s="1">
        <v>0</v>
      </c>
      <c r="M2583" s="1">
        <v>0</v>
      </c>
      <c r="O2583" s="1">
        <v>97</v>
      </c>
      <c r="P2583" s="4">
        <f t="shared" si="120"/>
        <v>290500</v>
      </c>
      <c r="Q2583" s="4">
        <f t="shared" si="121"/>
        <v>2</v>
      </c>
      <c r="R2583" s="4">
        <f t="shared" si="122"/>
        <v>145250</v>
      </c>
    </row>
    <row r="2584" spans="1:18">
      <c r="A2584" s="1">
        <v>2</v>
      </c>
      <c r="B2584" s="1" t="str">
        <f>"قطعات و لوازم يدكي"</f>
        <v>قطعات و لوازم يدكي</v>
      </c>
      <c r="C2584" s="1">
        <v>101</v>
      </c>
      <c r="D2584" s="1" t="str">
        <f>"انبار قطعات و لوازم يدكي اصفهان"</f>
        <v>انبار قطعات و لوازم يدكي اصفهان</v>
      </c>
      <c r="E2584" s="1" t="str">
        <f>"7605705902"</f>
        <v>7605705902</v>
      </c>
      <c r="F2584" s="1" t="str">
        <f>"رديوسركوپلينگ دنده اي 1*2"</f>
        <v>رديوسركوپلينگ دنده اي 1*2</v>
      </c>
      <c r="G2584" s="1" t="str">
        <f>"عدد"</f>
        <v>عدد</v>
      </c>
      <c r="H2584" s="1">
        <v>4</v>
      </c>
      <c r="I2584" s="1">
        <v>196690</v>
      </c>
      <c r="J2584" s="1">
        <v>0</v>
      </c>
      <c r="K2584" s="1">
        <v>0</v>
      </c>
      <c r="L2584" s="1">
        <v>0</v>
      </c>
      <c r="M2584" s="1">
        <v>0</v>
      </c>
      <c r="O2584" s="1">
        <v>97</v>
      </c>
      <c r="P2584" s="4">
        <f t="shared" si="120"/>
        <v>196690</v>
      </c>
      <c r="Q2584" s="4">
        <f t="shared" si="121"/>
        <v>4</v>
      </c>
      <c r="R2584" s="4">
        <f t="shared" si="122"/>
        <v>49172.5</v>
      </c>
    </row>
    <row r="2585" spans="1:18">
      <c r="A2585" s="1">
        <v>2</v>
      </c>
      <c r="B2585" s="1" t="str">
        <f>"قطعات و لوازم يدكي"</f>
        <v>قطعات و لوازم يدكي</v>
      </c>
      <c r="C2585" s="1">
        <v>101</v>
      </c>
      <c r="D2585" s="1" t="str">
        <f>"انبار قطعات و لوازم يدكي اصفهان"</f>
        <v>انبار قطعات و لوازم يدكي اصفهان</v>
      </c>
      <c r="E2585" s="1" t="str">
        <f>"7606280122"</f>
        <v>7606280122</v>
      </c>
      <c r="F2585" s="1" t="str">
        <f>"کاپلينگ 3/4 دنده اي گالوانيزه"</f>
        <v>کاپلينگ 3/4 دنده اي گالوانيزه</v>
      </c>
      <c r="G2585" s="1" t="str">
        <f>"عدد"</f>
        <v>عدد</v>
      </c>
      <c r="H2585" s="1">
        <v>1</v>
      </c>
      <c r="I2585" s="1">
        <v>10080</v>
      </c>
      <c r="J2585" s="1">
        <v>20</v>
      </c>
      <c r="K2585" s="1">
        <v>800000</v>
      </c>
      <c r="L2585" s="1">
        <v>0</v>
      </c>
      <c r="M2585" s="1">
        <v>0</v>
      </c>
      <c r="O2585" s="1">
        <v>97</v>
      </c>
      <c r="P2585" s="4">
        <f t="shared" si="120"/>
        <v>810080</v>
      </c>
      <c r="Q2585" s="4">
        <f t="shared" si="121"/>
        <v>21</v>
      </c>
      <c r="R2585" s="4">
        <f t="shared" si="122"/>
        <v>38575.238095238092</v>
      </c>
    </row>
    <row r="2586" spans="1:18">
      <c r="A2586" s="1">
        <v>2</v>
      </c>
      <c r="B2586" s="1" t="str">
        <f>"قطعات و لوازم يدكي"</f>
        <v>قطعات و لوازم يدكي</v>
      </c>
      <c r="C2586" s="1">
        <v>101</v>
      </c>
      <c r="D2586" s="1" t="str">
        <f>"انبار قطعات و لوازم يدكي اصفهان"</f>
        <v>انبار قطعات و لوازم يدكي اصفهان</v>
      </c>
      <c r="E2586" s="1" t="str">
        <f>"7606561082"</f>
        <v>7606561082</v>
      </c>
      <c r="F2586" s="1" t="str">
        <f>"نيپل کوتاه 2*3/4 دنده اي گالوانيزه"</f>
        <v>نيپل کوتاه 2*3/4 دنده اي گالوانيزه</v>
      </c>
      <c r="G2586" s="1" t="str">
        <f>"عدد"</f>
        <v>عدد</v>
      </c>
      <c r="H2586" s="1">
        <v>30</v>
      </c>
      <c r="I2586" s="1">
        <v>200775</v>
      </c>
      <c r="J2586" s="1">
        <v>0</v>
      </c>
      <c r="K2586" s="1">
        <v>0</v>
      </c>
      <c r="L2586" s="1">
        <v>15</v>
      </c>
      <c r="M2586" s="1">
        <v>100388</v>
      </c>
      <c r="O2586" s="1">
        <v>97</v>
      </c>
      <c r="P2586" s="4">
        <f t="shared" si="120"/>
        <v>100387</v>
      </c>
      <c r="Q2586" s="4">
        <f t="shared" si="121"/>
        <v>15</v>
      </c>
      <c r="R2586" s="4">
        <f t="shared" si="122"/>
        <v>6692.4666666666662</v>
      </c>
    </row>
    <row r="2587" spans="1:18">
      <c r="A2587" s="1">
        <v>2</v>
      </c>
      <c r="B2587" s="1" t="str">
        <f>"قطعات و لوازم يدكي"</f>
        <v>قطعات و لوازم يدكي</v>
      </c>
      <c r="C2587" s="1">
        <v>101</v>
      </c>
      <c r="D2587" s="1" t="str">
        <f>"انبار قطعات و لوازم يدكي اصفهان"</f>
        <v>انبار قطعات و لوازم يدكي اصفهان</v>
      </c>
      <c r="E2587" s="1" t="str">
        <f>"7606561282"</f>
        <v>7606561282</v>
      </c>
      <c r="F2587" s="1" t="str">
        <f>"نيپل کوتاه 2*1 دنده اي گالوانيزه"</f>
        <v>نيپل کوتاه 2*1 دنده اي گالوانيزه</v>
      </c>
      <c r="G2587" s="1" t="str">
        <f>"عدد"</f>
        <v>عدد</v>
      </c>
      <c r="H2587" s="1">
        <v>4</v>
      </c>
      <c r="I2587" s="1">
        <v>48892</v>
      </c>
      <c r="J2587" s="1">
        <v>1</v>
      </c>
      <c r="K2587" s="1">
        <v>12223</v>
      </c>
      <c r="L2587" s="1">
        <v>2</v>
      </c>
      <c r="M2587" s="1">
        <v>24446</v>
      </c>
      <c r="O2587" s="1">
        <v>97</v>
      </c>
      <c r="P2587" s="4">
        <f t="shared" si="120"/>
        <v>36669</v>
      </c>
      <c r="Q2587" s="4">
        <f t="shared" si="121"/>
        <v>3</v>
      </c>
      <c r="R2587" s="4">
        <f t="shared" si="122"/>
        <v>12223</v>
      </c>
    </row>
    <row r="2588" spans="1:18">
      <c r="A2588" s="1">
        <v>2</v>
      </c>
      <c r="B2588" s="1" t="str">
        <f>"قطعات و لوازم يدكي"</f>
        <v>قطعات و لوازم يدكي</v>
      </c>
      <c r="C2588" s="1">
        <v>101</v>
      </c>
      <c r="D2588" s="1" t="str">
        <f>"انبار قطعات و لوازم يدكي اصفهان"</f>
        <v>انبار قطعات و لوازم يدكي اصفهان</v>
      </c>
      <c r="E2588" s="1" t="str">
        <f>"7608841622"</f>
        <v>7608841622</v>
      </c>
      <c r="F2588" s="1" t="s">
        <v>152</v>
      </c>
      <c r="G2588" s="1" t="str">
        <f>"عدد"</f>
        <v>عدد</v>
      </c>
      <c r="H2588" s="1">
        <v>3</v>
      </c>
      <c r="I2588" s="1">
        <v>1721</v>
      </c>
      <c r="J2588" s="1">
        <v>0</v>
      </c>
      <c r="K2588" s="1">
        <v>0</v>
      </c>
      <c r="L2588" s="1">
        <v>0</v>
      </c>
      <c r="M2588" s="1">
        <v>0</v>
      </c>
      <c r="O2588" s="1">
        <v>97</v>
      </c>
      <c r="P2588" s="4">
        <f t="shared" si="120"/>
        <v>1721</v>
      </c>
      <c r="Q2588" s="4">
        <f t="shared" si="121"/>
        <v>3</v>
      </c>
      <c r="R2588" s="4">
        <f t="shared" si="122"/>
        <v>573.66666666666663</v>
      </c>
    </row>
    <row r="2589" spans="1:18">
      <c r="A2589" s="1">
        <v>2</v>
      </c>
      <c r="B2589" s="1" t="str">
        <f>"قطعات و لوازم يدكي"</f>
        <v>قطعات و لوازم يدكي</v>
      </c>
      <c r="C2589" s="1">
        <v>101</v>
      </c>
      <c r="D2589" s="1" t="str">
        <f>"انبار قطعات و لوازم يدكي اصفهان"</f>
        <v>انبار قطعات و لوازم يدكي اصفهان</v>
      </c>
      <c r="E2589" s="1" t="str">
        <f>"7630407272"</f>
        <v>7630407272</v>
      </c>
      <c r="F2589" s="1" t="str">
        <f>"زانو 90 درجه جوشي 2 اينچ اس 80"</f>
        <v>زانو 90 درجه جوشي 2 اينچ اس 80</v>
      </c>
      <c r="G2589" s="1" t="str">
        <f>"عدد"</f>
        <v>عدد</v>
      </c>
      <c r="H2589" s="1">
        <v>24</v>
      </c>
      <c r="I2589" s="1">
        <v>1151262</v>
      </c>
      <c r="J2589" s="1">
        <v>0</v>
      </c>
      <c r="K2589" s="1">
        <v>0</v>
      </c>
      <c r="L2589" s="1">
        <v>6</v>
      </c>
      <c r="M2589" s="1">
        <v>287815</v>
      </c>
      <c r="O2589" s="1">
        <v>97</v>
      </c>
      <c r="P2589" s="4">
        <f t="shared" si="120"/>
        <v>863447</v>
      </c>
      <c r="Q2589" s="4">
        <f t="shared" si="121"/>
        <v>18</v>
      </c>
      <c r="R2589" s="4">
        <f t="shared" si="122"/>
        <v>47969.277777777781</v>
      </c>
    </row>
    <row r="2590" spans="1:18">
      <c r="A2590" s="1">
        <v>2</v>
      </c>
      <c r="B2590" s="1" t="str">
        <f>"قطعات و لوازم يدكي"</f>
        <v>قطعات و لوازم يدكي</v>
      </c>
      <c r="C2590" s="1">
        <v>101</v>
      </c>
      <c r="D2590" s="1" t="str">
        <f>"انبار قطعات و لوازم يدكي اصفهان"</f>
        <v>انبار قطعات و لوازم يدكي اصفهان</v>
      </c>
      <c r="E2590" s="1" t="str">
        <f>"7630407352"</f>
        <v>7630407352</v>
      </c>
      <c r="F2590" s="1" t="str">
        <f>"زانو 90 درجه 3 اينچ جوشي رده 40"</f>
        <v>زانو 90 درجه 3 اينچ جوشي رده 40</v>
      </c>
      <c r="G2590" s="1" t="str">
        <f>"عدد"</f>
        <v>عدد</v>
      </c>
      <c r="H2590" s="1">
        <v>11</v>
      </c>
      <c r="I2590" s="1">
        <v>1904100</v>
      </c>
      <c r="J2590" s="1">
        <v>1</v>
      </c>
      <c r="K2590" s="1">
        <v>173100</v>
      </c>
      <c r="L2590" s="1">
        <v>1</v>
      </c>
      <c r="M2590" s="1">
        <v>173100</v>
      </c>
      <c r="O2590" s="1">
        <v>97</v>
      </c>
      <c r="P2590" s="4">
        <f t="shared" si="120"/>
        <v>1904100</v>
      </c>
      <c r="Q2590" s="4">
        <f t="shared" si="121"/>
        <v>11</v>
      </c>
      <c r="R2590" s="4">
        <f t="shared" si="122"/>
        <v>173100</v>
      </c>
    </row>
    <row r="2591" spans="1:18">
      <c r="A2591" s="1">
        <v>2</v>
      </c>
      <c r="B2591" s="1" t="str">
        <f>"قطعات و لوازم يدكي"</f>
        <v>قطعات و لوازم يدكي</v>
      </c>
      <c r="C2591" s="1">
        <v>101</v>
      </c>
      <c r="D2591" s="1" t="str">
        <f>"انبار قطعات و لوازم يدكي اصفهان"</f>
        <v>انبار قطعات و لوازم يدكي اصفهان</v>
      </c>
      <c r="E2591" s="1" t="str">
        <f>"7630407452"</f>
        <v>7630407452</v>
      </c>
      <c r="F2591" s="1" t="str">
        <f>"زانو 90 درجه جوشي 4 اينچ اس 40"</f>
        <v>زانو 90 درجه جوشي 4 اينچ اس 40</v>
      </c>
      <c r="G2591" s="1" t="str">
        <f>"عدد"</f>
        <v>عدد</v>
      </c>
      <c r="H2591" s="1">
        <v>4</v>
      </c>
      <c r="I2591" s="1">
        <v>1017778</v>
      </c>
      <c r="J2591" s="1">
        <v>6</v>
      </c>
      <c r="K2591" s="1">
        <v>2340000</v>
      </c>
      <c r="L2591" s="1">
        <v>1</v>
      </c>
      <c r="M2591" s="1">
        <v>335778</v>
      </c>
      <c r="O2591" s="1">
        <v>97</v>
      </c>
      <c r="P2591" s="4">
        <f t="shared" si="120"/>
        <v>3022000</v>
      </c>
      <c r="Q2591" s="4">
        <f t="shared" si="121"/>
        <v>9</v>
      </c>
      <c r="R2591" s="4">
        <f t="shared" si="122"/>
        <v>335777.77777777775</v>
      </c>
    </row>
    <row r="2592" spans="1:18">
      <c r="A2592" s="1">
        <v>2</v>
      </c>
      <c r="B2592" s="1" t="str">
        <f>"قطعات و لوازم يدكي"</f>
        <v>قطعات و لوازم يدكي</v>
      </c>
      <c r="C2592" s="1">
        <v>101</v>
      </c>
      <c r="D2592" s="1" t="str">
        <f>"انبار قطعات و لوازم يدكي اصفهان"</f>
        <v>انبار قطعات و لوازم يدكي اصفهان</v>
      </c>
      <c r="E2592" s="1" t="str">
        <f>"7630407472"</f>
        <v>7630407472</v>
      </c>
      <c r="F2592" s="1" t="str">
        <f>"زانو 90درجه جوشي 4 اينچ اس 80"</f>
        <v>زانو 90درجه جوشي 4 اينچ اس 80</v>
      </c>
      <c r="G2592" s="1" t="str">
        <f>"عدد"</f>
        <v>عدد</v>
      </c>
      <c r="H2592" s="1">
        <v>7</v>
      </c>
      <c r="I2592" s="1">
        <v>1346000</v>
      </c>
      <c r="J2592" s="1">
        <v>0</v>
      </c>
      <c r="K2592" s="1">
        <v>0</v>
      </c>
      <c r="L2592" s="1">
        <v>0</v>
      </c>
      <c r="M2592" s="1">
        <v>0</v>
      </c>
      <c r="O2592" s="1">
        <v>97</v>
      </c>
      <c r="P2592" s="4">
        <f t="shared" si="120"/>
        <v>1346000</v>
      </c>
      <c r="Q2592" s="4">
        <f t="shared" si="121"/>
        <v>7</v>
      </c>
      <c r="R2592" s="4">
        <f t="shared" si="122"/>
        <v>192285.71428571429</v>
      </c>
    </row>
    <row r="2593" spans="1:18">
      <c r="A2593" s="1">
        <v>2</v>
      </c>
      <c r="B2593" s="1" t="str">
        <f>"قطعات و لوازم يدكي"</f>
        <v>قطعات و لوازم يدكي</v>
      </c>
      <c r="C2593" s="1">
        <v>101</v>
      </c>
      <c r="D2593" s="1" t="str">
        <f>"انبار قطعات و لوازم يدكي اصفهان"</f>
        <v>انبار قطعات و لوازم يدكي اصفهان</v>
      </c>
      <c r="E2593" s="1" t="str">
        <f>"7630408832"</f>
        <v>7630408832</v>
      </c>
      <c r="F2593" s="1" t="s">
        <v>153</v>
      </c>
      <c r="G2593" s="1" t="str">
        <f>"عدد"</f>
        <v>عدد</v>
      </c>
      <c r="H2593" s="1">
        <v>1</v>
      </c>
      <c r="I2593" s="1">
        <v>4850000</v>
      </c>
      <c r="J2593" s="1">
        <v>0</v>
      </c>
      <c r="K2593" s="1">
        <v>0</v>
      </c>
      <c r="L2593" s="1">
        <v>0</v>
      </c>
      <c r="M2593" s="1">
        <v>0</v>
      </c>
      <c r="O2593" s="1">
        <v>97</v>
      </c>
      <c r="P2593" s="4">
        <f t="shared" si="120"/>
        <v>4850000</v>
      </c>
      <c r="Q2593" s="4">
        <f t="shared" si="121"/>
        <v>1</v>
      </c>
      <c r="R2593" s="4">
        <f t="shared" si="122"/>
        <v>4850000</v>
      </c>
    </row>
    <row r="2594" spans="1:18">
      <c r="A2594" s="1">
        <v>2</v>
      </c>
      <c r="B2594" s="1" t="str">
        <f>"قطعات و لوازم يدكي"</f>
        <v>قطعات و لوازم يدكي</v>
      </c>
      <c r="C2594" s="1">
        <v>101</v>
      </c>
      <c r="D2594" s="1" t="str">
        <f>"انبار قطعات و لوازم يدكي اصفهان"</f>
        <v>انبار قطعات و لوازم يدكي اصفهان</v>
      </c>
      <c r="E2594" s="1" t="str">
        <f>"7630581222"</f>
        <v>7630581222</v>
      </c>
      <c r="F2594" s="1" t="s">
        <v>154</v>
      </c>
      <c r="G2594" s="1" t="str">
        <f>"عدد"</f>
        <v>عدد</v>
      </c>
      <c r="H2594" s="1">
        <v>43</v>
      </c>
      <c r="I2594" s="1">
        <v>1953813</v>
      </c>
      <c r="J2594" s="1">
        <v>0</v>
      </c>
      <c r="K2594" s="1">
        <v>0</v>
      </c>
      <c r="L2594" s="1">
        <v>2</v>
      </c>
      <c r="M2594" s="1">
        <v>90875</v>
      </c>
      <c r="O2594" s="1">
        <v>97</v>
      </c>
      <c r="P2594" s="4">
        <f t="shared" si="120"/>
        <v>1862938</v>
      </c>
      <c r="Q2594" s="4">
        <f t="shared" si="121"/>
        <v>41</v>
      </c>
      <c r="R2594" s="4">
        <f t="shared" si="122"/>
        <v>45437.512195121948</v>
      </c>
    </row>
    <row r="2595" spans="1:18" hidden="1">
      <c r="A2595" s="1">
        <v>2</v>
      </c>
      <c r="B2595" s="1" t="str">
        <f>"قطعات و لوازم يدكي"</f>
        <v>قطعات و لوازم يدكي</v>
      </c>
      <c r="C2595" s="1">
        <v>101</v>
      </c>
      <c r="D2595" s="1" t="str">
        <f>"انبار قطعات و لوازم يدكي اصفهان"</f>
        <v>انبار قطعات و لوازم يدكي اصفهان</v>
      </c>
      <c r="E2595" s="1" t="str">
        <f>"7630721982"</f>
        <v>7630721982</v>
      </c>
      <c r="F2595" s="1" t="str">
        <f>"REDDCER 2*3/4 SH40"</f>
        <v>REDDCER 2*3/4 SH40</v>
      </c>
      <c r="G2595" s="1" t="str">
        <f>"عدد"</f>
        <v>عدد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O2595" s="1">
        <v>97</v>
      </c>
      <c r="P2595" s="1">
        <f t="shared" si="120"/>
        <v>0</v>
      </c>
      <c r="Q2595" s="1">
        <f t="shared" si="121"/>
        <v>0</v>
      </c>
      <c r="R2595" s="1" t="e">
        <f t="shared" si="122"/>
        <v>#DIV/0!</v>
      </c>
    </row>
    <row r="2596" spans="1:18">
      <c r="A2596" s="1">
        <v>2</v>
      </c>
      <c r="B2596" s="1" t="str">
        <f>"قطعات و لوازم يدكي"</f>
        <v>قطعات و لوازم يدكي</v>
      </c>
      <c r="C2596" s="1">
        <v>101</v>
      </c>
      <c r="D2596" s="1" t="str">
        <f>"انبار قطعات و لوازم يدكي اصفهان"</f>
        <v>انبار قطعات و لوازم يدكي اصفهان</v>
      </c>
      <c r="E2596" s="1" t="str">
        <f>"7630722022"</f>
        <v>7630722022</v>
      </c>
      <c r="F2596" s="1" t="s">
        <v>155</v>
      </c>
      <c r="G2596" s="1" t="str">
        <f>"عدد"</f>
        <v>عدد</v>
      </c>
      <c r="H2596" s="1">
        <v>14</v>
      </c>
      <c r="I2596" s="1">
        <v>3030000</v>
      </c>
      <c r="J2596" s="1">
        <v>0</v>
      </c>
      <c r="K2596" s="1">
        <v>0</v>
      </c>
      <c r="L2596" s="1">
        <v>3</v>
      </c>
      <c r="M2596" s="1">
        <v>649286</v>
      </c>
      <c r="O2596" s="1">
        <v>97</v>
      </c>
      <c r="P2596" s="4">
        <f t="shared" si="120"/>
        <v>2380714</v>
      </c>
      <c r="Q2596" s="4">
        <f t="shared" si="121"/>
        <v>11</v>
      </c>
      <c r="R2596" s="4">
        <f t="shared" si="122"/>
        <v>216428.54545454544</v>
      </c>
    </row>
    <row r="2597" spans="1:18">
      <c r="A2597" s="1">
        <v>2</v>
      </c>
      <c r="B2597" s="1" t="str">
        <f>"قطعات و لوازم يدكي"</f>
        <v>قطعات و لوازم يدكي</v>
      </c>
      <c r="C2597" s="1">
        <v>101</v>
      </c>
      <c r="D2597" s="1" t="str">
        <f>"انبار قطعات و لوازم يدكي اصفهان"</f>
        <v>انبار قطعات و لوازم يدكي اصفهان</v>
      </c>
      <c r="E2597" s="1" t="str">
        <f>"7634282162"</f>
        <v>7634282162</v>
      </c>
      <c r="F2597" s="1" t="str">
        <f>"فول كوپلينگ ساكت ولد 1 اينچ 3000"</f>
        <v>فول كوپلينگ ساكت ولد 1 اينچ 3000</v>
      </c>
      <c r="G2597" s="1" t="str">
        <f>"عدد"</f>
        <v>عدد</v>
      </c>
      <c r="H2597" s="1">
        <v>40</v>
      </c>
      <c r="I2597" s="1">
        <v>1683375</v>
      </c>
      <c r="J2597" s="1">
        <v>1</v>
      </c>
      <c r="K2597" s="1">
        <v>42084</v>
      </c>
      <c r="L2597" s="1">
        <v>9</v>
      </c>
      <c r="M2597" s="1">
        <v>378759</v>
      </c>
      <c r="O2597" s="1">
        <v>97</v>
      </c>
      <c r="P2597" s="4">
        <f t="shared" si="120"/>
        <v>1346700</v>
      </c>
      <c r="Q2597" s="4">
        <f t="shared" si="121"/>
        <v>32</v>
      </c>
      <c r="R2597" s="4">
        <f t="shared" si="122"/>
        <v>42084.375</v>
      </c>
    </row>
    <row r="2598" spans="1:18">
      <c r="A2598" s="1">
        <v>2</v>
      </c>
      <c r="B2598" s="1" t="str">
        <f>"قطعات و لوازم يدكي"</f>
        <v>قطعات و لوازم يدكي</v>
      </c>
      <c r="C2598" s="1">
        <v>101</v>
      </c>
      <c r="D2598" s="1" t="str">
        <f>"انبار قطعات و لوازم يدكي اصفهان"</f>
        <v>انبار قطعات و لوازم يدكي اصفهان</v>
      </c>
      <c r="E2598" s="1" t="str">
        <f>"7634285122"</f>
        <v>7634285122</v>
      </c>
      <c r="F2598" s="1" t="str">
        <f>"هالف كاپلينگ 3/4 اينچ جوشي 3000"</f>
        <v>هالف كاپلينگ 3/4 اينچ جوشي 3000</v>
      </c>
      <c r="G2598" s="1" t="str">
        <f>"عدد"</f>
        <v>عدد</v>
      </c>
      <c r="H2598" s="1">
        <v>7</v>
      </c>
      <c r="I2598" s="1">
        <v>309035</v>
      </c>
      <c r="J2598" s="1">
        <v>64</v>
      </c>
      <c r="K2598" s="1">
        <v>5992570</v>
      </c>
      <c r="L2598" s="1">
        <v>20</v>
      </c>
      <c r="M2598" s="1">
        <v>1775100</v>
      </c>
      <c r="O2598" s="1">
        <v>97</v>
      </c>
      <c r="P2598" s="4">
        <f t="shared" si="120"/>
        <v>4526505</v>
      </c>
      <c r="Q2598" s="4">
        <f t="shared" si="121"/>
        <v>51</v>
      </c>
      <c r="R2598" s="4">
        <f t="shared" si="122"/>
        <v>88755</v>
      </c>
    </row>
    <row r="2599" spans="1:18">
      <c r="A2599" s="1">
        <v>2</v>
      </c>
      <c r="B2599" s="1" t="str">
        <f>"قطعات و لوازم يدكي"</f>
        <v>قطعات و لوازم يدكي</v>
      </c>
      <c r="C2599" s="1">
        <v>101</v>
      </c>
      <c r="D2599" s="1" t="str">
        <f>"انبار قطعات و لوازم يدكي اصفهان"</f>
        <v>انبار قطعات و لوازم يدكي اصفهان</v>
      </c>
      <c r="E2599" s="1" t="str">
        <f>"7634392122"</f>
        <v>7634392122</v>
      </c>
      <c r="F2599" s="1" t="str">
        <f>"زانو 90 درجه ساكت ولد 3/4 اينچ 3000"</f>
        <v>زانو 90 درجه ساكت ولد 3/4 اينچ 3000</v>
      </c>
      <c r="G2599" s="1" t="str">
        <f>"عدد"</f>
        <v>عدد</v>
      </c>
      <c r="H2599" s="1">
        <v>71</v>
      </c>
      <c r="I2599" s="1">
        <v>6139607</v>
      </c>
      <c r="J2599" s="1">
        <v>137</v>
      </c>
      <c r="K2599" s="1">
        <v>23131644</v>
      </c>
      <c r="L2599" s="1">
        <v>132</v>
      </c>
      <c r="M2599" s="1">
        <v>18445077</v>
      </c>
      <c r="O2599" s="1">
        <v>97</v>
      </c>
      <c r="P2599" s="4">
        <f t="shared" si="120"/>
        <v>10826174</v>
      </c>
      <c r="Q2599" s="4">
        <f t="shared" si="121"/>
        <v>76</v>
      </c>
      <c r="R2599" s="4">
        <f t="shared" si="122"/>
        <v>142449.65789473685</v>
      </c>
    </row>
    <row r="2600" spans="1:18">
      <c r="A2600" s="1">
        <v>2</v>
      </c>
      <c r="B2600" s="1" t="str">
        <f>"قطعات و لوازم يدكي"</f>
        <v>قطعات و لوازم يدكي</v>
      </c>
      <c r="C2600" s="1">
        <v>101</v>
      </c>
      <c r="D2600" s="1" t="str">
        <f>"انبار قطعات و لوازم يدكي اصفهان"</f>
        <v>انبار قطعات و لوازم يدكي اصفهان</v>
      </c>
      <c r="E2600" s="1" t="str">
        <f>"7634851222"</f>
        <v>7634851222</v>
      </c>
      <c r="F2600" s="1" t="str">
        <f>"TEE 3/4 *1/2 S.W3000"</f>
        <v>TEE 3/4 *1/2 S.W3000</v>
      </c>
      <c r="G2600" s="1" t="str">
        <f>"عدد"</f>
        <v>عدد</v>
      </c>
      <c r="H2600" s="1">
        <v>10</v>
      </c>
      <c r="I2600" s="1">
        <v>1100000</v>
      </c>
      <c r="J2600" s="1">
        <v>0</v>
      </c>
      <c r="K2600" s="1">
        <v>0</v>
      </c>
      <c r="L2600" s="1">
        <v>1</v>
      </c>
      <c r="M2600" s="1">
        <v>110000</v>
      </c>
      <c r="O2600" s="1">
        <v>97</v>
      </c>
      <c r="P2600" s="4">
        <f t="shared" si="120"/>
        <v>990000</v>
      </c>
      <c r="Q2600" s="4">
        <f t="shared" si="121"/>
        <v>9</v>
      </c>
      <c r="R2600" s="4">
        <f t="shared" si="122"/>
        <v>110000</v>
      </c>
    </row>
    <row r="2601" spans="1:18">
      <c r="A2601" s="1">
        <v>2</v>
      </c>
      <c r="B2601" s="1" t="str">
        <f>"قطعات و لوازم يدكي"</f>
        <v>قطعات و لوازم يدكي</v>
      </c>
      <c r="C2601" s="1">
        <v>101</v>
      </c>
      <c r="D2601" s="1" t="str">
        <f>"انبار قطعات و لوازم يدكي اصفهان"</f>
        <v>انبار قطعات و لوازم يدكي اصفهان</v>
      </c>
      <c r="E2601" s="1" t="str">
        <f>"7640260072"</f>
        <v>7640260072</v>
      </c>
      <c r="F2601" s="1" t="str">
        <f>"STUD CONNECTOR 1/8*1/4M"</f>
        <v>STUD CONNECTOR 1/8*1/4M</v>
      </c>
      <c r="G2601" s="1" t="str">
        <f>"عدد"</f>
        <v>عدد</v>
      </c>
      <c r="H2601" s="1">
        <v>0</v>
      </c>
      <c r="I2601" s="1">
        <v>0</v>
      </c>
      <c r="J2601" s="1">
        <v>5</v>
      </c>
      <c r="K2601" s="1">
        <v>1980000</v>
      </c>
      <c r="L2601" s="1">
        <v>0</v>
      </c>
      <c r="M2601" s="1">
        <v>0</v>
      </c>
      <c r="O2601" s="1">
        <v>97</v>
      </c>
      <c r="P2601" s="4">
        <f t="shared" si="120"/>
        <v>1980000</v>
      </c>
      <c r="Q2601" s="4">
        <f t="shared" si="121"/>
        <v>5</v>
      </c>
      <c r="R2601" s="4">
        <f t="shared" si="122"/>
        <v>396000</v>
      </c>
    </row>
    <row r="2602" spans="1:18">
      <c r="A2602" s="1">
        <v>2</v>
      </c>
      <c r="B2602" s="1" t="str">
        <f>"قطعات و لوازم يدكي"</f>
        <v>قطعات و لوازم يدكي</v>
      </c>
      <c r="C2602" s="1">
        <v>101</v>
      </c>
      <c r="D2602" s="1" t="str">
        <f>"انبار قطعات و لوازم يدكي اصفهان"</f>
        <v>انبار قطعات و لوازم يدكي اصفهان</v>
      </c>
      <c r="E2602" s="1" t="str">
        <f>"7640260342"</f>
        <v>7640260342</v>
      </c>
      <c r="F2602" s="1" t="str">
        <f>"STUD CONNECTOR 3/4*1/2 M"</f>
        <v>STUD CONNECTOR 3/4*1/2 M</v>
      </c>
      <c r="G2602" s="1" t="str">
        <f>"عدد"</f>
        <v>عدد</v>
      </c>
      <c r="H2602" s="1">
        <v>28</v>
      </c>
      <c r="I2602" s="1">
        <v>5343547</v>
      </c>
      <c r="J2602" s="1">
        <v>0</v>
      </c>
      <c r="K2602" s="1">
        <v>0</v>
      </c>
      <c r="L2602" s="1">
        <v>0</v>
      </c>
      <c r="M2602" s="1">
        <v>0</v>
      </c>
      <c r="O2602" s="1">
        <v>97</v>
      </c>
      <c r="P2602" s="4">
        <f t="shared" si="120"/>
        <v>5343547</v>
      </c>
      <c r="Q2602" s="4">
        <f t="shared" si="121"/>
        <v>28</v>
      </c>
      <c r="R2602" s="4">
        <f t="shared" si="122"/>
        <v>190840.96428571429</v>
      </c>
    </row>
    <row r="2603" spans="1:18">
      <c r="A2603" s="1">
        <v>2</v>
      </c>
      <c r="B2603" s="1" t="str">
        <f>"قطعات و لوازم يدكي"</f>
        <v>قطعات و لوازم يدكي</v>
      </c>
      <c r="C2603" s="1">
        <v>101</v>
      </c>
      <c r="D2603" s="1" t="str">
        <f>"انبار قطعات و لوازم يدكي اصفهان"</f>
        <v>انبار قطعات و لوازم يدكي اصفهان</v>
      </c>
      <c r="E2603" s="1" t="str">
        <f>"7640260622"</f>
        <v>7640260622</v>
      </c>
      <c r="F2603" s="1" t="str">
        <f>"STUD CONNECTOR 1/4*3/8 FM"</f>
        <v>STUD CONNECTOR 1/4*3/8 FM</v>
      </c>
      <c r="G2603" s="1" t="str">
        <f>"عدد"</f>
        <v>عدد</v>
      </c>
      <c r="H2603" s="1">
        <v>19</v>
      </c>
      <c r="I2603" s="1">
        <v>4180000</v>
      </c>
      <c r="J2603" s="1">
        <v>0</v>
      </c>
      <c r="K2603" s="1">
        <v>0</v>
      </c>
      <c r="L2603" s="1">
        <v>0</v>
      </c>
      <c r="M2603" s="1">
        <v>0</v>
      </c>
      <c r="O2603" s="1">
        <v>97</v>
      </c>
      <c r="P2603" s="4">
        <f t="shared" si="120"/>
        <v>4180000</v>
      </c>
      <c r="Q2603" s="4">
        <f t="shared" si="121"/>
        <v>19</v>
      </c>
      <c r="R2603" s="4">
        <f t="shared" si="122"/>
        <v>220000</v>
      </c>
    </row>
    <row r="2604" spans="1:18">
      <c r="A2604" s="1">
        <v>2</v>
      </c>
      <c r="B2604" s="1" t="str">
        <f>"قطعات و لوازم يدكي"</f>
        <v>قطعات و لوازم يدكي</v>
      </c>
      <c r="C2604" s="1">
        <v>101</v>
      </c>
      <c r="D2604" s="1" t="str">
        <f>"انبار قطعات و لوازم يدكي اصفهان"</f>
        <v>انبار قطعات و لوازم يدكي اصفهان</v>
      </c>
      <c r="E2604" s="1" t="str">
        <f>"7640260722"</f>
        <v>7640260722</v>
      </c>
      <c r="F2604" s="1" t="str">
        <f>"STUD CONNECTOR 3/8*1/4 FM"</f>
        <v>STUD CONNECTOR 3/8*1/4 FM</v>
      </c>
      <c r="G2604" s="1" t="str">
        <f>"عدد"</f>
        <v>عدد</v>
      </c>
      <c r="H2604" s="1">
        <v>19</v>
      </c>
      <c r="I2604" s="1">
        <v>1900000</v>
      </c>
      <c r="J2604" s="1">
        <v>0</v>
      </c>
      <c r="K2604" s="1">
        <v>0</v>
      </c>
      <c r="L2604" s="1">
        <v>0</v>
      </c>
      <c r="M2604" s="1">
        <v>0</v>
      </c>
      <c r="O2604" s="1">
        <v>97</v>
      </c>
      <c r="P2604" s="4">
        <f t="shared" si="120"/>
        <v>1900000</v>
      </c>
      <c r="Q2604" s="4">
        <f t="shared" si="121"/>
        <v>19</v>
      </c>
      <c r="R2604" s="4">
        <f t="shared" si="122"/>
        <v>100000</v>
      </c>
    </row>
    <row r="2605" spans="1:18">
      <c r="A2605" s="1">
        <v>2</v>
      </c>
      <c r="B2605" s="1" t="str">
        <f>"قطعات و لوازم يدكي"</f>
        <v>قطعات و لوازم يدكي</v>
      </c>
      <c r="C2605" s="1">
        <v>101</v>
      </c>
      <c r="D2605" s="1" t="str">
        <f>"انبار قطعات و لوازم يدكي اصفهان"</f>
        <v>انبار قطعات و لوازم يدكي اصفهان</v>
      </c>
      <c r="E2605" s="1" t="str">
        <f>"7640260742"</f>
        <v>7640260742</v>
      </c>
      <c r="F2605" s="1" t="str">
        <f>"STUD CONNECTOR 3/8*3/8 FM"</f>
        <v>STUD CONNECTOR 3/8*3/8 FM</v>
      </c>
      <c r="G2605" s="1" t="str">
        <f>"عدد"</f>
        <v>عدد</v>
      </c>
      <c r="H2605" s="1">
        <v>15</v>
      </c>
      <c r="I2605" s="1">
        <v>1950000</v>
      </c>
      <c r="J2605" s="1">
        <v>1</v>
      </c>
      <c r="K2605" s="1">
        <v>130000</v>
      </c>
      <c r="L2605" s="1">
        <v>1</v>
      </c>
      <c r="M2605" s="1">
        <v>130000</v>
      </c>
      <c r="O2605" s="1">
        <v>97</v>
      </c>
      <c r="P2605" s="4">
        <f t="shared" si="120"/>
        <v>1950000</v>
      </c>
      <c r="Q2605" s="4">
        <f t="shared" si="121"/>
        <v>15</v>
      </c>
      <c r="R2605" s="4">
        <f t="shared" si="122"/>
        <v>130000</v>
      </c>
    </row>
    <row r="2606" spans="1:18">
      <c r="A2606" s="1">
        <v>2</v>
      </c>
      <c r="B2606" s="1" t="str">
        <f>"قطعات و لوازم يدكي"</f>
        <v>قطعات و لوازم يدكي</v>
      </c>
      <c r="C2606" s="1">
        <v>101</v>
      </c>
      <c r="D2606" s="1" t="str">
        <f>"انبار قطعات و لوازم يدكي اصفهان"</f>
        <v>انبار قطعات و لوازم يدكي اصفهان</v>
      </c>
      <c r="E2606" s="1" t="str">
        <f>"7640260862"</f>
        <v>7640260862</v>
      </c>
      <c r="F2606" s="1" t="str">
        <f>"STUD CONNECTOR 3/4*3/4 FM"</f>
        <v>STUD CONNECTOR 3/4*3/4 FM</v>
      </c>
      <c r="G2606" s="1" t="str">
        <f>"عدد"</f>
        <v>عدد</v>
      </c>
      <c r="H2606" s="1">
        <v>14</v>
      </c>
      <c r="I2606" s="1">
        <v>6595556</v>
      </c>
      <c r="J2606" s="1">
        <v>0</v>
      </c>
      <c r="K2606" s="1">
        <v>0</v>
      </c>
      <c r="L2606" s="1">
        <v>1</v>
      </c>
      <c r="M2606" s="1">
        <v>471111</v>
      </c>
      <c r="O2606" s="1">
        <v>97</v>
      </c>
      <c r="P2606" s="4">
        <f t="shared" si="120"/>
        <v>6124445</v>
      </c>
      <c r="Q2606" s="4">
        <f t="shared" si="121"/>
        <v>13</v>
      </c>
      <c r="R2606" s="4">
        <f t="shared" si="122"/>
        <v>471111.15384615387</v>
      </c>
    </row>
    <row r="2607" spans="1:18">
      <c r="A2607" s="1">
        <v>2</v>
      </c>
      <c r="B2607" s="1" t="str">
        <f>"قطعات و لوازم يدكي"</f>
        <v>قطعات و لوازم يدكي</v>
      </c>
      <c r="C2607" s="1">
        <v>101</v>
      </c>
      <c r="D2607" s="1" t="str">
        <f>"انبار قطعات و لوازم يدكي اصفهان"</f>
        <v>انبار قطعات و لوازم يدكي اصفهان</v>
      </c>
      <c r="E2607" s="1" t="str">
        <f>"7640390242"</f>
        <v>7640390242</v>
      </c>
      <c r="F2607" s="1" t="str">
        <f>"استد البو 3/8*3/8 (MAEL)."</f>
        <v>استد البو 3/8*3/8 (MAEL).</v>
      </c>
      <c r="G2607" s="1" t="str">
        <f>"عدد"</f>
        <v>عدد</v>
      </c>
      <c r="H2607" s="1">
        <v>4</v>
      </c>
      <c r="I2607" s="1">
        <v>1360000</v>
      </c>
      <c r="J2607" s="1">
        <v>10</v>
      </c>
      <c r="K2607" s="1">
        <v>7700000</v>
      </c>
      <c r="L2607" s="1">
        <v>4</v>
      </c>
      <c r="M2607" s="1">
        <v>2352308</v>
      </c>
      <c r="O2607" s="1">
        <v>97</v>
      </c>
      <c r="P2607" s="4">
        <f t="shared" si="120"/>
        <v>6707692</v>
      </c>
      <c r="Q2607" s="4">
        <f t="shared" si="121"/>
        <v>10</v>
      </c>
      <c r="R2607" s="4">
        <f t="shared" si="122"/>
        <v>670769.19999999995</v>
      </c>
    </row>
    <row r="2608" spans="1:18">
      <c r="A2608" s="1">
        <v>2</v>
      </c>
      <c r="B2608" s="1" t="str">
        <f>"قطعات و لوازم يدكي"</f>
        <v>قطعات و لوازم يدكي</v>
      </c>
      <c r="C2608" s="1">
        <v>120</v>
      </c>
      <c r="D2608" s="1" t="str">
        <f>"انبار قطعات و لوازم يدكي بشکه سازي اصفهان"</f>
        <v>انبار قطعات و لوازم يدكي بشکه سازي اصفهان</v>
      </c>
      <c r="E2608" s="1" t="str">
        <f>"4311700379"</f>
        <v>4311700379</v>
      </c>
      <c r="F2608" s="1" t="str">
        <f>"بوش فسفر"</f>
        <v>بوش فسفر</v>
      </c>
      <c r="G2608" s="1" t="str">
        <f>"عدد"</f>
        <v>عدد</v>
      </c>
      <c r="H2608" s="1">
        <v>0</v>
      </c>
      <c r="I2608" s="1">
        <v>0</v>
      </c>
      <c r="J2608" s="1">
        <v>6</v>
      </c>
      <c r="K2608" s="1">
        <v>10500000</v>
      </c>
      <c r="L2608" s="1">
        <v>2</v>
      </c>
      <c r="M2608" s="1">
        <v>3500000</v>
      </c>
      <c r="O2608" s="1">
        <v>97</v>
      </c>
      <c r="P2608" s="4">
        <f t="shared" si="120"/>
        <v>7000000</v>
      </c>
      <c r="Q2608" s="4">
        <f t="shared" si="121"/>
        <v>4</v>
      </c>
      <c r="R2608" s="4">
        <f t="shared" si="122"/>
        <v>1750000</v>
      </c>
    </row>
    <row r="2609" spans="1:18">
      <c r="A2609" s="1">
        <v>2</v>
      </c>
      <c r="B2609" s="1" t="str">
        <f>"قطعات و لوازم يدكي"</f>
        <v>قطعات و لوازم يدكي</v>
      </c>
      <c r="C2609" s="1">
        <v>120</v>
      </c>
      <c r="D2609" s="1" t="str">
        <f>"انبار قطعات و لوازم يدكي بشکه سازي اصفهان"</f>
        <v>انبار قطعات و لوازم يدكي بشکه سازي اصفهان</v>
      </c>
      <c r="E2609" s="1" t="str">
        <f>"5211700005"</f>
        <v>5211700005</v>
      </c>
      <c r="F2609" s="1" t="str">
        <f>"نقاله فلزي"</f>
        <v>نقاله فلزي</v>
      </c>
      <c r="G2609" s="1" t="str">
        <f>"عدد"</f>
        <v>عدد</v>
      </c>
      <c r="H2609" s="1">
        <v>0</v>
      </c>
      <c r="I2609" s="1">
        <v>0</v>
      </c>
      <c r="J2609" s="1">
        <v>1</v>
      </c>
      <c r="K2609" s="1">
        <v>100000</v>
      </c>
      <c r="L2609" s="1">
        <v>0</v>
      </c>
      <c r="M2609" s="1">
        <v>0</v>
      </c>
      <c r="O2609" s="1">
        <v>97</v>
      </c>
      <c r="P2609" s="4">
        <f t="shared" si="120"/>
        <v>100000</v>
      </c>
      <c r="Q2609" s="4">
        <f t="shared" si="121"/>
        <v>1</v>
      </c>
      <c r="R2609" s="4">
        <f t="shared" si="122"/>
        <v>100000</v>
      </c>
    </row>
    <row r="2610" spans="1:18" hidden="1">
      <c r="A2610" s="1">
        <v>2</v>
      </c>
      <c r="B2610" s="1" t="str">
        <f>"قطعات و لوازم يدكي"</f>
        <v>قطعات و لوازم يدكي</v>
      </c>
      <c r="C2610" s="1">
        <v>120</v>
      </c>
      <c r="D2610" s="1" t="str">
        <f>"انبار قطعات و لوازم يدكي بشکه سازي اصفهان"</f>
        <v>انبار قطعات و لوازم يدكي بشکه سازي اصفهان</v>
      </c>
      <c r="E2610" s="1" t="str">
        <f>"6211700004"</f>
        <v>6211700004</v>
      </c>
      <c r="F2610" s="1" t="str">
        <f>"چسب لوکو پلاست"</f>
        <v>چسب لوکو پلاست</v>
      </c>
      <c r="G2610" s="1" t="str">
        <f>"عدد"</f>
        <v>عدد</v>
      </c>
      <c r="H2610" s="1">
        <v>0</v>
      </c>
      <c r="I2610" s="1">
        <v>0</v>
      </c>
      <c r="J2610" s="1">
        <v>23</v>
      </c>
      <c r="K2610" s="1">
        <v>690000</v>
      </c>
      <c r="L2610" s="1">
        <v>23</v>
      </c>
      <c r="M2610" s="1">
        <v>690000</v>
      </c>
      <c r="O2610" s="1">
        <v>97</v>
      </c>
      <c r="P2610" s="1">
        <f t="shared" si="120"/>
        <v>0</v>
      </c>
      <c r="Q2610" s="1">
        <f t="shared" si="121"/>
        <v>0</v>
      </c>
      <c r="R2610" s="1" t="e">
        <f t="shared" si="122"/>
        <v>#DIV/0!</v>
      </c>
    </row>
    <row r="2611" spans="1:18" hidden="1">
      <c r="A2611" s="1">
        <v>2</v>
      </c>
      <c r="B2611" s="1" t="str">
        <f>"قطعات و لوازم يدكي"</f>
        <v>قطعات و لوازم يدكي</v>
      </c>
      <c r="C2611" s="1">
        <v>120</v>
      </c>
      <c r="D2611" s="1" t="str">
        <f>"انبار قطعات و لوازم يدكي بشکه سازي اصفهان"</f>
        <v>انبار قطعات و لوازم يدكي بشکه سازي اصفهان</v>
      </c>
      <c r="E2611" s="1" t="str">
        <f>"7111700009"</f>
        <v>7111700009</v>
      </c>
      <c r="F2611" s="1" t="str">
        <f>"چسب نواري."</f>
        <v>چسب نواري.</v>
      </c>
      <c r="G2611" s="1" t="str">
        <f>"رول"</f>
        <v>رول</v>
      </c>
      <c r="H2611" s="1">
        <v>0</v>
      </c>
      <c r="I2611" s="1">
        <v>0</v>
      </c>
      <c r="J2611" s="1">
        <v>3</v>
      </c>
      <c r="K2611" s="1">
        <v>111000</v>
      </c>
      <c r="L2611" s="1">
        <v>3</v>
      </c>
      <c r="M2611" s="1">
        <v>111000</v>
      </c>
      <c r="O2611" s="1">
        <v>97</v>
      </c>
      <c r="P2611" s="1">
        <f t="shared" si="120"/>
        <v>0</v>
      </c>
      <c r="Q2611" s="1">
        <f t="shared" si="121"/>
        <v>0</v>
      </c>
      <c r="R2611" s="1" t="e">
        <f t="shared" si="122"/>
        <v>#DIV/0!</v>
      </c>
    </row>
    <row r="2612" spans="1:18" hidden="1">
      <c r="A2612" s="1">
        <v>2</v>
      </c>
      <c r="B2612" s="1" t="str">
        <f>"قطعات و لوازم يدكي"</f>
        <v>قطعات و لوازم يدكي</v>
      </c>
      <c r="C2612" s="1">
        <v>120</v>
      </c>
      <c r="D2612" s="1" t="str">
        <f>"انبار قطعات و لوازم يدكي بشکه سازي اصفهان"</f>
        <v>انبار قطعات و لوازم يدكي بشکه سازي اصفهان</v>
      </c>
      <c r="E2612" s="1" t="str">
        <f>"7111700030"</f>
        <v>7111700030</v>
      </c>
      <c r="F2612" s="1" t="str">
        <f>"کلمن آب"</f>
        <v>کلمن آب</v>
      </c>
      <c r="G2612" s="1" t="str">
        <f>"عدد"</f>
        <v>عدد</v>
      </c>
      <c r="H2612" s="1">
        <v>0</v>
      </c>
      <c r="I2612" s="1">
        <v>0</v>
      </c>
      <c r="J2612" s="1">
        <v>1</v>
      </c>
      <c r="K2612" s="1">
        <v>170000</v>
      </c>
      <c r="L2612" s="1">
        <v>1</v>
      </c>
      <c r="M2612" s="1">
        <v>170000</v>
      </c>
      <c r="O2612" s="1">
        <v>97</v>
      </c>
      <c r="P2612" s="1">
        <f t="shared" si="120"/>
        <v>0</v>
      </c>
      <c r="Q2612" s="1">
        <f t="shared" si="121"/>
        <v>0</v>
      </c>
      <c r="R2612" s="1" t="e">
        <f t="shared" si="122"/>
        <v>#DIV/0!</v>
      </c>
    </row>
    <row r="2613" spans="1:18">
      <c r="A2613" s="1">
        <v>2</v>
      </c>
      <c r="B2613" s="1" t="str">
        <f>"قطعات و لوازم يدكي"</f>
        <v>قطعات و لوازم يدكي</v>
      </c>
      <c r="C2613" s="1">
        <v>205</v>
      </c>
      <c r="D2613" s="1" t="str">
        <f>"انبار قطعات و لوازم يدكي بندرعباس"</f>
        <v>انبار قطعات و لوازم يدكي بندرعباس</v>
      </c>
      <c r="E2613" s="1" t="str">
        <f>"1800000015"</f>
        <v>1800000015</v>
      </c>
      <c r="F2613" s="1" t="str">
        <f>"بلايند فلنج20"</f>
        <v>بلايند فلنج20</v>
      </c>
      <c r="G2613" s="1" t="str">
        <f>"عدد"</f>
        <v>عدد</v>
      </c>
      <c r="H2613" s="1">
        <v>9</v>
      </c>
      <c r="I2613" s="1">
        <v>94770000</v>
      </c>
      <c r="J2613" s="1">
        <v>0</v>
      </c>
      <c r="K2613" s="1">
        <v>0</v>
      </c>
      <c r="L2613" s="1">
        <v>8</v>
      </c>
      <c r="M2613" s="1">
        <v>84240000</v>
      </c>
      <c r="O2613" s="1">
        <v>97</v>
      </c>
      <c r="P2613" s="4">
        <f t="shared" si="120"/>
        <v>10530000</v>
      </c>
      <c r="Q2613" s="4">
        <f t="shared" si="121"/>
        <v>1</v>
      </c>
      <c r="R2613" s="4">
        <f t="shared" si="122"/>
        <v>10530000</v>
      </c>
    </row>
    <row r="2614" spans="1:18">
      <c r="A2614" s="1">
        <v>2</v>
      </c>
      <c r="B2614" s="1" t="str">
        <f>"قطعات و لوازم يدكي"</f>
        <v>قطعات و لوازم يدكي</v>
      </c>
      <c r="C2614" s="1">
        <v>205</v>
      </c>
      <c r="D2614" s="1" t="str">
        <f>"انبار قطعات و لوازم يدكي بندرعباس"</f>
        <v>انبار قطعات و لوازم يدكي بندرعباس</v>
      </c>
      <c r="E2614" s="1" t="str">
        <f>"1800000019"</f>
        <v>1800000019</v>
      </c>
      <c r="F2614" s="1" t="str">
        <f>"کپ 1/2"</f>
        <v>کپ 1/2</v>
      </c>
      <c r="G2614" s="1" t="str">
        <f>"عدد"</f>
        <v>عدد</v>
      </c>
      <c r="H2614" s="1">
        <v>3</v>
      </c>
      <c r="I2614" s="1">
        <v>129000</v>
      </c>
      <c r="J2614" s="1">
        <v>0</v>
      </c>
      <c r="K2614" s="1">
        <v>0</v>
      </c>
      <c r="L2614" s="1">
        <v>0</v>
      </c>
      <c r="M2614" s="1">
        <v>0</v>
      </c>
      <c r="O2614" s="1">
        <v>97</v>
      </c>
      <c r="P2614" s="4">
        <f t="shared" si="120"/>
        <v>129000</v>
      </c>
      <c r="Q2614" s="4">
        <f t="shared" si="121"/>
        <v>3</v>
      </c>
      <c r="R2614" s="4">
        <f t="shared" si="122"/>
        <v>43000</v>
      </c>
    </row>
    <row r="2615" spans="1:18">
      <c r="A2615" s="1">
        <v>2</v>
      </c>
      <c r="B2615" s="1" t="str">
        <f>"قطعات و لوازم يدكي"</f>
        <v>قطعات و لوازم يدكي</v>
      </c>
      <c r="C2615" s="1">
        <v>205</v>
      </c>
      <c r="D2615" s="1" t="str">
        <f>"انبار قطعات و لوازم يدكي بندرعباس"</f>
        <v>انبار قطعات و لوازم يدكي بندرعباس</v>
      </c>
      <c r="E2615" s="1" t="str">
        <f>"1800000035"</f>
        <v>1800000035</v>
      </c>
      <c r="F2615" s="1" t="str">
        <f>"فلنج 1/2"</f>
        <v>فلنج 1/2</v>
      </c>
      <c r="G2615" s="1" t="str">
        <f>"عدد"</f>
        <v>عدد</v>
      </c>
      <c r="H2615" s="1">
        <v>32</v>
      </c>
      <c r="I2615" s="1">
        <v>3776000</v>
      </c>
      <c r="J2615" s="1">
        <v>0</v>
      </c>
      <c r="K2615" s="1">
        <v>0</v>
      </c>
      <c r="L2615" s="1">
        <v>0</v>
      </c>
      <c r="M2615" s="1">
        <v>0</v>
      </c>
      <c r="O2615" s="1">
        <v>97</v>
      </c>
      <c r="P2615" s="4">
        <f t="shared" si="120"/>
        <v>3776000</v>
      </c>
      <c r="Q2615" s="4">
        <f t="shared" si="121"/>
        <v>32</v>
      </c>
      <c r="R2615" s="4">
        <f t="shared" si="122"/>
        <v>118000</v>
      </c>
    </row>
    <row r="2616" spans="1:18" hidden="1">
      <c r="A2616" s="1">
        <v>2</v>
      </c>
      <c r="B2616" s="1" t="str">
        <f>"قطعات و لوازم يدكي"</f>
        <v>قطعات و لوازم يدكي</v>
      </c>
      <c r="C2616" s="1">
        <v>205</v>
      </c>
      <c r="D2616" s="1" t="str">
        <f>"انبار قطعات و لوازم يدكي بندرعباس"</f>
        <v>انبار قطعات و لوازم يدكي بندرعباس</v>
      </c>
      <c r="E2616" s="1" t="str">
        <f>"1800000050"</f>
        <v>1800000050</v>
      </c>
      <c r="F2616" s="1" t="str">
        <f>"گيت ولو8"</f>
        <v>گيت ولو8</v>
      </c>
      <c r="G2616" s="1" t="str">
        <f>"عدد"</f>
        <v>عدد</v>
      </c>
      <c r="H2616" s="1">
        <v>2</v>
      </c>
      <c r="I2616" s="1">
        <v>43440000</v>
      </c>
      <c r="J2616" s="1">
        <v>0</v>
      </c>
      <c r="K2616" s="1">
        <v>0</v>
      </c>
      <c r="L2616" s="1">
        <v>2</v>
      </c>
      <c r="M2616" s="1">
        <v>43440000</v>
      </c>
      <c r="O2616" s="1">
        <v>97</v>
      </c>
      <c r="P2616" s="1">
        <f t="shared" si="120"/>
        <v>0</v>
      </c>
      <c r="Q2616" s="1">
        <f t="shared" si="121"/>
        <v>0</v>
      </c>
      <c r="R2616" s="1" t="e">
        <f t="shared" si="122"/>
        <v>#DIV/0!</v>
      </c>
    </row>
    <row r="2617" spans="1:18" hidden="1">
      <c r="A2617" s="1">
        <v>2</v>
      </c>
      <c r="B2617" s="1" t="str">
        <f>"قطعات و لوازم يدكي"</f>
        <v>قطعات و لوازم يدكي</v>
      </c>
      <c r="C2617" s="1">
        <v>205</v>
      </c>
      <c r="D2617" s="1" t="str">
        <f>"انبار قطعات و لوازم يدكي بندرعباس"</f>
        <v>انبار قطعات و لوازم يدكي بندرعباس</v>
      </c>
      <c r="E2617" s="1" t="str">
        <f>"1800000059"</f>
        <v>1800000059</v>
      </c>
      <c r="F2617" s="1" t="str">
        <f>"گيت ولو 4"</f>
        <v>گيت ولو 4</v>
      </c>
      <c r="G2617" s="1" t="str">
        <f>"عدد"</f>
        <v>عدد</v>
      </c>
      <c r="H2617" s="1">
        <v>2</v>
      </c>
      <c r="I2617" s="1">
        <v>36000000</v>
      </c>
      <c r="J2617" s="1">
        <v>0</v>
      </c>
      <c r="K2617" s="1">
        <v>0</v>
      </c>
      <c r="L2617" s="1">
        <v>2</v>
      </c>
      <c r="M2617" s="1">
        <v>36000000</v>
      </c>
      <c r="O2617" s="1">
        <v>97</v>
      </c>
      <c r="P2617" s="1">
        <f t="shared" si="120"/>
        <v>0</v>
      </c>
      <c r="Q2617" s="1">
        <f t="shared" si="121"/>
        <v>0</v>
      </c>
      <c r="R2617" s="1" t="e">
        <f t="shared" si="122"/>
        <v>#DIV/0!</v>
      </c>
    </row>
    <row r="2618" spans="1:18">
      <c r="A2618" s="1">
        <v>2</v>
      </c>
      <c r="B2618" s="1" t="str">
        <f>"قطعات و لوازم يدكي"</f>
        <v>قطعات و لوازم يدكي</v>
      </c>
      <c r="C2618" s="1">
        <v>205</v>
      </c>
      <c r="D2618" s="1" t="str">
        <f>"انبار قطعات و لوازم يدكي بندرعباس"</f>
        <v>انبار قطعات و لوازم يدكي بندرعباس</v>
      </c>
      <c r="E2618" s="1" t="str">
        <f>"1800000067"</f>
        <v>1800000067</v>
      </c>
      <c r="F2618" s="1" t="str">
        <f>"زانو1/2 اينچ"</f>
        <v>زانو1/2 اينچ</v>
      </c>
      <c r="G2618" s="1" t="str">
        <f>"عدد"</f>
        <v>عدد</v>
      </c>
      <c r="H2618" s="1">
        <v>15</v>
      </c>
      <c r="I2618" s="1">
        <v>3750000</v>
      </c>
      <c r="J2618" s="1">
        <v>0</v>
      </c>
      <c r="K2618" s="1">
        <v>0</v>
      </c>
      <c r="L2618" s="1">
        <v>0</v>
      </c>
      <c r="M2618" s="1">
        <v>0</v>
      </c>
      <c r="O2618" s="1">
        <v>97</v>
      </c>
      <c r="P2618" s="4">
        <f t="shared" si="120"/>
        <v>3750000</v>
      </c>
      <c r="Q2618" s="4">
        <f t="shared" si="121"/>
        <v>15</v>
      </c>
      <c r="R2618" s="4">
        <f t="shared" si="122"/>
        <v>250000</v>
      </c>
    </row>
    <row r="2619" spans="1:18">
      <c r="A2619" s="1">
        <v>2</v>
      </c>
      <c r="B2619" s="1" t="str">
        <f>"قطعات و لوازم يدكي"</f>
        <v>قطعات و لوازم يدكي</v>
      </c>
      <c r="C2619" s="1">
        <v>205</v>
      </c>
      <c r="D2619" s="1" t="str">
        <f>"انبار قطعات و لوازم يدكي بندرعباس"</f>
        <v>انبار قطعات و لوازم يدكي بندرعباس</v>
      </c>
      <c r="E2619" s="1" t="str">
        <f>"1800000075"</f>
        <v>1800000075</v>
      </c>
      <c r="F2619" s="1" t="str">
        <f>"زانو 12"</f>
        <v>زانو 12</v>
      </c>
      <c r="G2619" s="1" t="str">
        <f>"عدد"</f>
        <v>عدد</v>
      </c>
      <c r="H2619" s="1">
        <v>1</v>
      </c>
      <c r="I2619" s="1">
        <v>1840000</v>
      </c>
      <c r="J2619" s="1">
        <v>0</v>
      </c>
      <c r="K2619" s="1">
        <v>0</v>
      </c>
      <c r="L2619" s="1">
        <v>0</v>
      </c>
      <c r="M2619" s="1">
        <v>0</v>
      </c>
      <c r="O2619" s="1">
        <v>97</v>
      </c>
      <c r="P2619" s="4">
        <f t="shared" si="120"/>
        <v>1840000</v>
      </c>
      <c r="Q2619" s="4">
        <f t="shared" si="121"/>
        <v>1</v>
      </c>
      <c r="R2619" s="4">
        <f t="shared" si="122"/>
        <v>1840000</v>
      </c>
    </row>
    <row r="2620" spans="1:18" hidden="1">
      <c r="A2620" s="1">
        <v>2</v>
      </c>
      <c r="B2620" s="1" t="str">
        <f>"قطعات و لوازم يدكي"</f>
        <v>قطعات و لوازم يدكي</v>
      </c>
      <c r="C2620" s="1">
        <v>205</v>
      </c>
      <c r="D2620" s="1" t="str">
        <f>"انبار قطعات و لوازم يدكي بندرعباس"</f>
        <v>انبار قطعات و لوازم يدكي بندرعباس</v>
      </c>
      <c r="E2620" s="1" t="str">
        <f>"1800000076"</f>
        <v>1800000076</v>
      </c>
      <c r="F2620" s="1" t="str">
        <f>"زانو 6 اينچ"</f>
        <v>زانو 6 اينچ</v>
      </c>
      <c r="G2620" s="1" t="str">
        <f>"عدد"</f>
        <v>عدد</v>
      </c>
      <c r="H2620" s="1">
        <v>1</v>
      </c>
      <c r="I2620" s="1">
        <v>810000</v>
      </c>
      <c r="J2620" s="1">
        <v>0</v>
      </c>
      <c r="K2620" s="1">
        <v>0</v>
      </c>
      <c r="L2620" s="1">
        <v>1</v>
      </c>
      <c r="M2620" s="1">
        <v>810000</v>
      </c>
      <c r="O2620" s="1">
        <v>97</v>
      </c>
      <c r="P2620" s="1">
        <f t="shared" si="120"/>
        <v>0</v>
      </c>
      <c r="Q2620" s="1">
        <f t="shared" si="121"/>
        <v>0</v>
      </c>
      <c r="R2620" s="1" t="e">
        <f t="shared" si="122"/>
        <v>#DIV/0!</v>
      </c>
    </row>
    <row r="2621" spans="1:18">
      <c r="A2621" s="1">
        <v>2</v>
      </c>
      <c r="B2621" s="1" t="str">
        <f>"قطعات و لوازم يدكي"</f>
        <v>قطعات و لوازم يدكي</v>
      </c>
      <c r="C2621" s="1">
        <v>205</v>
      </c>
      <c r="D2621" s="1" t="str">
        <f>"انبار قطعات و لوازم يدكي بندرعباس"</f>
        <v>انبار قطعات و لوازم يدكي بندرعباس</v>
      </c>
      <c r="E2621" s="1" t="str">
        <f>"1800000081"</f>
        <v>1800000081</v>
      </c>
      <c r="F2621" s="1" t="str">
        <f>"زانو 1/2*1"</f>
        <v>زانو 1/2*1</v>
      </c>
      <c r="G2621" s="1" t="str">
        <f>"عدد"</f>
        <v>عدد</v>
      </c>
      <c r="H2621" s="1">
        <v>27</v>
      </c>
      <c r="I2621" s="1">
        <v>5832000</v>
      </c>
      <c r="J2621" s="1">
        <v>0</v>
      </c>
      <c r="K2621" s="1">
        <v>0</v>
      </c>
      <c r="L2621" s="1">
        <v>4</v>
      </c>
      <c r="M2621" s="1">
        <v>864000</v>
      </c>
      <c r="O2621" s="1">
        <v>97</v>
      </c>
      <c r="P2621" s="4">
        <f t="shared" si="120"/>
        <v>4968000</v>
      </c>
      <c r="Q2621" s="4">
        <f t="shared" si="121"/>
        <v>23</v>
      </c>
      <c r="R2621" s="4">
        <f t="shared" si="122"/>
        <v>216000</v>
      </c>
    </row>
    <row r="2622" spans="1:18" hidden="1">
      <c r="A2622" s="1">
        <v>2</v>
      </c>
      <c r="B2622" s="1" t="str">
        <f>"قطعات و لوازم يدكي"</f>
        <v>قطعات و لوازم يدكي</v>
      </c>
      <c r="C2622" s="1">
        <v>205</v>
      </c>
      <c r="D2622" s="1" t="str">
        <f>"انبار قطعات و لوازم يدكي بندرعباس"</f>
        <v>انبار قطعات و لوازم يدكي بندرعباس</v>
      </c>
      <c r="E2622" s="1" t="str">
        <f>"1800000085"</f>
        <v>1800000085</v>
      </c>
      <c r="F2622" s="1" t="str">
        <f>"زانو 2 اينچ"</f>
        <v>زانو 2 اينچ</v>
      </c>
      <c r="G2622" s="1" t="str">
        <f>"عدد"</f>
        <v>عدد</v>
      </c>
      <c r="H2622" s="1">
        <v>28</v>
      </c>
      <c r="I2622" s="1">
        <v>6048000</v>
      </c>
      <c r="J2622" s="1">
        <v>0</v>
      </c>
      <c r="K2622" s="1">
        <v>0</v>
      </c>
      <c r="L2622" s="1">
        <v>28</v>
      </c>
      <c r="M2622" s="1">
        <v>6048000</v>
      </c>
      <c r="O2622" s="1">
        <v>97</v>
      </c>
      <c r="P2622" s="1">
        <f t="shared" si="120"/>
        <v>0</v>
      </c>
      <c r="Q2622" s="1">
        <f t="shared" si="121"/>
        <v>0</v>
      </c>
      <c r="R2622" s="1" t="e">
        <f t="shared" si="122"/>
        <v>#DIV/0!</v>
      </c>
    </row>
    <row r="2623" spans="1:18">
      <c r="A2623" s="1">
        <v>2</v>
      </c>
      <c r="B2623" s="1" t="str">
        <f>"قطعات و لوازم يدكي"</f>
        <v>قطعات و لوازم يدكي</v>
      </c>
      <c r="C2623" s="1">
        <v>205</v>
      </c>
      <c r="D2623" s="1" t="str">
        <f>"انبار قطعات و لوازم يدكي بندرعباس"</f>
        <v>انبار قطعات و لوازم يدكي بندرعباس</v>
      </c>
      <c r="E2623" s="1" t="str">
        <f>"1800000089"</f>
        <v>1800000089</v>
      </c>
      <c r="F2623" s="1" t="str">
        <f>"زانو 1/4*1"</f>
        <v>زانو 1/4*1</v>
      </c>
      <c r="G2623" s="1" t="str">
        <f>"عدد"</f>
        <v>عدد</v>
      </c>
      <c r="H2623" s="1">
        <v>4</v>
      </c>
      <c r="I2623" s="1">
        <v>864000</v>
      </c>
      <c r="J2623" s="1">
        <v>0</v>
      </c>
      <c r="K2623" s="1">
        <v>0</v>
      </c>
      <c r="L2623" s="1">
        <v>0</v>
      </c>
      <c r="M2623" s="1">
        <v>0</v>
      </c>
      <c r="O2623" s="1">
        <v>97</v>
      </c>
      <c r="P2623" s="4">
        <f t="shared" si="120"/>
        <v>864000</v>
      </c>
      <c r="Q2623" s="4">
        <f t="shared" si="121"/>
        <v>4</v>
      </c>
      <c r="R2623" s="4">
        <f t="shared" si="122"/>
        <v>216000</v>
      </c>
    </row>
    <row r="2624" spans="1:18">
      <c r="A2624" s="1">
        <v>2</v>
      </c>
      <c r="B2624" s="1" t="str">
        <f>"قطعات و لوازم يدكي"</f>
        <v>قطعات و لوازم يدكي</v>
      </c>
      <c r="C2624" s="1">
        <v>205</v>
      </c>
      <c r="D2624" s="1" t="str">
        <f>"انبار قطعات و لوازم يدكي بندرعباس"</f>
        <v>انبار قطعات و لوازم يدكي بندرعباس</v>
      </c>
      <c r="E2624" s="1" t="str">
        <f>"1800000115"</f>
        <v>1800000115</v>
      </c>
      <c r="F2624" s="1" t="str">
        <f>"تي تبديل 6-3"</f>
        <v>تي تبديل 6-3</v>
      </c>
      <c r="G2624" s="1" t="str">
        <f>"عدد"</f>
        <v>عدد</v>
      </c>
      <c r="H2624" s="1">
        <v>1</v>
      </c>
      <c r="I2624" s="1">
        <v>778000</v>
      </c>
      <c r="J2624" s="1">
        <v>0</v>
      </c>
      <c r="K2624" s="1">
        <v>0</v>
      </c>
      <c r="L2624" s="1">
        <v>0</v>
      </c>
      <c r="M2624" s="1">
        <v>0</v>
      </c>
      <c r="O2624" s="1">
        <v>97</v>
      </c>
      <c r="P2624" s="4">
        <f t="shared" si="120"/>
        <v>778000</v>
      </c>
      <c r="Q2624" s="4">
        <f t="shared" si="121"/>
        <v>1</v>
      </c>
      <c r="R2624" s="4">
        <f t="shared" si="122"/>
        <v>778000</v>
      </c>
    </row>
    <row r="2625" spans="1:18">
      <c r="A2625" s="1">
        <v>2</v>
      </c>
      <c r="B2625" s="1" t="str">
        <f>"قطعات و لوازم يدكي"</f>
        <v>قطعات و لوازم يدكي</v>
      </c>
      <c r="C2625" s="1">
        <v>205</v>
      </c>
      <c r="D2625" s="1" t="str">
        <f>"انبار قطعات و لوازم يدكي بندرعباس"</f>
        <v>انبار قطعات و لوازم يدكي بندرعباس</v>
      </c>
      <c r="E2625" s="1" t="str">
        <f>"1800000121"</f>
        <v>1800000121</v>
      </c>
      <c r="F2625" s="1" t="str">
        <f>"تي ولد 2"</f>
        <v>تي ولد 2</v>
      </c>
      <c r="G2625" s="1" t="str">
        <f>"عدد"</f>
        <v>عدد</v>
      </c>
      <c r="H2625" s="1">
        <v>3</v>
      </c>
      <c r="I2625" s="1">
        <v>777000</v>
      </c>
      <c r="J2625" s="1">
        <v>0</v>
      </c>
      <c r="K2625" s="1">
        <v>0</v>
      </c>
      <c r="L2625" s="1">
        <v>0</v>
      </c>
      <c r="M2625" s="1">
        <v>0</v>
      </c>
      <c r="O2625" s="1">
        <v>97</v>
      </c>
      <c r="P2625" s="4">
        <f t="shared" si="120"/>
        <v>777000</v>
      </c>
      <c r="Q2625" s="4">
        <f t="shared" si="121"/>
        <v>3</v>
      </c>
      <c r="R2625" s="4">
        <f t="shared" si="122"/>
        <v>259000</v>
      </c>
    </row>
    <row r="2626" spans="1:18">
      <c r="A2626" s="1">
        <v>2</v>
      </c>
      <c r="B2626" s="1" t="str">
        <f>"قطعات و لوازم يدكي"</f>
        <v>قطعات و لوازم يدكي</v>
      </c>
      <c r="C2626" s="1">
        <v>205</v>
      </c>
      <c r="D2626" s="1" t="str">
        <f>"انبار قطعات و لوازم يدكي بندرعباس"</f>
        <v>انبار قطعات و لوازم يدكي بندرعباس</v>
      </c>
      <c r="E2626" s="1" t="str">
        <f>"1800000134"</f>
        <v>1800000134</v>
      </c>
      <c r="F2626" s="1" t="str">
        <f>"اتصال مادگي 63"</f>
        <v>اتصال مادگي 63</v>
      </c>
      <c r="G2626" s="1" t="str">
        <f>"عدد"</f>
        <v>عدد</v>
      </c>
      <c r="H2626" s="1">
        <v>2</v>
      </c>
      <c r="I2626" s="1">
        <v>1000000</v>
      </c>
      <c r="J2626" s="1">
        <v>0</v>
      </c>
      <c r="K2626" s="1">
        <v>0</v>
      </c>
      <c r="L2626" s="1">
        <v>1</v>
      </c>
      <c r="M2626" s="1">
        <v>500000</v>
      </c>
      <c r="O2626" s="1">
        <v>97</v>
      </c>
      <c r="P2626" s="4">
        <f t="shared" si="120"/>
        <v>500000</v>
      </c>
      <c r="Q2626" s="4">
        <f t="shared" si="121"/>
        <v>1</v>
      </c>
      <c r="R2626" s="4">
        <f t="shared" si="122"/>
        <v>500000</v>
      </c>
    </row>
    <row r="2627" spans="1:18">
      <c r="A2627" s="1">
        <v>2</v>
      </c>
      <c r="B2627" s="1" t="str">
        <f>"قطعات و لوازم يدكي"</f>
        <v>قطعات و لوازم يدكي</v>
      </c>
      <c r="C2627" s="1">
        <v>205</v>
      </c>
      <c r="D2627" s="1" t="str">
        <f>"انبار قطعات و لوازم يدكي بندرعباس"</f>
        <v>انبار قطعات و لوازم يدكي بندرعباس</v>
      </c>
      <c r="E2627" s="1" t="str">
        <f>"1800000160"</f>
        <v>1800000160</v>
      </c>
      <c r="F2627" s="1" t="str">
        <f>"اورينگ فيس"</f>
        <v>اورينگ فيس</v>
      </c>
      <c r="G2627" s="1" t="str">
        <f>"عدد"</f>
        <v>عدد</v>
      </c>
      <c r="H2627" s="1">
        <v>20</v>
      </c>
      <c r="I2627" s="1">
        <v>5500000</v>
      </c>
      <c r="J2627" s="1">
        <v>0</v>
      </c>
      <c r="K2627" s="1">
        <v>0</v>
      </c>
      <c r="L2627" s="1">
        <v>10</v>
      </c>
      <c r="M2627" s="1">
        <v>2750000</v>
      </c>
      <c r="O2627" s="1">
        <v>97</v>
      </c>
      <c r="P2627" s="4">
        <f t="shared" ref="P2627:P2690" si="123">I2627+K2627-M2627</f>
        <v>2750000</v>
      </c>
      <c r="Q2627" s="4">
        <f t="shared" ref="Q2627:Q2690" si="124">H2627+J2627-L2627</f>
        <v>10</v>
      </c>
      <c r="R2627" s="4">
        <f t="shared" ref="R2627:R2690" si="125">P2627/Q2627</f>
        <v>275000</v>
      </c>
    </row>
    <row r="2628" spans="1:18">
      <c r="A2628" s="1">
        <v>2</v>
      </c>
      <c r="B2628" s="1" t="str">
        <f>"قطعات و لوازم يدكي"</f>
        <v>قطعات و لوازم يدكي</v>
      </c>
      <c r="C2628" s="1">
        <v>205</v>
      </c>
      <c r="D2628" s="1" t="str">
        <f>"انبار قطعات و لوازم يدكي بندرعباس"</f>
        <v>انبار قطعات و لوازم يدكي بندرعباس</v>
      </c>
      <c r="E2628" s="1" t="str">
        <f>"1800000163"</f>
        <v>1800000163</v>
      </c>
      <c r="F2628" s="1" t="str">
        <f>"آداپتور دوقلو آتشنشاني 1/2*2"</f>
        <v>آداپتور دوقلو آتشنشاني 1/2*2</v>
      </c>
      <c r="G2628" s="1" t="str">
        <f>"عدد"</f>
        <v>عدد</v>
      </c>
      <c r="H2628" s="1">
        <v>11</v>
      </c>
      <c r="I2628" s="1">
        <v>22000000</v>
      </c>
      <c r="J2628" s="1">
        <v>0</v>
      </c>
      <c r="K2628" s="1">
        <v>0</v>
      </c>
      <c r="L2628" s="1">
        <v>0</v>
      </c>
      <c r="M2628" s="1">
        <v>0</v>
      </c>
      <c r="O2628" s="1">
        <v>97</v>
      </c>
      <c r="P2628" s="4">
        <f t="shared" si="123"/>
        <v>22000000</v>
      </c>
      <c r="Q2628" s="4">
        <f t="shared" si="124"/>
        <v>11</v>
      </c>
      <c r="R2628" s="4">
        <f t="shared" si="125"/>
        <v>2000000</v>
      </c>
    </row>
    <row r="2629" spans="1:18">
      <c r="A2629" s="1">
        <v>2</v>
      </c>
      <c r="B2629" s="1" t="str">
        <f>"قطعات و لوازم يدكي"</f>
        <v>قطعات و لوازم يدكي</v>
      </c>
      <c r="C2629" s="1">
        <v>205</v>
      </c>
      <c r="D2629" s="1" t="str">
        <f>"انبار قطعات و لوازم يدكي بندرعباس"</f>
        <v>انبار قطعات و لوازم يدكي بندرعباس</v>
      </c>
      <c r="E2629" s="1" t="str">
        <f>"1800000165"</f>
        <v>1800000165</v>
      </c>
      <c r="F2629" s="1" t="str">
        <f>"آمپرمتر 50"</f>
        <v>آمپرمتر 50</v>
      </c>
      <c r="G2629" s="1" t="str">
        <f>"عدد"</f>
        <v>عدد</v>
      </c>
      <c r="H2629" s="1">
        <v>1</v>
      </c>
      <c r="I2629" s="1">
        <v>500000</v>
      </c>
      <c r="J2629" s="1">
        <v>0</v>
      </c>
      <c r="K2629" s="1">
        <v>0</v>
      </c>
      <c r="L2629" s="1">
        <v>0</v>
      </c>
      <c r="M2629" s="1">
        <v>0</v>
      </c>
      <c r="O2629" s="1">
        <v>97</v>
      </c>
      <c r="P2629" s="4">
        <f t="shared" si="123"/>
        <v>500000</v>
      </c>
      <c r="Q2629" s="4">
        <f t="shared" si="124"/>
        <v>1</v>
      </c>
      <c r="R2629" s="4">
        <f t="shared" si="125"/>
        <v>500000</v>
      </c>
    </row>
    <row r="2630" spans="1:18">
      <c r="A2630" s="1">
        <v>2</v>
      </c>
      <c r="B2630" s="1" t="str">
        <f>"قطعات و لوازم يدكي"</f>
        <v>قطعات و لوازم يدكي</v>
      </c>
      <c r="C2630" s="1">
        <v>205</v>
      </c>
      <c r="D2630" s="1" t="str">
        <f>"انبار قطعات و لوازم يدكي بندرعباس"</f>
        <v>انبار قطعات و لوازم يدكي بندرعباس</v>
      </c>
      <c r="E2630" s="1" t="str">
        <f>"1800000174"</f>
        <v>1800000174</v>
      </c>
      <c r="F2630" s="1" t="str">
        <f>"بريکر اشنايدر 25"</f>
        <v>بريکر اشنايدر 25</v>
      </c>
      <c r="G2630" s="1" t="str">
        <f>"عدد"</f>
        <v>عدد</v>
      </c>
      <c r="H2630" s="1">
        <v>1</v>
      </c>
      <c r="I2630" s="1">
        <v>800000</v>
      </c>
      <c r="J2630" s="1">
        <v>0</v>
      </c>
      <c r="K2630" s="1">
        <v>0</v>
      </c>
      <c r="L2630" s="1">
        <v>0</v>
      </c>
      <c r="M2630" s="1">
        <v>0</v>
      </c>
      <c r="O2630" s="1">
        <v>97</v>
      </c>
      <c r="P2630" s="4">
        <f t="shared" si="123"/>
        <v>800000</v>
      </c>
      <c r="Q2630" s="4">
        <f t="shared" si="124"/>
        <v>1</v>
      </c>
      <c r="R2630" s="4">
        <f t="shared" si="125"/>
        <v>800000</v>
      </c>
    </row>
    <row r="2631" spans="1:18">
      <c r="A2631" s="1">
        <v>2</v>
      </c>
      <c r="B2631" s="1" t="str">
        <f>"قطعات و لوازم يدكي"</f>
        <v>قطعات و لوازم يدكي</v>
      </c>
      <c r="C2631" s="1">
        <v>205</v>
      </c>
      <c r="D2631" s="1" t="str">
        <f>"انبار قطعات و لوازم يدكي بندرعباس"</f>
        <v>انبار قطعات و لوازم يدكي بندرعباس</v>
      </c>
      <c r="E2631" s="1" t="str">
        <f>"1800000193"</f>
        <v>1800000193</v>
      </c>
      <c r="F2631" s="1" t="str">
        <f>"بلبرينگ skf 312"</f>
        <v>بلبرينگ skf 312</v>
      </c>
      <c r="G2631" s="1" t="str">
        <f>"عدد"</f>
        <v>عدد</v>
      </c>
      <c r="H2631" s="1">
        <v>1</v>
      </c>
      <c r="I2631" s="1">
        <v>800000</v>
      </c>
      <c r="J2631" s="1">
        <v>0</v>
      </c>
      <c r="K2631" s="1">
        <v>0</v>
      </c>
      <c r="L2631" s="1">
        <v>0</v>
      </c>
      <c r="M2631" s="1">
        <v>0</v>
      </c>
      <c r="O2631" s="1">
        <v>97</v>
      </c>
      <c r="P2631" s="4">
        <f t="shared" si="123"/>
        <v>800000</v>
      </c>
      <c r="Q2631" s="4">
        <f t="shared" si="124"/>
        <v>1</v>
      </c>
      <c r="R2631" s="4">
        <f t="shared" si="125"/>
        <v>800000</v>
      </c>
    </row>
    <row r="2632" spans="1:18">
      <c r="A2632" s="1">
        <v>2</v>
      </c>
      <c r="B2632" s="1" t="str">
        <f>"قطعات و لوازم يدكي"</f>
        <v>قطعات و لوازم يدكي</v>
      </c>
      <c r="C2632" s="1">
        <v>205</v>
      </c>
      <c r="D2632" s="1" t="str">
        <f>"انبار قطعات و لوازم يدكي بندرعباس"</f>
        <v>انبار قطعات و لوازم يدكي بندرعباس</v>
      </c>
      <c r="E2632" s="1" t="str">
        <f>"1800000211"</f>
        <v>1800000211</v>
      </c>
      <c r="F2632" s="1" t="str">
        <f>"بوشن لوله سفيد تبديل 20-25"</f>
        <v>بوشن لوله سفيد تبديل 20-25</v>
      </c>
      <c r="G2632" s="1" t="str">
        <f>"عدد"</f>
        <v>عدد</v>
      </c>
      <c r="H2632" s="1">
        <v>1</v>
      </c>
      <c r="I2632" s="1">
        <v>50000</v>
      </c>
      <c r="J2632" s="1">
        <v>0</v>
      </c>
      <c r="K2632" s="1">
        <v>0</v>
      </c>
      <c r="L2632" s="1">
        <v>0</v>
      </c>
      <c r="M2632" s="1">
        <v>0</v>
      </c>
      <c r="O2632" s="1">
        <v>97</v>
      </c>
      <c r="P2632" s="4">
        <f t="shared" si="123"/>
        <v>50000</v>
      </c>
      <c r="Q2632" s="4">
        <f t="shared" si="124"/>
        <v>1</v>
      </c>
      <c r="R2632" s="4">
        <f t="shared" si="125"/>
        <v>50000</v>
      </c>
    </row>
    <row r="2633" spans="1:18">
      <c r="A2633" s="1">
        <v>2</v>
      </c>
      <c r="B2633" s="1" t="str">
        <f>"قطعات و لوازم يدكي"</f>
        <v>قطعات و لوازم يدكي</v>
      </c>
      <c r="C2633" s="1">
        <v>205</v>
      </c>
      <c r="D2633" s="1" t="str">
        <f>"انبار قطعات و لوازم يدكي بندرعباس"</f>
        <v>انبار قطعات و لوازم يدكي بندرعباس</v>
      </c>
      <c r="E2633" s="1" t="str">
        <f>"1800000223"</f>
        <v>1800000223</v>
      </c>
      <c r="F2633" s="1" t="str">
        <f>"پايه مغناطيسي ساعت انديکاتوري 80"</f>
        <v>پايه مغناطيسي ساعت انديکاتوري 80</v>
      </c>
      <c r="G2633" s="1" t="str">
        <f>"عدد"</f>
        <v>عدد</v>
      </c>
      <c r="H2633" s="1">
        <v>1</v>
      </c>
      <c r="I2633" s="1">
        <v>3000000</v>
      </c>
      <c r="J2633" s="1">
        <v>0</v>
      </c>
      <c r="K2633" s="1">
        <v>0</v>
      </c>
      <c r="L2633" s="1">
        <v>0</v>
      </c>
      <c r="M2633" s="1">
        <v>0</v>
      </c>
      <c r="O2633" s="1">
        <v>97</v>
      </c>
      <c r="P2633" s="4">
        <f t="shared" si="123"/>
        <v>3000000</v>
      </c>
      <c r="Q2633" s="4">
        <f t="shared" si="124"/>
        <v>1</v>
      </c>
      <c r="R2633" s="4">
        <f t="shared" si="125"/>
        <v>3000000</v>
      </c>
    </row>
    <row r="2634" spans="1:18">
      <c r="A2634" s="1">
        <v>2</v>
      </c>
      <c r="B2634" s="1" t="str">
        <f>"قطعات و لوازم يدكي"</f>
        <v>قطعات و لوازم يدكي</v>
      </c>
      <c r="C2634" s="1">
        <v>205</v>
      </c>
      <c r="D2634" s="1" t="str">
        <f>"انبار قطعات و لوازم يدكي بندرعباس"</f>
        <v>انبار قطعات و لوازم يدكي بندرعباس</v>
      </c>
      <c r="E2634" s="1" t="str">
        <f>"1800000224"</f>
        <v>1800000224</v>
      </c>
      <c r="F2634" s="1" t="str">
        <f>"پتانسيومتر 1"</f>
        <v>پتانسيومتر 1</v>
      </c>
      <c r="G2634" s="1" t="str">
        <f>"عدد"</f>
        <v>عدد</v>
      </c>
      <c r="H2634" s="1">
        <v>8</v>
      </c>
      <c r="I2634" s="1">
        <v>4000000</v>
      </c>
      <c r="J2634" s="1">
        <v>0</v>
      </c>
      <c r="K2634" s="1">
        <v>0</v>
      </c>
      <c r="L2634" s="1">
        <v>1</v>
      </c>
      <c r="M2634" s="1">
        <v>500000</v>
      </c>
      <c r="O2634" s="1">
        <v>97</v>
      </c>
      <c r="P2634" s="4">
        <f t="shared" si="123"/>
        <v>3500000</v>
      </c>
      <c r="Q2634" s="4">
        <f t="shared" si="124"/>
        <v>7</v>
      </c>
      <c r="R2634" s="4">
        <f t="shared" si="125"/>
        <v>500000</v>
      </c>
    </row>
    <row r="2635" spans="1:18">
      <c r="A2635" s="1">
        <v>2</v>
      </c>
      <c r="B2635" s="1" t="str">
        <f>"قطعات و لوازم يدكي"</f>
        <v>قطعات و لوازم يدكي</v>
      </c>
      <c r="C2635" s="1">
        <v>205</v>
      </c>
      <c r="D2635" s="1" t="str">
        <f>"انبار قطعات و لوازم يدكي بندرعباس"</f>
        <v>انبار قطعات و لوازم يدكي بندرعباس</v>
      </c>
      <c r="E2635" s="1" t="str">
        <f>"1800000233"</f>
        <v>1800000233</v>
      </c>
      <c r="F2635" s="1" t="str">
        <f>"پستونکي قطره اي"</f>
        <v>پستونکي قطره اي</v>
      </c>
      <c r="G2635" s="1" t="str">
        <f>"عدد"</f>
        <v>عدد</v>
      </c>
      <c r="H2635" s="1">
        <v>20</v>
      </c>
      <c r="I2635" s="1">
        <v>19000</v>
      </c>
      <c r="J2635" s="1">
        <v>0</v>
      </c>
      <c r="K2635" s="1">
        <v>0</v>
      </c>
      <c r="L2635" s="1">
        <v>0</v>
      </c>
      <c r="M2635" s="1">
        <v>0</v>
      </c>
      <c r="O2635" s="1">
        <v>97</v>
      </c>
      <c r="P2635" s="4">
        <f t="shared" si="123"/>
        <v>19000</v>
      </c>
      <c r="Q2635" s="4">
        <f t="shared" si="124"/>
        <v>20</v>
      </c>
      <c r="R2635" s="4">
        <f t="shared" si="125"/>
        <v>950</v>
      </c>
    </row>
    <row r="2636" spans="1:18">
      <c r="A2636" s="1">
        <v>2</v>
      </c>
      <c r="B2636" s="1" t="str">
        <f>"قطعات و لوازم يدكي"</f>
        <v>قطعات و لوازم يدكي</v>
      </c>
      <c r="C2636" s="1">
        <v>205</v>
      </c>
      <c r="D2636" s="1" t="str">
        <f>"انبار قطعات و لوازم يدكي بندرعباس"</f>
        <v>انبار قطعات و لوازم يدكي بندرعباس</v>
      </c>
      <c r="E2636" s="1" t="str">
        <f>"1800000271"</f>
        <v>1800000271</v>
      </c>
      <c r="F2636" s="1" t="str">
        <f>"تابلو سوئيچ کنترل سيار"</f>
        <v>تابلو سوئيچ کنترل سيار</v>
      </c>
      <c r="G2636" s="1" t="str">
        <f>"عدد"</f>
        <v>عدد</v>
      </c>
      <c r="H2636" s="1">
        <v>1</v>
      </c>
      <c r="I2636" s="1">
        <v>350000</v>
      </c>
      <c r="J2636" s="1">
        <v>0</v>
      </c>
      <c r="K2636" s="1">
        <v>0</v>
      </c>
      <c r="L2636" s="1">
        <v>0</v>
      </c>
      <c r="M2636" s="1">
        <v>0</v>
      </c>
      <c r="O2636" s="1">
        <v>97</v>
      </c>
      <c r="P2636" s="4">
        <f t="shared" si="123"/>
        <v>350000</v>
      </c>
      <c r="Q2636" s="4">
        <f t="shared" si="124"/>
        <v>1</v>
      </c>
      <c r="R2636" s="4">
        <f t="shared" si="125"/>
        <v>350000</v>
      </c>
    </row>
    <row r="2637" spans="1:18">
      <c r="A2637" s="1">
        <v>2</v>
      </c>
      <c r="B2637" s="1" t="str">
        <f>"قطعات و لوازم يدكي"</f>
        <v>قطعات و لوازم يدكي</v>
      </c>
      <c r="C2637" s="1">
        <v>205</v>
      </c>
      <c r="D2637" s="1" t="str">
        <f>"انبار قطعات و لوازم يدكي بندرعباس"</f>
        <v>انبار قطعات و لوازم يدكي بندرعباس</v>
      </c>
      <c r="E2637" s="1" t="str">
        <f>"1800000279"</f>
        <v>1800000279</v>
      </c>
      <c r="F2637" s="1" t="str">
        <f>"تبديل مغزي 3/8*1/2"</f>
        <v>تبديل مغزي 3/8*1/2</v>
      </c>
      <c r="G2637" s="1" t="str">
        <f>"عدد"</f>
        <v>عدد</v>
      </c>
      <c r="H2637" s="1">
        <v>16</v>
      </c>
      <c r="I2637" s="1">
        <v>4800000</v>
      </c>
      <c r="J2637" s="1">
        <v>0</v>
      </c>
      <c r="K2637" s="1">
        <v>0</v>
      </c>
      <c r="L2637" s="1">
        <v>6</v>
      </c>
      <c r="M2637" s="1">
        <v>1800000</v>
      </c>
      <c r="O2637" s="1">
        <v>97</v>
      </c>
      <c r="P2637" s="4">
        <f t="shared" si="123"/>
        <v>3000000</v>
      </c>
      <c r="Q2637" s="4">
        <f t="shared" si="124"/>
        <v>10</v>
      </c>
      <c r="R2637" s="4">
        <f t="shared" si="125"/>
        <v>300000</v>
      </c>
    </row>
    <row r="2638" spans="1:18">
      <c r="A2638" s="1">
        <v>2</v>
      </c>
      <c r="B2638" s="1" t="str">
        <f>"قطعات و لوازم يدكي"</f>
        <v>قطعات و لوازم يدكي</v>
      </c>
      <c r="C2638" s="1">
        <v>205</v>
      </c>
      <c r="D2638" s="1" t="str">
        <f>"انبار قطعات و لوازم يدكي بندرعباس"</f>
        <v>انبار قطعات و لوازم يدكي بندرعباس</v>
      </c>
      <c r="E2638" s="1" t="str">
        <f>"1800000285"</f>
        <v>1800000285</v>
      </c>
      <c r="F2638" s="1" t="str">
        <f>"ولدولت 1/2*2-2"</f>
        <v>ولدولت 1/2*2-2</v>
      </c>
      <c r="G2638" s="1" t="str">
        <f>"عدد"</f>
        <v>عدد</v>
      </c>
      <c r="H2638" s="1">
        <v>2</v>
      </c>
      <c r="I2638" s="1">
        <v>734876</v>
      </c>
      <c r="J2638" s="1">
        <v>0</v>
      </c>
      <c r="K2638" s="1">
        <v>0</v>
      </c>
      <c r="L2638" s="1">
        <v>0</v>
      </c>
      <c r="M2638" s="1">
        <v>0</v>
      </c>
      <c r="O2638" s="1">
        <v>97</v>
      </c>
      <c r="P2638" s="4">
        <f t="shared" si="123"/>
        <v>734876</v>
      </c>
      <c r="Q2638" s="4">
        <f t="shared" si="124"/>
        <v>2</v>
      </c>
      <c r="R2638" s="4">
        <f t="shared" si="125"/>
        <v>367438</v>
      </c>
    </row>
    <row r="2639" spans="1:18">
      <c r="A2639" s="1">
        <v>2</v>
      </c>
      <c r="B2639" s="1" t="str">
        <f>"قطعات و لوازم يدكي"</f>
        <v>قطعات و لوازم يدكي</v>
      </c>
      <c r="C2639" s="1">
        <v>205</v>
      </c>
      <c r="D2639" s="1" t="str">
        <f>"انبار قطعات و لوازم يدكي بندرعباس"</f>
        <v>انبار قطعات و لوازم يدكي بندرعباس</v>
      </c>
      <c r="E2639" s="1" t="str">
        <f>"1800000291"</f>
        <v>1800000291</v>
      </c>
      <c r="F2639" s="1" t="str">
        <f>"ترمينا پلاستيکي برق 16"</f>
        <v>ترمينا پلاستيکي برق 16</v>
      </c>
      <c r="G2639" s="1" t="str">
        <f>"شاخه"</f>
        <v>شاخه</v>
      </c>
      <c r="H2639" s="1">
        <v>4</v>
      </c>
      <c r="I2639" s="1">
        <v>80000</v>
      </c>
      <c r="J2639" s="1">
        <v>0</v>
      </c>
      <c r="K2639" s="1">
        <v>0</v>
      </c>
      <c r="L2639" s="1">
        <v>1</v>
      </c>
      <c r="M2639" s="1">
        <v>20000</v>
      </c>
      <c r="O2639" s="1">
        <v>97</v>
      </c>
      <c r="P2639" s="4">
        <f t="shared" si="123"/>
        <v>60000</v>
      </c>
      <c r="Q2639" s="4">
        <f t="shared" si="124"/>
        <v>3</v>
      </c>
      <c r="R2639" s="4">
        <f t="shared" si="125"/>
        <v>20000</v>
      </c>
    </row>
    <row r="2640" spans="1:18">
      <c r="A2640" s="1">
        <v>2</v>
      </c>
      <c r="B2640" s="1" t="str">
        <f>"قطعات و لوازم يدكي"</f>
        <v>قطعات و لوازم يدكي</v>
      </c>
      <c r="C2640" s="1">
        <v>205</v>
      </c>
      <c r="D2640" s="1" t="str">
        <f>"انبار قطعات و لوازم يدكي بندرعباس"</f>
        <v>انبار قطعات و لوازم يدكي بندرعباس</v>
      </c>
      <c r="E2640" s="1" t="str">
        <f>"1800000322"</f>
        <v>1800000322</v>
      </c>
      <c r="F2640" s="1" t="str">
        <f>"چسب مزدا"</f>
        <v>چسب مزدا</v>
      </c>
      <c r="G2640" s="1" t="str">
        <f>"عدد"</f>
        <v>عدد</v>
      </c>
      <c r="H2640" s="1">
        <v>6</v>
      </c>
      <c r="I2640" s="1">
        <v>330000</v>
      </c>
      <c r="J2640" s="1">
        <v>5</v>
      </c>
      <c r="K2640" s="1">
        <v>350000</v>
      </c>
      <c r="L2640" s="1">
        <v>9</v>
      </c>
      <c r="M2640" s="1">
        <v>556363</v>
      </c>
      <c r="O2640" s="1">
        <v>97</v>
      </c>
      <c r="P2640" s="4">
        <f t="shared" si="123"/>
        <v>123637</v>
      </c>
      <c r="Q2640" s="4">
        <f t="shared" si="124"/>
        <v>2</v>
      </c>
      <c r="R2640" s="4">
        <f t="shared" si="125"/>
        <v>61818.5</v>
      </c>
    </row>
    <row r="2641" spans="1:18" hidden="1">
      <c r="A2641" s="1">
        <v>2</v>
      </c>
      <c r="B2641" s="1" t="str">
        <f>"قطعات و لوازم يدكي"</f>
        <v>قطعات و لوازم يدكي</v>
      </c>
      <c r="C2641" s="1">
        <v>205</v>
      </c>
      <c r="D2641" s="1" t="str">
        <f>"انبار قطعات و لوازم يدكي بندرعباس"</f>
        <v>انبار قطعات و لوازم يدكي بندرعباس</v>
      </c>
      <c r="E2641" s="1" t="str">
        <f>"1800000336"</f>
        <v>1800000336</v>
      </c>
      <c r="F2641" s="1" t="str">
        <f>"دستکش کف pvc"</f>
        <v>دستکش کف pvc</v>
      </c>
      <c r="G2641" s="1" t="str">
        <f>"عدد"</f>
        <v>عدد</v>
      </c>
      <c r="H2641" s="1">
        <v>43</v>
      </c>
      <c r="I2641" s="1">
        <v>5160000</v>
      </c>
      <c r="J2641" s="1">
        <v>6</v>
      </c>
      <c r="K2641" s="1">
        <v>360000</v>
      </c>
      <c r="L2641" s="1">
        <v>49</v>
      </c>
      <c r="M2641" s="1">
        <v>5520000</v>
      </c>
      <c r="O2641" s="1">
        <v>97</v>
      </c>
      <c r="P2641" s="1">
        <f t="shared" si="123"/>
        <v>0</v>
      </c>
      <c r="Q2641" s="1">
        <f t="shared" si="124"/>
        <v>0</v>
      </c>
      <c r="R2641" s="1" t="e">
        <f t="shared" si="125"/>
        <v>#DIV/0!</v>
      </c>
    </row>
    <row r="2642" spans="1:18" hidden="1">
      <c r="A2642" s="1">
        <v>2</v>
      </c>
      <c r="B2642" s="1" t="str">
        <f>"قطعات و لوازم يدكي"</f>
        <v>قطعات و لوازم يدكي</v>
      </c>
      <c r="C2642" s="1">
        <v>205</v>
      </c>
      <c r="D2642" s="1" t="str">
        <f>"انبار قطعات و لوازم يدكي بندرعباس"</f>
        <v>انبار قطعات و لوازم يدكي بندرعباس</v>
      </c>
      <c r="E2642" s="1" t="str">
        <f>"1800000341"</f>
        <v>1800000341</v>
      </c>
      <c r="F2642" s="1" t="str">
        <f>"دينام موتوژن 3"</f>
        <v>دينام موتوژن 3</v>
      </c>
      <c r="G2642" s="1" t="str">
        <f>"دستگاه"</f>
        <v>دستگاه</v>
      </c>
      <c r="H2642" s="1">
        <v>1</v>
      </c>
      <c r="I2642" s="1">
        <v>1500000</v>
      </c>
      <c r="J2642" s="1">
        <v>0</v>
      </c>
      <c r="K2642" s="1">
        <v>0</v>
      </c>
      <c r="L2642" s="1">
        <v>1</v>
      </c>
      <c r="M2642" s="1">
        <v>1500000</v>
      </c>
      <c r="O2642" s="1">
        <v>97</v>
      </c>
      <c r="P2642" s="1">
        <f t="shared" si="123"/>
        <v>0</v>
      </c>
      <c r="Q2642" s="1">
        <f t="shared" si="124"/>
        <v>0</v>
      </c>
      <c r="R2642" s="1" t="e">
        <f t="shared" si="125"/>
        <v>#DIV/0!</v>
      </c>
    </row>
    <row r="2643" spans="1:18">
      <c r="A2643" s="1">
        <v>2</v>
      </c>
      <c r="B2643" s="1" t="str">
        <f>"قطعات و لوازم يدكي"</f>
        <v>قطعات و لوازم يدكي</v>
      </c>
      <c r="C2643" s="1">
        <v>205</v>
      </c>
      <c r="D2643" s="1" t="str">
        <f>"انبار قطعات و لوازم يدكي بندرعباس"</f>
        <v>انبار قطعات و لوازم يدكي بندرعباس</v>
      </c>
      <c r="E2643" s="1" t="str">
        <f>"1800000346"</f>
        <v>1800000346</v>
      </c>
      <c r="F2643" s="1" t="str">
        <f>"رتورن 1"</f>
        <v>رتورن 1</v>
      </c>
      <c r="G2643" s="1" t="str">
        <f>"عدد"</f>
        <v>عدد</v>
      </c>
      <c r="H2643" s="1">
        <v>4</v>
      </c>
      <c r="I2643" s="1">
        <v>800000</v>
      </c>
      <c r="J2643" s="1">
        <v>0</v>
      </c>
      <c r="K2643" s="1">
        <v>0</v>
      </c>
      <c r="L2643" s="1">
        <v>0</v>
      </c>
      <c r="M2643" s="1">
        <v>0</v>
      </c>
      <c r="O2643" s="1">
        <v>97</v>
      </c>
      <c r="P2643" s="4">
        <f t="shared" si="123"/>
        <v>800000</v>
      </c>
      <c r="Q2643" s="4">
        <f t="shared" si="124"/>
        <v>4</v>
      </c>
      <c r="R2643" s="4">
        <f t="shared" si="125"/>
        <v>200000</v>
      </c>
    </row>
    <row r="2644" spans="1:18">
      <c r="A2644" s="1">
        <v>2</v>
      </c>
      <c r="B2644" s="1" t="str">
        <f>"قطعات و لوازم يدكي"</f>
        <v>قطعات و لوازم يدكي</v>
      </c>
      <c r="C2644" s="1">
        <v>205</v>
      </c>
      <c r="D2644" s="1" t="str">
        <f>"انبار قطعات و لوازم يدكي بندرعباس"</f>
        <v>انبار قطعات و لوازم يدكي بندرعباس</v>
      </c>
      <c r="E2644" s="1" t="str">
        <f>"1800000347"</f>
        <v>1800000347</v>
      </c>
      <c r="F2644" s="1" t="str">
        <f>"رتورن 1/2*1"</f>
        <v>رتورن 1/2*1</v>
      </c>
      <c r="G2644" s="1" t="str">
        <f>"عدد"</f>
        <v>عدد</v>
      </c>
      <c r="H2644" s="1">
        <v>2</v>
      </c>
      <c r="I2644" s="1">
        <v>600000</v>
      </c>
      <c r="J2644" s="1">
        <v>0</v>
      </c>
      <c r="K2644" s="1">
        <v>0</v>
      </c>
      <c r="L2644" s="1">
        <v>0</v>
      </c>
      <c r="M2644" s="1">
        <v>0</v>
      </c>
      <c r="O2644" s="1">
        <v>97</v>
      </c>
      <c r="P2644" s="4">
        <f t="shared" si="123"/>
        <v>600000</v>
      </c>
      <c r="Q2644" s="4">
        <f t="shared" si="124"/>
        <v>2</v>
      </c>
      <c r="R2644" s="4">
        <f t="shared" si="125"/>
        <v>300000</v>
      </c>
    </row>
    <row r="2645" spans="1:18">
      <c r="A2645" s="1">
        <v>2</v>
      </c>
      <c r="B2645" s="1" t="str">
        <f>"قطعات و لوازم يدكي"</f>
        <v>قطعات و لوازم يدكي</v>
      </c>
      <c r="C2645" s="1">
        <v>101</v>
      </c>
      <c r="D2645" s="1" t="str">
        <f>"انبار قطعات و لوازم يدكي اصفهان"</f>
        <v>انبار قطعات و لوازم يدكي اصفهان</v>
      </c>
      <c r="E2645" s="1" t="str">
        <f>"7640490102"</f>
        <v>7640490102</v>
      </c>
      <c r="F2645" s="1" t="str">
        <f>"FROL BACK FROL 3/4"</f>
        <v>FROL BACK FROL 3/4</v>
      </c>
      <c r="G2645" s="1" t="str">
        <f>"عدد"</f>
        <v>عدد</v>
      </c>
      <c r="H2645" s="1">
        <v>16</v>
      </c>
      <c r="I2645" s="1">
        <v>632000</v>
      </c>
      <c r="J2645" s="1">
        <v>183</v>
      </c>
      <c r="K2645" s="1">
        <v>32238500</v>
      </c>
      <c r="L2645" s="1">
        <v>8</v>
      </c>
      <c r="M2645" s="1">
        <v>561217</v>
      </c>
      <c r="O2645" s="1">
        <v>97</v>
      </c>
      <c r="P2645" s="4">
        <f t="shared" si="123"/>
        <v>32309283</v>
      </c>
      <c r="Q2645" s="4">
        <f t="shared" si="124"/>
        <v>191</v>
      </c>
      <c r="R2645" s="4">
        <f t="shared" si="125"/>
        <v>169158.54973821988</v>
      </c>
    </row>
    <row r="2646" spans="1:18" hidden="1">
      <c r="A2646" s="1">
        <v>2</v>
      </c>
      <c r="B2646" s="1" t="str">
        <f>"قطعات و لوازم يدكي"</f>
        <v>قطعات و لوازم يدكي</v>
      </c>
      <c r="C2646" s="1">
        <v>101</v>
      </c>
      <c r="D2646" s="1" t="str">
        <f>"انبار قطعات و لوازم يدكي اصفهان"</f>
        <v>انبار قطعات و لوازم يدكي اصفهان</v>
      </c>
      <c r="E2646" s="1" t="str">
        <f>"7640840622"</f>
        <v>7640840622</v>
      </c>
      <c r="F2646" s="1" t="str">
        <f>"استد تي 3/8*3/8 (MALE)"</f>
        <v>استد تي 3/8*3/8 (MALE)</v>
      </c>
      <c r="G2646" s="1" t="str">
        <f>"عدد"</f>
        <v>عدد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O2646" s="1">
        <v>97</v>
      </c>
      <c r="P2646" s="1">
        <f t="shared" si="123"/>
        <v>0</v>
      </c>
      <c r="Q2646" s="1">
        <f t="shared" si="124"/>
        <v>0</v>
      </c>
      <c r="R2646" s="1" t="e">
        <f t="shared" si="125"/>
        <v>#DIV/0!</v>
      </c>
    </row>
    <row r="2647" spans="1:18">
      <c r="A2647" s="1">
        <v>2</v>
      </c>
      <c r="B2647" s="1" t="str">
        <f>"قطعات و لوازم يدكي"</f>
        <v>قطعات و لوازم يدكي</v>
      </c>
      <c r="C2647" s="1">
        <v>101</v>
      </c>
      <c r="D2647" s="1" t="str">
        <f>"انبار قطعات و لوازم يدكي اصفهان"</f>
        <v>انبار قطعات و لوازم يدكي اصفهان</v>
      </c>
      <c r="E2647" s="1" t="str">
        <f>"7662300602"</f>
        <v>7662300602</v>
      </c>
      <c r="F2647" s="1" t="s">
        <v>156</v>
      </c>
      <c r="G2647" s="1" t="str">
        <f>"عدد"</f>
        <v>عدد</v>
      </c>
      <c r="H2647" s="1">
        <v>12</v>
      </c>
      <c r="I2647" s="1">
        <v>1200000</v>
      </c>
      <c r="J2647" s="1">
        <v>0</v>
      </c>
      <c r="K2647" s="1">
        <v>0</v>
      </c>
      <c r="L2647" s="1">
        <v>0</v>
      </c>
      <c r="M2647" s="1">
        <v>0</v>
      </c>
      <c r="O2647" s="1">
        <v>97</v>
      </c>
      <c r="P2647" s="4">
        <f t="shared" si="123"/>
        <v>1200000</v>
      </c>
      <c r="Q2647" s="4">
        <f t="shared" si="124"/>
        <v>12</v>
      </c>
      <c r="R2647" s="4">
        <f t="shared" si="125"/>
        <v>100000</v>
      </c>
    </row>
    <row r="2648" spans="1:18">
      <c r="A2648" s="1">
        <v>2</v>
      </c>
      <c r="B2648" s="1" t="str">
        <f>"قطعات و لوازم يدكي"</f>
        <v>قطعات و لوازم يدكي</v>
      </c>
      <c r="C2648" s="1">
        <v>101</v>
      </c>
      <c r="D2648" s="1" t="str">
        <f>"انبار قطعات و لوازم يدكي اصفهان"</f>
        <v>انبار قطعات و لوازم يدكي اصفهان</v>
      </c>
      <c r="E2648" s="1" t="str">
        <f>"7662400522"</f>
        <v>7662400522</v>
      </c>
      <c r="F2648" s="1" t="str">
        <f>"فلنج 6*4 اينچ 150"</f>
        <v>فلنج 6*4 اينچ 150</v>
      </c>
      <c r="G2648" s="1" t="str">
        <f>"عدد"</f>
        <v>عدد</v>
      </c>
      <c r="H2648" s="1">
        <v>7</v>
      </c>
      <c r="I2648" s="1">
        <v>5638889</v>
      </c>
      <c r="J2648" s="1">
        <v>0</v>
      </c>
      <c r="K2648" s="1">
        <v>0</v>
      </c>
      <c r="L2648" s="1">
        <v>5</v>
      </c>
      <c r="M2648" s="1">
        <v>4027778</v>
      </c>
      <c r="O2648" s="1">
        <v>97</v>
      </c>
      <c r="P2648" s="4">
        <f t="shared" si="123"/>
        <v>1611111</v>
      </c>
      <c r="Q2648" s="4">
        <f t="shared" si="124"/>
        <v>2</v>
      </c>
      <c r="R2648" s="4">
        <f t="shared" si="125"/>
        <v>805555.5</v>
      </c>
    </row>
    <row r="2649" spans="1:18">
      <c r="A2649" s="1">
        <v>2</v>
      </c>
      <c r="B2649" s="1" t="str">
        <f>"قطعات و لوازم يدكي"</f>
        <v>قطعات و لوازم يدكي</v>
      </c>
      <c r="C2649" s="1">
        <v>101</v>
      </c>
      <c r="D2649" s="1" t="str">
        <f>"انبار قطعات و لوازم يدكي اصفهان"</f>
        <v>انبار قطعات و لوازم يدكي اصفهان</v>
      </c>
      <c r="E2649" s="1" t="str">
        <f>"7662400802"</f>
        <v>7662400802</v>
      </c>
      <c r="F2649" s="1" t="str">
        <f>"R.D FLANG 8*10 CL150"</f>
        <v>R.D FLANG 8*10 CL150</v>
      </c>
      <c r="G2649" s="1" t="str">
        <f>"عدد"</f>
        <v>عدد</v>
      </c>
      <c r="H2649" s="1">
        <v>0</v>
      </c>
      <c r="I2649" s="1">
        <v>0</v>
      </c>
      <c r="J2649" s="1">
        <v>4</v>
      </c>
      <c r="K2649" s="1">
        <v>14800000</v>
      </c>
      <c r="L2649" s="1">
        <v>0</v>
      </c>
      <c r="M2649" s="1">
        <v>0</v>
      </c>
      <c r="O2649" s="1">
        <v>97</v>
      </c>
      <c r="P2649" s="4">
        <f t="shared" si="123"/>
        <v>14800000</v>
      </c>
      <c r="Q2649" s="4">
        <f t="shared" si="124"/>
        <v>4</v>
      </c>
      <c r="R2649" s="4">
        <f t="shared" si="125"/>
        <v>3700000</v>
      </c>
    </row>
    <row r="2650" spans="1:18">
      <c r="A2650" s="1">
        <v>2</v>
      </c>
      <c r="B2650" s="1" t="str">
        <f>"قطعات و لوازم يدكي"</f>
        <v>قطعات و لوازم يدكي</v>
      </c>
      <c r="C2650" s="1">
        <v>101</v>
      </c>
      <c r="D2650" s="1" t="str">
        <f>"انبار قطعات و لوازم يدكي اصفهان"</f>
        <v>انبار قطعات و لوازم يدكي اصفهان</v>
      </c>
      <c r="E2650" s="1" t="str">
        <f>"7662702162"</f>
        <v>7662702162</v>
      </c>
      <c r="F2650" s="1" t="s">
        <v>157</v>
      </c>
      <c r="G2650" s="1" t="str">
        <f>"عدد"</f>
        <v>عدد</v>
      </c>
      <c r="H2650" s="1">
        <v>29</v>
      </c>
      <c r="I2650" s="1">
        <v>6925397</v>
      </c>
      <c r="J2650" s="1">
        <v>2</v>
      </c>
      <c r="K2650" s="1">
        <v>477613</v>
      </c>
      <c r="L2650" s="1">
        <v>8</v>
      </c>
      <c r="M2650" s="1">
        <v>1910455</v>
      </c>
      <c r="O2650" s="1">
        <v>97</v>
      </c>
      <c r="P2650" s="4">
        <f t="shared" si="123"/>
        <v>5492555</v>
      </c>
      <c r="Q2650" s="4">
        <f t="shared" si="124"/>
        <v>23</v>
      </c>
      <c r="R2650" s="4">
        <f t="shared" si="125"/>
        <v>238806.73913043478</v>
      </c>
    </row>
    <row r="2651" spans="1:18">
      <c r="A2651" s="1">
        <v>2</v>
      </c>
      <c r="B2651" s="1" t="str">
        <f>"قطعات و لوازم يدكي"</f>
        <v>قطعات و لوازم يدكي</v>
      </c>
      <c r="C2651" s="1">
        <v>101</v>
      </c>
      <c r="D2651" s="1" t="str">
        <f>"انبار قطعات و لوازم يدكي اصفهان"</f>
        <v>انبار قطعات و لوازم يدكي اصفهان</v>
      </c>
      <c r="E2651" s="1" t="str">
        <f>"7662795722"</f>
        <v>7662795722</v>
      </c>
      <c r="F2651" s="1" t="s">
        <v>158</v>
      </c>
      <c r="G2651" s="1" t="str">
        <f>"عدد"</f>
        <v>عدد</v>
      </c>
      <c r="H2651" s="1">
        <v>5</v>
      </c>
      <c r="I2651" s="1">
        <v>218500</v>
      </c>
      <c r="J2651" s="1">
        <v>0</v>
      </c>
      <c r="K2651" s="1">
        <v>0</v>
      </c>
      <c r="L2651" s="1">
        <v>0</v>
      </c>
      <c r="M2651" s="1">
        <v>0</v>
      </c>
      <c r="O2651" s="1">
        <v>97</v>
      </c>
      <c r="P2651" s="4">
        <f t="shared" si="123"/>
        <v>218500</v>
      </c>
      <c r="Q2651" s="4">
        <f t="shared" si="124"/>
        <v>5</v>
      </c>
      <c r="R2651" s="4">
        <f t="shared" si="125"/>
        <v>43700</v>
      </c>
    </row>
    <row r="2652" spans="1:18">
      <c r="A2652" s="1">
        <v>2</v>
      </c>
      <c r="B2652" s="1" t="str">
        <f>"قطعات و لوازم يدكي"</f>
        <v>قطعات و لوازم يدكي</v>
      </c>
      <c r="C2652" s="1">
        <v>101</v>
      </c>
      <c r="D2652" s="1" t="str">
        <f>"انبار قطعات و لوازم يدكي اصفهان"</f>
        <v>انبار قطعات و لوازم يدكي اصفهان</v>
      </c>
      <c r="E2652" s="1" t="str">
        <f>"7662795742"</f>
        <v>7662795742</v>
      </c>
      <c r="F2652" s="1" t="s">
        <v>159</v>
      </c>
      <c r="G2652" s="1" t="str">
        <f>"عدد"</f>
        <v>عدد</v>
      </c>
      <c r="H2652" s="1">
        <v>11</v>
      </c>
      <c r="I2652" s="1">
        <v>1990000</v>
      </c>
      <c r="J2652" s="1">
        <v>0</v>
      </c>
      <c r="K2652" s="1">
        <v>0</v>
      </c>
      <c r="L2652" s="1">
        <v>0</v>
      </c>
      <c r="M2652" s="1">
        <v>0</v>
      </c>
      <c r="O2652" s="1">
        <v>97</v>
      </c>
      <c r="P2652" s="4">
        <f t="shared" si="123"/>
        <v>1990000</v>
      </c>
      <c r="Q2652" s="4">
        <f t="shared" si="124"/>
        <v>11</v>
      </c>
      <c r="R2652" s="4">
        <f t="shared" si="125"/>
        <v>180909.09090909091</v>
      </c>
    </row>
    <row r="2653" spans="1:18" hidden="1">
      <c r="A2653" s="1">
        <v>2</v>
      </c>
      <c r="B2653" s="1" t="str">
        <f>"قطعات و لوازم يدكي"</f>
        <v>قطعات و لوازم يدكي</v>
      </c>
      <c r="C2653" s="1">
        <v>101</v>
      </c>
      <c r="D2653" s="1" t="str">
        <f>"انبار قطعات و لوازم يدكي اصفهان"</f>
        <v>انبار قطعات و لوازم يدكي اصفهان</v>
      </c>
      <c r="E2653" s="1" t="str">
        <f>"8100000102"</f>
        <v>8100000102</v>
      </c>
      <c r="F2653" s="1" t="str">
        <f>"ميخ پرچ بسته 50عددي"</f>
        <v>ميخ پرچ بسته 50عددي</v>
      </c>
      <c r="G2653" s="1" t="str">
        <f>"عدد"</f>
        <v>عدد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O2653" s="1">
        <v>97</v>
      </c>
      <c r="P2653" s="1">
        <f t="shared" si="123"/>
        <v>0</v>
      </c>
      <c r="Q2653" s="1">
        <f t="shared" si="124"/>
        <v>0</v>
      </c>
      <c r="R2653" s="1" t="e">
        <f t="shared" si="125"/>
        <v>#DIV/0!</v>
      </c>
    </row>
    <row r="2654" spans="1:18">
      <c r="A2654" s="1">
        <v>2</v>
      </c>
      <c r="B2654" s="1" t="str">
        <f>"قطعات و لوازم يدكي"</f>
        <v>قطعات و لوازم يدكي</v>
      </c>
      <c r="C2654" s="1">
        <v>101</v>
      </c>
      <c r="D2654" s="1" t="str">
        <f>"انبار قطعات و لوازم يدكي اصفهان"</f>
        <v>انبار قطعات و لوازم يدكي اصفهان</v>
      </c>
      <c r="E2654" s="1" t="str">
        <f>"8101013002"</f>
        <v>8101013002</v>
      </c>
      <c r="F2654" s="1" t="str">
        <f>"ماشين بولت p-1601 19/32"</f>
        <v>ماشين بولت p-1601 19/32</v>
      </c>
      <c r="G2654" s="1" t="str">
        <f>"عدد"</f>
        <v>عدد</v>
      </c>
      <c r="H2654" s="1">
        <v>24</v>
      </c>
      <c r="I2654" s="1">
        <v>96000</v>
      </c>
      <c r="J2654" s="1">
        <v>0</v>
      </c>
      <c r="K2654" s="1">
        <v>0</v>
      </c>
      <c r="L2654" s="1">
        <v>0</v>
      </c>
      <c r="M2654" s="1">
        <v>0</v>
      </c>
      <c r="O2654" s="1">
        <v>97</v>
      </c>
      <c r="P2654" s="4">
        <f t="shared" si="123"/>
        <v>96000</v>
      </c>
      <c r="Q2654" s="4">
        <f t="shared" si="124"/>
        <v>24</v>
      </c>
      <c r="R2654" s="4">
        <f t="shared" si="125"/>
        <v>4000</v>
      </c>
    </row>
    <row r="2655" spans="1:18">
      <c r="A2655" s="1">
        <v>2</v>
      </c>
      <c r="B2655" s="1" t="str">
        <f>"قطعات و لوازم يدكي"</f>
        <v>قطعات و لوازم يدكي</v>
      </c>
      <c r="C2655" s="1">
        <v>101</v>
      </c>
      <c r="D2655" s="1" t="str">
        <f>"انبار قطعات و لوازم يدكي اصفهان"</f>
        <v>انبار قطعات و لوازم يدكي اصفهان</v>
      </c>
      <c r="E2655" s="1" t="str">
        <f>"8101014602"</f>
        <v>8101014602</v>
      </c>
      <c r="F2655" s="1" t="str">
        <f>"پيچ و مهره 1/2*205"</f>
        <v>پيچ و مهره 1/2*205</v>
      </c>
      <c r="G2655" s="1" t="str">
        <f>"عدد"</f>
        <v>عدد</v>
      </c>
      <c r="H2655" s="1">
        <v>12</v>
      </c>
      <c r="I2655" s="1">
        <v>1218</v>
      </c>
      <c r="J2655" s="1">
        <v>0</v>
      </c>
      <c r="K2655" s="1">
        <v>0</v>
      </c>
      <c r="L2655" s="1">
        <v>0</v>
      </c>
      <c r="M2655" s="1">
        <v>0</v>
      </c>
      <c r="O2655" s="1">
        <v>97</v>
      </c>
      <c r="P2655" s="4">
        <f t="shared" si="123"/>
        <v>1218</v>
      </c>
      <c r="Q2655" s="4">
        <f t="shared" si="124"/>
        <v>12</v>
      </c>
      <c r="R2655" s="4">
        <f t="shared" si="125"/>
        <v>101.5</v>
      </c>
    </row>
    <row r="2656" spans="1:18">
      <c r="A2656" s="1">
        <v>2</v>
      </c>
      <c r="B2656" s="1" t="str">
        <f>"قطعات و لوازم يدكي"</f>
        <v>قطعات و لوازم يدكي</v>
      </c>
      <c r="C2656" s="1">
        <v>101</v>
      </c>
      <c r="D2656" s="1" t="str">
        <f>"انبار قطعات و لوازم يدكي اصفهان"</f>
        <v>انبار قطعات و لوازم يدكي اصفهان</v>
      </c>
      <c r="E2656" s="1" t="str">
        <f>"8138612342"</f>
        <v>8138612342</v>
      </c>
      <c r="F2656" s="1" t="str">
        <f>"پيچ نگهدارنده 1/2 اينچ 180 ميليمتر"</f>
        <v>پيچ نگهدارنده 1/2 اينچ 180 ميليمتر</v>
      </c>
      <c r="G2656" s="1" t="str">
        <f>"عدد"</f>
        <v>عدد</v>
      </c>
      <c r="H2656" s="1">
        <v>41</v>
      </c>
      <c r="I2656" s="1">
        <v>233700</v>
      </c>
      <c r="J2656" s="1">
        <v>0</v>
      </c>
      <c r="K2656" s="1">
        <v>0</v>
      </c>
      <c r="L2656" s="1">
        <v>10</v>
      </c>
      <c r="M2656" s="1">
        <v>57000</v>
      </c>
      <c r="O2656" s="1">
        <v>97</v>
      </c>
      <c r="P2656" s="4">
        <f t="shared" si="123"/>
        <v>176700</v>
      </c>
      <c r="Q2656" s="4">
        <f t="shared" si="124"/>
        <v>31</v>
      </c>
      <c r="R2656" s="4">
        <f t="shared" si="125"/>
        <v>5700</v>
      </c>
    </row>
    <row r="2657" spans="1:18">
      <c r="A2657" s="1">
        <v>2</v>
      </c>
      <c r="B2657" s="1" t="str">
        <f>"قطعات و لوازم يدكي"</f>
        <v>قطعات و لوازم يدكي</v>
      </c>
      <c r="C2657" s="1">
        <v>101</v>
      </c>
      <c r="D2657" s="1" t="str">
        <f>"انبار قطعات و لوازم يدكي اصفهان"</f>
        <v>انبار قطعات و لوازم يدكي اصفهان</v>
      </c>
      <c r="E2657" s="1" t="str">
        <f>"8138614772"</f>
        <v>8138614772</v>
      </c>
      <c r="F2657" s="1" t="str">
        <f>"پيچ نگهدارنده 3/4 اينچ 130mm"</f>
        <v>پيچ نگهدارنده 3/4 اينچ 130mm</v>
      </c>
      <c r="G2657" s="1" t="str">
        <f>"عدد"</f>
        <v>عدد</v>
      </c>
      <c r="H2657" s="1">
        <v>103</v>
      </c>
      <c r="I2657" s="1">
        <v>4461905</v>
      </c>
      <c r="J2657" s="1">
        <v>390</v>
      </c>
      <c r="K2657" s="1">
        <v>40670000</v>
      </c>
      <c r="L2657" s="1">
        <v>299</v>
      </c>
      <c r="M2657" s="1">
        <v>23753105</v>
      </c>
      <c r="O2657" s="1">
        <v>97</v>
      </c>
      <c r="P2657" s="4">
        <f t="shared" si="123"/>
        <v>21378800</v>
      </c>
      <c r="Q2657" s="4">
        <f t="shared" si="124"/>
        <v>194</v>
      </c>
      <c r="R2657" s="4">
        <f t="shared" si="125"/>
        <v>110200</v>
      </c>
    </row>
    <row r="2658" spans="1:18">
      <c r="A2658" s="1">
        <v>2</v>
      </c>
      <c r="B2658" s="1" t="str">
        <f>"قطعات و لوازم يدكي"</f>
        <v>قطعات و لوازم يدكي</v>
      </c>
      <c r="C2658" s="1">
        <v>101</v>
      </c>
      <c r="D2658" s="1" t="str">
        <f>"انبار قطعات و لوازم يدكي اصفهان"</f>
        <v>انبار قطعات و لوازم يدكي اصفهان</v>
      </c>
      <c r="E2658" s="1" t="str">
        <f>"8138615002"</f>
        <v>8138615002</v>
      </c>
      <c r="F2658" s="1" t="str">
        <f>"پيچ نگهدارنده 3/4 اينچ 240mm"</f>
        <v>پيچ نگهدارنده 3/4 اينچ 240mm</v>
      </c>
      <c r="G2658" s="1" t="str">
        <f>"عدد"</f>
        <v>عدد</v>
      </c>
      <c r="H2658" s="1">
        <v>150</v>
      </c>
      <c r="I2658" s="1">
        <v>10500000</v>
      </c>
      <c r="J2658" s="1">
        <v>7</v>
      </c>
      <c r="K2658" s="1">
        <v>490000</v>
      </c>
      <c r="L2658" s="1">
        <v>32</v>
      </c>
      <c r="M2658" s="1">
        <v>2240000</v>
      </c>
      <c r="O2658" s="1">
        <v>97</v>
      </c>
      <c r="P2658" s="4">
        <f t="shared" si="123"/>
        <v>8750000</v>
      </c>
      <c r="Q2658" s="4">
        <f t="shared" si="124"/>
        <v>125</v>
      </c>
      <c r="R2658" s="4">
        <f t="shared" si="125"/>
        <v>70000</v>
      </c>
    </row>
    <row r="2659" spans="1:18">
      <c r="A2659" s="1">
        <v>2</v>
      </c>
      <c r="B2659" s="1" t="str">
        <f>"قطعات و لوازم يدكي"</f>
        <v>قطعات و لوازم يدكي</v>
      </c>
      <c r="C2659" s="1">
        <v>101</v>
      </c>
      <c r="D2659" s="1" t="str">
        <f>"انبار قطعات و لوازم يدكي اصفهان"</f>
        <v>انبار قطعات و لوازم يدكي اصفهان</v>
      </c>
      <c r="E2659" s="1" t="str">
        <f>"8138617132"</f>
        <v>8138617132</v>
      </c>
      <c r="F2659" s="1" t="str">
        <f>"پيچ نگهدارنده 1 اينچ 120mm"</f>
        <v>پيچ نگهدارنده 1 اينچ 120mm</v>
      </c>
      <c r="G2659" s="1" t="str">
        <f>"عدد"</f>
        <v>عدد</v>
      </c>
      <c r="H2659" s="1">
        <v>54</v>
      </c>
      <c r="I2659" s="1">
        <v>2187239</v>
      </c>
      <c r="J2659" s="1">
        <v>0</v>
      </c>
      <c r="K2659" s="1">
        <v>0</v>
      </c>
      <c r="L2659" s="1">
        <v>0</v>
      </c>
      <c r="M2659" s="1">
        <v>0</v>
      </c>
      <c r="O2659" s="1">
        <v>97</v>
      </c>
      <c r="P2659" s="4">
        <f t="shared" si="123"/>
        <v>2187239</v>
      </c>
      <c r="Q2659" s="4">
        <f t="shared" si="124"/>
        <v>54</v>
      </c>
      <c r="R2659" s="4">
        <f t="shared" si="125"/>
        <v>40504.425925925927</v>
      </c>
    </row>
    <row r="2660" spans="1:18">
      <c r="A2660" s="1">
        <v>2</v>
      </c>
      <c r="B2660" s="1" t="str">
        <f>"قطعات و لوازم يدكي"</f>
        <v>قطعات و لوازم يدكي</v>
      </c>
      <c r="C2660" s="1">
        <v>101</v>
      </c>
      <c r="D2660" s="1" t="str">
        <f>"انبار قطعات و لوازم يدكي اصفهان"</f>
        <v>انبار قطعات و لوازم يدكي اصفهان</v>
      </c>
      <c r="E2660" s="1" t="str">
        <f>"8138617192"</f>
        <v>8138617192</v>
      </c>
      <c r="F2660" s="1" t="str">
        <f>"پيچ نگهدارنده 1 اينچ 150mm"</f>
        <v>پيچ نگهدارنده 1 اينچ 150mm</v>
      </c>
      <c r="G2660" s="1" t="str">
        <f>"عدد"</f>
        <v>عدد</v>
      </c>
      <c r="H2660" s="1">
        <v>44</v>
      </c>
      <c r="I2660" s="1">
        <v>4048000</v>
      </c>
      <c r="J2660" s="1">
        <v>50</v>
      </c>
      <c r="K2660" s="1">
        <v>7680000</v>
      </c>
      <c r="L2660" s="1">
        <v>43</v>
      </c>
      <c r="M2660" s="1">
        <v>4127111</v>
      </c>
      <c r="O2660" s="1">
        <v>97</v>
      </c>
      <c r="P2660" s="4">
        <f t="shared" si="123"/>
        <v>7600889</v>
      </c>
      <c r="Q2660" s="4">
        <f t="shared" si="124"/>
        <v>51</v>
      </c>
      <c r="R2660" s="4">
        <f t="shared" si="125"/>
        <v>149037.03921568627</v>
      </c>
    </row>
    <row r="2661" spans="1:18">
      <c r="A2661" s="1">
        <v>2</v>
      </c>
      <c r="B2661" s="1" t="str">
        <f>"قطعات و لوازم يدكي"</f>
        <v>قطعات و لوازم يدكي</v>
      </c>
      <c r="C2661" s="1">
        <v>101</v>
      </c>
      <c r="D2661" s="1" t="str">
        <f>"انبار قطعات و لوازم يدكي اصفهان"</f>
        <v>انبار قطعات و لوازم يدكي اصفهان</v>
      </c>
      <c r="E2661" s="1" t="str">
        <f>"8138617412"</f>
        <v>8138617412</v>
      </c>
      <c r="F2661" s="1" t="str">
        <f>"پيچ 1 اينچ * 260 ميليمتر"</f>
        <v>پيچ 1 اينچ * 260 ميليمتر</v>
      </c>
      <c r="G2661" s="1" t="str">
        <f>"عدد"</f>
        <v>عدد</v>
      </c>
      <c r="H2661" s="1">
        <v>28</v>
      </c>
      <c r="I2661" s="1">
        <v>598507</v>
      </c>
      <c r="J2661" s="1">
        <v>0</v>
      </c>
      <c r="K2661" s="1">
        <v>0</v>
      </c>
      <c r="L2661" s="1">
        <v>2</v>
      </c>
      <c r="M2661" s="1">
        <v>42750</v>
      </c>
      <c r="O2661" s="1">
        <v>97</v>
      </c>
      <c r="P2661" s="4">
        <f t="shared" si="123"/>
        <v>555757</v>
      </c>
      <c r="Q2661" s="4">
        <f t="shared" si="124"/>
        <v>26</v>
      </c>
      <c r="R2661" s="4">
        <f t="shared" si="125"/>
        <v>21375.26923076923</v>
      </c>
    </row>
    <row r="2662" spans="1:18">
      <c r="A2662" s="1">
        <v>2</v>
      </c>
      <c r="B2662" s="1" t="str">
        <f>"قطعات و لوازم يدكي"</f>
        <v>قطعات و لوازم يدكي</v>
      </c>
      <c r="C2662" s="1">
        <v>101</v>
      </c>
      <c r="D2662" s="1" t="str">
        <f>"انبار قطعات و لوازم يدكي اصفهان"</f>
        <v>انبار قطعات و لوازم يدكي اصفهان</v>
      </c>
      <c r="E2662" s="1" t="str">
        <f>"8138617502"</f>
        <v>8138617502</v>
      </c>
      <c r="F2662" s="1" t="str">
        <f>"پيچ نگهدارنده 1 اينچ * 305 ميليمتر"</f>
        <v>پيچ نگهدارنده 1 اينچ * 305 ميليمتر</v>
      </c>
      <c r="G2662" s="1" t="str">
        <f>"عدد"</f>
        <v>عدد</v>
      </c>
      <c r="H2662" s="1">
        <v>19</v>
      </c>
      <c r="I2662" s="1">
        <v>446742</v>
      </c>
      <c r="J2662" s="1">
        <v>0</v>
      </c>
      <c r="K2662" s="1">
        <v>0</v>
      </c>
      <c r="L2662" s="1">
        <v>0</v>
      </c>
      <c r="M2662" s="1">
        <v>0</v>
      </c>
      <c r="O2662" s="1">
        <v>97</v>
      </c>
      <c r="P2662" s="4">
        <f t="shared" si="123"/>
        <v>446742</v>
      </c>
      <c r="Q2662" s="4">
        <f t="shared" si="124"/>
        <v>19</v>
      </c>
      <c r="R2662" s="4">
        <f t="shared" si="125"/>
        <v>23512.736842105263</v>
      </c>
    </row>
    <row r="2663" spans="1:18">
      <c r="A2663" s="1">
        <v>2</v>
      </c>
      <c r="B2663" s="1" t="str">
        <f>"قطعات و لوازم يدكي"</f>
        <v>قطعات و لوازم يدكي</v>
      </c>
      <c r="C2663" s="1">
        <v>101</v>
      </c>
      <c r="D2663" s="1" t="str">
        <f>"انبار قطعات و لوازم يدكي اصفهان"</f>
        <v>انبار قطعات و لوازم يدكي اصفهان</v>
      </c>
      <c r="E2663" s="1" t="str">
        <f>"8138620302"</f>
        <v>8138620302</v>
      </c>
      <c r="F2663" s="1" t="s">
        <v>160</v>
      </c>
      <c r="G2663" s="1" t="str">
        <f>"عدد"</f>
        <v>عدد</v>
      </c>
      <c r="H2663" s="1">
        <v>0</v>
      </c>
      <c r="I2663" s="1">
        <v>0</v>
      </c>
      <c r="J2663" s="1">
        <v>102</v>
      </c>
      <c r="K2663" s="1">
        <v>40800000</v>
      </c>
      <c r="L2663" s="1">
        <v>60</v>
      </c>
      <c r="M2663" s="1">
        <v>24000000</v>
      </c>
      <c r="O2663" s="1">
        <v>97</v>
      </c>
      <c r="P2663" s="4">
        <f t="shared" si="123"/>
        <v>16800000</v>
      </c>
      <c r="Q2663" s="4">
        <f t="shared" si="124"/>
        <v>42</v>
      </c>
      <c r="R2663" s="4">
        <f t="shared" si="125"/>
        <v>400000</v>
      </c>
    </row>
    <row r="2664" spans="1:18">
      <c r="A2664" s="1">
        <v>2</v>
      </c>
      <c r="B2664" s="1" t="str">
        <f>"قطعات و لوازم يدكي"</f>
        <v>قطعات و لوازم يدكي</v>
      </c>
      <c r="C2664" s="1">
        <v>101</v>
      </c>
      <c r="D2664" s="1" t="str">
        <f>"انبار قطعات و لوازم يدكي اصفهان"</f>
        <v>انبار قطعات و لوازم يدكي اصفهان</v>
      </c>
      <c r="E2664" s="1" t="str">
        <f>"8178010252"</f>
        <v>8178010252</v>
      </c>
      <c r="F2664" s="1" t="s">
        <v>161</v>
      </c>
      <c r="G2664" s="1" t="str">
        <f>"عدد"</f>
        <v>عدد</v>
      </c>
      <c r="H2664" s="1">
        <v>82</v>
      </c>
      <c r="I2664" s="1">
        <v>118900</v>
      </c>
      <c r="J2664" s="1">
        <v>2</v>
      </c>
      <c r="K2664" s="1">
        <v>2900</v>
      </c>
      <c r="L2664" s="1">
        <v>3</v>
      </c>
      <c r="M2664" s="1">
        <v>4350</v>
      </c>
      <c r="O2664" s="1">
        <v>97</v>
      </c>
      <c r="P2664" s="4">
        <f t="shared" si="123"/>
        <v>117450</v>
      </c>
      <c r="Q2664" s="4">
        <f t="shared" si="124"/>
        <v>81</v>
      </c>
      <c r="R2664" s="4">
        <f t="shared" si="125"/>
        <v>1450</v>
      </c>
    </row>
    <row r="2665" spans="1:18">
      <c r="A2665" s="1">
        <v>2</v>
      </c>
      <c r="B2665" s="1" t="str">
        <f>"قطعات و لوازم يدكي"</f>
        <v>قطعات و لوازم يدكي</v>
      </c>
      <c r="C2665" s="1">
        <v>101</v>
      </c>
      <c r="D2665" s="1" t="str">
        <f>"انبار قطعات و لوازم يدكي اصفهان"</f>
        <v>انبار قطعات و لوازم يدكي اصفهان</v>
      </c>
      <c r="E2665" s="1" t="str">
        <f>"8178010302"</f>
        <v>8178010302</v>
      </c>
      <c r="F2665" s="1" t="s">
        <v>162</v>
      </c>
      <c r="G2665" s="1" t="str">
        <f>"عدد"</f>
        <v>عدد</v>
      </c>
      <c r="H2665" s="1">
        <v>100</v>
      </c>
      <c r="I2665" s="1">
        <v>190000</v>
      </c>
      <c r="J2665" s="1">
        <v>0</v>
      </c>
      <c r="K2665" s="1">
        <v>0</v>
      </c>
      <c r="L2665" s="1">
        <v>0</v>
      </c>
      <c r="M2665" s="1">
        <v>0</v>
      </c>
      <c r="O2665" s="1">
        <v>97</v>
      </c>
      <c r="P2665" s="4">
        <f t="shared" si="123"/>
        <v>190000</v>
      </c>
      <c r="Q2665" s="4">
        <f t="shared" si="124"/>
        <v>100</v>
      </c>
      <c r="R2665" s="4">
        <f t="shared" si="125"/>
        <v>1900</v>
      </c>
    </row>
    <row r="2666" spans="1:18">
      <c r="A2666" s="1">
        <v>2</v>
      </c>
      <c r="B2666" s="1" t="str">
        <f>"قطعات و لوازم يدكي"</f>
        <v>قطعات و لوازم يدكي</v>
      </c>
      <c r="C2666" s="1">
        <v>101</v>
      </c>
      <c r="D2666" s="1" t="str">
        <f>"انبار قطعات و لوازم يدكي اصفهان"</f>
        <v>انبار قطعات و لوازم يدكي اصفهان</v>
      </c>
      <c r="E2666" s="1" t="str">
        <f>"8178120182"</f>
        <v>8178120182</v>
      </c>
      <c r="F2666" s="1" t="str">
        <f>"واشر فنري 5/8"</f>
        <v>واشر فنري 5/8</v>
      </c>
      <c r="G2666" s="1" t="str">
        <f>"عدد"</f>
        <v>عدد</v>
      </c>
      <c r="H2666" s="1">
        <v>44</v>
      </c>
      <c r="I2666" s="1">
        <v>6600</v>
      </c>
      <c r="J2666" s="1">
        <v>0</v>
      </c>
      <c r="K2666" s="1">
        <v>0</v>
      </c>
      <c r="L2666" s="1">
        <v>0</v>
      </c>
      <c r="M2666" s="1">
        <v>0</v>
      </c>
      <c r="O2666" s="1">
        <v>97</v>
      </c>
      <c r="P2666" s="4">
        <f t="shared" si="123"/>
        <v>6600</v>
      </c>
      <c r="Q2666" s="4">
        <f t="shared" si="124"/>
        <v>44</v>
      </c>
      <c r="R2666" s="4">
        <f t="shared" si="125"/>
        <v>150</v>
      </c>
    </row>
    <row r="2667" spans="1:18">
      <c r="A2667" s="1">
        <v>2</v>
      </c>
      <c r="B2667" s="1" t="str">
        <f>"قطعات و لوازم يدكي"</f>
        <v>قطعات و لوازم يدكي</v>
      </c>
      <c r="C2667" s="1">
        <v>101</v>
      </c>
      <c r="D2667" s="1" t="str">
        <f>"انبار قطعات و لوازم يدكي اصفهان"</f>
        <v>انبار قطعات و لوازم يدكي اصفهان</v>
      </c>
      <c r="E2667" s="1" t="str">
        <f>"8178120222"</f>
        <v>8178120222</v>
      </c>
      <c r="F2667" s="1" t="str">
        <f>"واشر فنري 7/8"</f>
        <v>واشر فنري 7/8</v>
      </c>
      <c r="G2667" s="1" t="str">
        <f>"عدد"</f>
        <v>عدد</v>
      </c>
      <c r="H2667" s="1">
        <v>100</v>
      </c>
      <c r="I2667" s="1">
        <v>38000</v>
      </c>
      <c r="J2667" s="1">
        <v>0</v>
      </c>
      <c r="K2667" s="1">
        <v>0</v>
      </c>
      <c r="L2667" s="1">
        <v>0</v>
      </c>
      <c r="M2667" s="1">
        <v>0</v>
      </c>
      <c r="O2667" s="1">
        <v>97</v>
      </c>
      <c r="P2667" s="4">
        <f t="shared" si="123"/>
        <v>38000</v>
      </c>
      <c r="Q2667" s="4">
        <f t="shared" si="124"/>
        <v>100</v>
      </c>
      <c r="R2667" s="4">
        <f t="shared" si="125"/>
        <v>380</v>
      </c>
    </row>
    <row r="2668" spans="1:18" hidden="1">
      <c r="A2668" s="1">
        <v>2</v>
      </c>
      <c r="B2668" s="1" t="str">
        <f>"قطعات و لوازم يدكي"</f>
        <v>قطعات و لوازم يدكي</v>
      </c>
      <c r="C2668" s="1">
        <v>101</v>
      </c>
      <c r="D2668" s="1" t="str">
        <f>"انبار قطعات و لوازم يدكي اصفهان"</f>
        <v>انبار قطعات و لوازم يدكي اصفهان</v>
      </c>
      <c r="E2668" s="1" t="str">
        <f>"8301010292"</f>
        <v>8301010292</v>
      </c>
      <c r="F2668" s="1" t="str">
        <f>"باطري 100 آمپر"</f>
        <v>باطري 100 آمپر</v>
      </c>
      <c r="G2668" s="1" t="str">
        <f>"عدد"</f>
        <v>عدد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O2668" s="1">
        <v>97</v>
      </c>
      <c r="P2668" s="1">
        <f t="shared" si="123"/>
        <v>0</v>
      </c>
      <c r="Q2668" s="1">
        <f t="shared" si="124"/>
        <v>0</v>
      </c>
      <c r="R2668" s="1" t="e">
        <f t="shared" si="125"/>
        <v>#DIV/0!</v>
      </c>
    </row>
    <row r="2669" spans="1:18">
      <c r="A2669" s="1">
        <v>2</v>
      </c>
      <c r="B2669" s="1" t="str">
        <f>"قطعات و لوازم يدكي"</f>
        <v>قطعات و لوازم يدكي</v>
      </c>
      <c r="C2669" s="1">
        <v>101</v>
      </c>
      <c r="D2669" s="1" t="str">
        <f>"انبار قطعات و لوازم يدكي اصفهان"</f>
        <v>انبار قطعات و لوازم يدكي اصفهان</v>
      </c>
      <c r="E2669" s="1" t="str">
        <f>"8301020302"</f>
        <v>8301020302</v>
      </c>
      <c r="F2669" s="1" t="str">
        <f>"فيلتر روغن کمپرسور 1003C"</f>
        <v>فيلتر روغن کمپرسور 1003C</v>
      </c>
      <c r="G2669" s="1" t="str">
        <f>"عدد"</f>
        <v>عدد</v>
      </c>
      <c r="H2669" s="1">
        <v>1</v>
      </c>
      <c r="I2669" s="1">
        <v>100000</v>
      </c>
      <c r="J2669" s="1">
        <v>0</v>
      </c>
      <c r="K2669" s="1">
        <v>0</v>
      </c>
      <c r="L2669" s="1">
        <v>0</v>
      </c>
      <c r="M2669" s="1">
        <v>0</v>
      </c>
      <c r="O2669" s="1">
        <v>97</v>
      </c>
      <c r="P2669" s="4">
        <f t="shared" si="123"/>
        <v>100000</v>
      </c>
      <c r="Q2669" s="4">
        <f t="shared" si="124"/>
        <v>1</v>
      </c>
      <c r="R2669" s="4">
        <f t="shared" si="125"/>
        <v>100000</v>
      </c>
    </row>
    <row r="2670" spans="1:18" hidden="1">
      <c r="A2670" s="1">
        <v>2</v>
      </c>
      <c r="B2670" s="1" t="str">
        <f>"قطعات و لوازم يدكي"</f>
        <v>قطعات و لوازم يدكي</v>
      </c>
      <c r="C2670" s="1">
        <v>101</v>
      </c>
      <c r="D2670" s="1" t="str">
        <f>"انبار قطعات و لوازم يدكي اصفهان"</f>
        <v>انبار قطعات و لوازم يدكي اصفهان</v>
      </c>
      <c r="E2670" s="1" t="str">
        <f>"8301020322"</f>
        <v>8301020322</v>
      </c>
      <c r="F2670" s="1" t="str">
        <f>"آب راديات"</f>
        <v>آب راديات</v>
      </c>
      <c r="G2670" s="1" t="str">
        <f>"ليتر"</f>
        <v>ليتر</v>
      </c>
      <c r="H2670" s="1">
        <v>0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O2670" s="1">
        <v>97</v>
      </c>
      <c r="P2670" s="1">
        <f t="shared" si="123"/>
        <v>0</v>
      </c>
      <c r="Q2670" s="1">
        <f t="shared" si="124"/>
        <v>0</v>
      </c>
      <c r="R2670" s="1" t="e">
        <f t="shared" si="125"/>
        <v>#DIV/0!</v>
      </c>
    </row>
    <row r="2671" spans="1:18" hidden="1">
      <c r="A2671" s="1">
        <v>2</v>
      </c>
      <c r="B2671" s="1" t="str">
        <f>"قطعات و لوازم يدكي"</f>
        <v>قطعات و لوازم يدكي</v>
      </c>
      <c r="C2671" s="1">
        <v>101</v>
      </c>
      <c r="D2671" s="1" t="str">
        <f>"انبار قطعات و لوازم يدكي اصفهان"</f>
        <v>انبار قطعات و لوازم يدكي اصفهان</v>
      </c>
      <c r="E2671" s="1" t="str">
        <f>"8501135542"</f>
        <v>8501135542</v>
      </c>
      <c r="F2671" s="1" t="str">
        <f>"پاكينگ ASB 3 ميليمتر"</f>
        <v>پاكينگ ASB 3 ميليمتر</v>
      </c>
      <c r="G2671" s="1" t="str">
        <f>"فوت"</f>
        <v>فوت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O2671" s="1">
        <v>97</v>
      </c>
      <c r="P2671" s="1">
        <f t="shared" si="123"/>
        <v>0</v>
      </c>
      <c r="Q2671" s="1">
        <f t="shared" si="124"/>
        <v>0</v>
      </c>
      <c r="R2671" s="1" t="e">
        <f t="shared" si="125"/>
        <v>#DIV/0!</v>
      </c>
    </row>
    <row r="2672" spans="1:18">
      <c r="A2672" s="1">
        <v>2</v>
      </c>
      <c r="B2672" s="1" t="str">
        <f>"قطعات و لوازم يدكي"</f>
        <v>قطعات و لوازم يدكي</v>
      </c>
      <c r="C2672" s="1">
        <v>101</v>
      </c>
      <c r="D2672" s="1" t="str">
        <f>"انبار قطعات و لوازم يدكي اصفهان"</f>
        <v>انبار قطعات و لوازم يدكي اصفهان</v>
      </c>
      <c r="E2672" s="1" t="str">
        <f>"8501135642"</f>
        <v>8501135642</v>
      </c>
      <c r="F2672" s="1" t="str">
        <f>"PACKING 1/4"</f>
        <v>PACKING 1/4</v>
      </c>
      <c r="G2672" s="1" t="str">
        <f>"كيلوگرم"</f>
        <v>كيلوگرم</v>
      </c>
      <c r="H2672" s="1">
        <v>5</v>
      </c>
      <c r="I2672" s="1">
        <v>4400000</v>
      </c>
      <c r="J2672" s="1">
        <v>0</v>
      </c>
      <c r="K2672" s="1">
        <v>0</v>
      </c>
      <c r="L2672" s="1">
        <v>0</v>
      </c>
      <c r="M2672" s="1">
        <v>0</v>
      </c>
      <c r="O2672" s="1">
        <v>97</v>
      </c>
      <c r="P2672" s="4">
        <f t="shared" si="123"/>
        <v>4400000</v>
      </c>
      <c r="Q2672" s="4">
        <f t="shared" si="124"/>
        <v>5</v>
      </c>
      <c r="R2672" s="4">
        <f t="shared" si="125"/>
        <v>880000</v>
      </c>
    </row>
    <row r="2673" spans="1:18">
      <c r="A2673" s="1">
        <v>2</v>
      </c>
      <c r="B2673" s="1" t="str">
        <f>"قطعات و لوازم يدكي"</f>
        <v>قطعات و لوازم يدكي</v>
      </c>
      <c r="C2673" s="1">
        <v>101</v>
      </c>
      <c r="D2673" s="1" t="str">
        <f>"انبار قطعات و لوازم يدكي اصفهان"</f>
        <v>انبار قطعات و لوازم يدكي اصفهان</v>
      </c>
      <c r="E2673" s="1" t="str">
        <f>"8501135682"</f>
        <v>8501135682</v>
      </c>
      <c r="F2673" s="1" t="str">
        <f>"PACKING 3/4"</f>
        <v>PACKING 3/4</v>
      </c>
      <c r="G2673" s="1" t="str">
        <f>"كيلوگرم"</f>
        <v>كيلوگرم</v>
      </c>
      <c r="H2673" s="1">
        <v>5</v>
      </c>
      <c r="I2673" s="1">
        <v>4400000</v>
      </c>
      <c r="J2673" s="1">
        <v>0</v>
      </c>
      <c r="K2673" s="1">
        <v>0</v>
      </c>
      <c r="L2673" s="1">
        <v>0</v>
      </c>
      <c r="M2673" s="1">
        <v>0</v>
      </c>
      <c r="O2673" s="1">
        <v>97</v>
      </c>
      <c r="P2673" s="4">
        <f t="shared" si="123"/>
        <v>4400000</v>
      </c>
      <c r="Q2673" s="4">
        <f t="shared" si="124"/>
        <v>5</v>
      </c>
      <c r="R2673" s="4">
        <f t="shared" si="125"/>
        <v>880000</v>
      </c>
    </row>
    <row r="2674" spans="1:18">
      <c r="A2674" s="1">
        <v>2</v>
      </c>
      <c r="B2674" s="1" t="str">
        <f>"قطعات و لوازم يدكي"</f>
        <v>قطعات و لوازم يدكي</v>
      </c>
      <c r="C2674" s="1">
        <v>101</v>
      </c>
      <c r="D2674" s="1" t="str">
        <f>"انبار قطعات و لوازم يدكي اصفهان"</f>
        <v>انبار قطعات و لوازم يدكي اصفهان</v>
      </c>
      <c r="E2674" s="1" t="str">
        <f>"8501135702"</f>
        <v>8501135702</v>
      </c>
      <c r="F2674" s="1" t="str">
        <f>"پاكينگ 16 ميليمتر"</f>
        <v>پاكينگ 16 ميليمتر</v>
      </c>
      <c r="G2674" s="1" t="str">
        <f>"فوت"</f>
        <v>فوت</v>
      </c>
      <c r="H2674" s="1">
        <v>36</v>
      </c>
      <c r="I2674" s="1">
        <v>301447</v>
      </c>
      <c r="J2674" s="1">
        <v>0</v>
      </c>
      <c r="K2674" s="1">
        <v>0</v>
      </c>
      <c r="L2674" s="1">
        <v>0</v>
      </c>
      <c r="M2674" s="1">
        <v>0</v>
      </c>
      <c r="O2674" s="1">
        <v>97</v>
      </c>
      <c r="P2674" s="4">
        <f t="shared" si="123"/>
        <v>301447</v>
      </c>
      <c r="Q2674" s="4">
        <f t="shared" si="124"/>
        <v>36</v>
      </c>
      <c r="R2674" s="4">
        <f t="shared" si="125"/>
        <v>8373.5277777777774</v>
      </c>
    </row>
    <row r="2675" spans="1:18">
      <c r="A2675" s="1">
        <v>2</v>
      </c>
      <c r="B2675" s="1" t="str">
        <f>"قطعات و لوازم يدكي"</f>
        <v>قطعات و لوازم يدكي</v>
      </c>
      <c r="C2675" s="1">
        <v>101</v>
      </c>
      <c r="D2675" s="1" t="str">
        <f>"انبار قطعات و لوازم يدكي اصفهان"</f>
        <v>انبار قطعات و لوازم يدكي اصفهان</v>
      </c>
      <c r="E2675" s="1" t="str">
        <f>"8521203132"</f>
        <v>8521203132</v>
      </c>
      <c r="F2675" s="1" t="str">
        <f>"ورق شيمز"</f>
        <v>ورق شيمز</v>
      </c>
      <c r="G2675" s="1" t="str">
        <f>"متر"</f>
        <v>متر</v>
      </c>
      <c r="H2675" s="1">
        <v>12</v>
      </c>
      <c r="I2675" s="1">
        <v>6560000</v>
      </c>
      <c r="J2675" s="1">
        <v>0</v>
      </c>
      <c r="K2675" s="1">
        <v>0</v>
      </c>
      <c r="L2675" s="1">
        <v>0</v>
      </c>
      <c r="M2675" s="1">
        <v>0</v>
      </c>
      <c r="O2675" s="1">
        <v>97</v>
      </c>
      <c r="P2675" s="4">
        <f t="shared" si="123"/>
        <v>6560000</v>
      </c>
      <c r="Q2675" s="4">
        <f t="shared" si="124"/>
        <v>12</v>
      </c>
      <c r="R2675" s="4">
        <f t="shared" si="125"/>
        <v>546666.66666666663</v>
      </c>
    </row>
    <row r="2676" spans="1:18" hidden="1">
      <c r="A2676" s="1">
        <v>2</v>
      </c>
      <c r="B2676" s="1" t="str">
        <f>"قطعات و لوازم يدكي"</f>
        <v>قطعات و لوازم يدكي</v>
      </c>
      <c r="C2676" s="1">
        <v>101</v>
      </c>
      <c r="D2676" s="1" t="str">
        <f>"انبار قطعات و لوازم يدكي اصفهان"</f>
        <v>انبار قطعات و لوازم يدكي اصفهان</v>
      </c>
      <c r="E2676" s="1" t="str">
        <f>"8521203142"</f>
        <v>8521203142</v>
      </c>
      <c r="F2676" s="1" t="s">
        <v>163</v>
      </c>
      <c r="G2676" s="1" t="str">
        <f>"SH"</f>
        <v>SH</v>
      </c>
      <c r="H2676" s="1">
        <v>0</v>
      </c>
      <c r="I2676" s="1">
        <v>0</v>
      </c>
      <c r="J2676" s="1">
        <v>2</v>
      </c>
      <c r="K2676" s="1">
        <v>42000000</v>
      </c>
      <c r="L2676" s="1">
        <v>2</v>
      </c>
      <c r="M2676" s="1">
        <v>42000000</v>
      </c>
      <c r="O2676" s="1">
        <v>97</v>
      </c>
      <c r="P2676" s="1">
        <f t="shared" si="123"/>
        <v>0</v>
      </c>
      <c r="Q2676" s="1">
        <f t="shared" si="124"/>
        <v>0</v>
      </c>
      <c r="R2676" s="1" t="e">
        <f t="shared" si="125"/>
        <v>#DIV/0!</v>
      </c>
    </row>
    <row r="2677" spans="1:18">
      <c r="A2677" s="1">
        <v>2</v>
      </c>
      <c r="B2677" s="1" t="str">
        <f>"قطعات و لوازم يدكي"</f>
        <v>قطعات و لوازم يدكي</v>
      </c>
      <c r="C2677" s="1">
        <v>101</v>
      </c>
      <c r="D2677" s="1" t="str">
        <f>"انبار قطعات و لوازم يدكي اصفهان"</f>
        <v>انبار قطعات و لوازم يدكي اصفهان</v>
      </c>
      <c r="E2677" s="1" t="str">
        <f>"8541200042"</f>
        <v>8541200042</v>
      </c>
      <c r="F2677" s="1" t="str">
        <f>"واشر يونيون  1/2"</f>
        <v>واشر يونيون  1/2</v>
      </c>
      <c r="G2677" s="1" t="str">
        <f>"عدد"</f>
        <v>عدد</v>
      </c>
      <c r="H2677" s="1">
        <v>23</v>
      </c>
      <c r="I2677" s="1">
        <v>850745</v>
      </c>
      <c r="J2677" s="1">
        <v>400</v>
      </c>
      <c r="K2677" s="1">
        <v>50544000</v>
      </c>
      <c r="L2677" s="1">
        <v>3</v>
      </c>
      <c r="M2677" s="1">
        <v>364502</v>
      </c>
      <c r="O2677" s="1">
        <v>97</v>
      </c>
      <c r="P2677" s="4">
        <f t="shared" si="123"/>
        <v>51030243</v>
      </c>
      <c r="Q2677" s="4">
        <f t="shared" si="124"/>
        <v>420</v>
      </c>
      <c r="R2677" s="4">
        <f t="shared" si="125"/>
        <v>121500.57857142857</v>
      </c>
    </row>
    <row r="2678" spans="1:18" hidden="1">
      <c r="A2678" s="1">
        <v>2</v>
      </c>
      <c r="B2678" s="1" t="str">
        <f>"قطعات و لوازم يدكي"</f>
        <v>قطعات و لوازم يدكي</v>
      </c>
      <c r="C2678" s="1">
        <v>101</v>
      </c>
      <c r="D2678" s="1" t="str">
        <f>"انبار قطعات و لوازم يدكي اصفهان"</f>
        <v>انبار قطعات و لوازم يدكي اصفهان</v>
      </c>
      <c r="E2678" s="1" t="str">
        <f>"8541201042"</f>
        <v>8541201042</v>
      </c>
      <c r="F2678" s="1" t="str">
        <f>"واشر سيمدار"</f>
        <v>واشر سيمدار</v>
      </c>
      <c r="G2678" s="1" t="str">
        <f>"عدد"</f>
        <v>عدد</v>
      </c>
      <c r="H2678" s="1">
        <v>0</v>
      </c>
      <c r="I2678" s="1">
        <v>0</v>
      </c>
      <c r="J2678" s="1">
        <v>0</v>
      </c>
      <c r="K2678" s="1">
        <v>0</v>
      </c>
      <c r="L2678" s="1">
        <v>0</v>
      </c>
      <c r="M2678" s="1">
        <v>0</v>
      </c>
      <c r="O2678" s="1">
        <v>97</v>
      </c>
      <c r="P2678" s="1">
        <f t="shared" si="123"/>
        <v>0</v>
      </c>
      <c r="Q2678" s="1">
        <f t="shared" si="124"/>
        <v>0</v>
      </c>
      <c r="R2678" s="1" t="e">
        <f t="shared" si="125"/>
        <v>#DIV/0!</v>
      </c>
    </row>
    <row r="2679" spans="1:18" hidden="1">
      <c r="A2679" s="1">
        <v>2</v>
      </c>
      <c r="B2679" s="1" t="str">
        <f>"قطعات و لوازم يدكي"</f>
        <v>قطعات و لوازم يدكي</v>
      </c>
      <c r="C2679" s="1">
        <v>101</v>
      </c>
      <c r="D2679" s="1" t="str">
        <f>"انبار قطعات و لوازم يدكي اصفهان"</f>
        <v>انبار قطعات و لوازم يدكي اصفهان</v>
      </c>
      <c r="E2679" s="1" t="str">
        <f>"8541201182"</f>
        <v>8541201182</v>
      </c>
      <c r="F2679" s="1" t="s">
        <v>164</v>
      </c>
      <c r="G2679" s="1" t="str">
        <f>"عدد"</f>
        <v>عدد</v>
      </c>
      <c r="H2679" s="1">
        <v>0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O2679" s="1">
        <v>97</v>
      </c>
      <c r="P2679" s="1">
        <f t="shared" si="123"/>
        <v>0</v>
      </c>
      <c r="Q2679" s="1">
        <f t="shared" si="124"/>
        <v>0</v>
      </c>
      <c r="R2679" s="1" t="e">
        <f t="shared" si="125"/>
        <v>#DIV/0!</v>
      </c>
    </row>
    <row r="2680" spans="1:18">
      <c r="A2680" s="1">
        <v>2</v>
      </c>
      <c r="B2680" s="1" t="str">
        <f>"قطعات و لوازم يدكي"</f>
        <v>قطعات و لوازم يدكي</v>
      </c>
      <c r="C2680" s="1">
        <v>101</v>
      </c>
      <c r="D2680" s="1" t="str">
        <f>"انبار قطعات و لوازم يدكي اصفهان"</f>
        <v>انبار قطعات و لوازم يدكي اصفهان</v>
      </c>
      <c r="E2680" s="1" t="str">
        <f>"8541330142"</f>
        <v>8541330142</v>
      </c>
      <c r="F2680" s="1" t="s">
        <v>165</v>
      </c>
      <c r="G2680" s="1" t="str">
        <f>"عدد"</f>
        <v>عدد</v>
      </c>
      <c r="H2680" s="1">
        <v>149</v>
      </c>
      <c r="I2680" s="1">
        <v>4315943</v>
      </c>
      <c r="J2680" s="1">
        <v>133</v>
      </c>
      <c r="K2680" s="1">
        <v>16563000</v>
      </c>
      <c r="L2680" s="1">
        <v>93</v>
      </c>
      <c r="M2680" s="1">
        <v>6290830</v>
      </c>
      <c r="O2680" s="1">
        <v>97</v>
      </c>
      <c r="P2680" s="4">
        <f t="shared" si="123"/>
        <v>14588113</v>
      </c>
      <c r="Q2680" s="4">
        <f t="shared" si="124"/>
        <v>189</v>
      </c>
      <c r="R2680" s="4">
        <f t="shared" si="125"/>
        <v>77185.783068783072</v>
      </c>
    </row>
    <row r="2681" spans="1:18">
      <c r="A2681" s="1">
        <v>2</v>
      </c>
      <c r="B2681" s="1" t="str">
        <f>"قطعات و لوازم يدكي"</f>
        <v>قطعات و لوازم يدكي</v>
      </c>
      <c r="C2681" s="1">
        <v>120</v>
      </c>
      <c r="D2681" s="1" t="str">
        <f>"انبار قطعات و لوازم يدكي بشکه سازي اصفهان"</f>
        <v>انبار قطعات و لوازم يدكي بشکه سازي اصفهان</v>
      </c>
      <c r="E2681" s="1" t="str">
        <f>"4311700079"</f>
        <v>4311700079</v>
      </c>
      <c r="F2681" s="1" t="str">
        <f>"اورينگ 75*4"</f>
        <v>اورينگ 75*4</v>
      </c>
      <c r="G2681" s="1" t="str">
        <f>"عدد"</f>
        <v>عدد</v>
      </c>
      <c r="H2681" s="1">
        <v>0</v>
      </c>
      <c r="I2681" s="1">
        <v>0</v>
      </c>
      <c r="J2681" s="1">
        <v>1</v>
      </c>
      <c r="K2681" s="1">
        <v>5000</v>
      </c>
      <c r="L2681" s="1">
        <v>0</v>
      </c>
      <c r="M2681" s="1">
        <v>0</v>
      </c>
      <c r="O2681" s="1">
        <v>97</v>
      </c>
      <c r="P2681" s="4">
        <f t="shared" si="123"/>
        <v>5000</v>
      </c>
      <c r="Q2681" s="4">
        <f t="shared" si="124"/>
        <v>1</v>
      </c>
      <c r="R2681" s="4">
        <f t="shared" si="125"/>
        <v>5000</v>
      </c>
    </row>
    <row r="2682" spans="1:18">
      <c r="A2682" s="1">
        <v>2</v>
      </c>
      <c r="B2682" s="1" t="str">
        <f>"قطعات و لوازم يدكي"</f>
        <v>قطعات و لوازم يدكي</v>
      </c>
      <c r="C2682" s="1">
        <v>120</v>
      </c>
      <c r="D2682" s="1" t="str">
        <f>"انبار قطعات و لوازم يدكي بشکه سازي اصفهان"</f>
        <v>انبار قطعات و لوازم يدكي بشکه سازي اصفهان</v>
      </c>
      <c r="E2682" s="1" t="str">
        <f>"4311700081"</f>
        <v>4311700081</v>
      </c>
      <c r="F2682" s="1" t="str">
        <f>"اورينگ 70*2"</f>
        <v>اورينگ 70*2</v>
      </c>
      <c r="G2682" s="1" t="str">
        <f>"عدد"</f>
        <v>عدد</v>
      </c>
      <c r="H2682" s="1">
        <v>0</v>
      </c>
      <c r="I2682" s="1">
        <v>0</v>
      </c>
      <c r="J2682" s="1">
        <v>7</v>
      </c>
      <c r="K2682" s="1">
        <v>35000</v>
      </c>
      <c r="L2682" s="1">
        <v>0</v>
      </c>
      <c r="M2682" s="1">
        <v>0</v>
      </c>
      <c r="O2682" s="1">
        <v>97</v>
      </c>
      <c r="P2682" s="4">
        <f t="shared" si="123"/>
        <v>35000</v>
      </c>
      <c r="Q2682" s="4">
        <f t="shared" si="124"/>
        <v>7</v>
      </c>
      <c r="R2682" s="4">
        <f t="shared" si="125"/>
        <v>5000</v>
      </c>
    </row>
    <row r="2683" spans="1:18">
      <c r="A2683" s="1">
        <v>2</v>
      </c>
      <c r="B2683" s="1" t="str">
        <f>"قطعات و لوازم يدكي"</f>
        <v>قطعات و لوازم يدكي</v>
      </c>
      <c r="C2683" s="1">
        <v>120</v>
      </c>
      <c r="D2683" s="1" t="str">
        <f>"انبار قطعات و لوازم يدكي بشکه سازي اصفهان"</f>
        <v>انبار قطعات و لوازم يدكي بشکه سازي اصفهان</v>
      </c>
      <c r="E2683" s="1" t="str">
        <f>"4311700084"</f>
        <v>4311700084</v>
      </c>
      <c r="F2683" s="1" t="str">
        <f>"اورينگ 50*5"</f>
        <v>اورينگ 50*5</v>
      </c>
      <c r="G2683" s="1" t="str">
        <f>"عدد"</f>
        <v>عدد</v>
      </c>
      <c r="H2683" s="1">
        <v>0</v>
      </c>
      <c r="I2683" s="1">
        <v>0</v>
      </c>
      <c r="J2683" s="1">
        <v>10</v>
      </c>
      <c r="K2683" s="1">
        <v>50000</v>
      </c>
      <c r="L2683" s="1">
        <v>0</v>
      </c>
      <c r="M2683" s="1">
        <v>0</v>
      </c>
      <c r="O2683" s="1">
        <v>97</v>
      </c>
      <c r="P2683" s="4">
        <f t="shared" si="123"/>
        <v>50000</v>
      </c>
      <c r="Q2683" s="4">
        <f t="shared" si="124"/>
        <v>10</v>
      </c>
      <c r="R2683" s="4">
        <f t="shared" si="125"/>
        <v>5000</v>
      </c>
    </row>
    <row r="2684" spans="1:18">
      <c r="A2684" s="1">
        <v>2</v>
      </c>
      <c r="B2684" s="1" t="str">
        <f>"قطعات و لوازم يدكي"</f>
        <v>قطعات و لوازم يدكي</v>
      </c>
      <c r="C2684" s="1">
        <v>120</v>
      </c>
      <c r="D2684" s="1" t="str">
        <f>"انبار قطعات و لوازم يدكي بشکه سازي اصفهان"</f>
        <v>انبار قطعات و لوازم يدكي بشکه سازي اصفهان</v>
      </c>
      <c r="E2684" s="1" t="str">
        <f>"4311700091"</f>
        <v>4311700091</v>
      </c>
      <c r="F2684" s="1" t="str">
        <f>"اورينگ 100*2/5"</f>
        <v>اورينگ 100*2/5</v>
      </c>
      <c r="G2684" s="1" t="str">
        <f>"عدد"</f>
        <v>عدد</v>
      </c>
      <c r="H2684" s="1">
        <v>0</v>
      </c>
      <c r="I2684" s="1">
        <v>0</v>
      </c>
      <c r="J2684" s="1">
        <v>16</v>
      </c>
      <c r="K2684" s="1">
        <v>190000</v>
      </c>
      <c r="L2684" s="1">
        <v>0</v>
      </c>
      <c r="M2684" s="1">
        <v>0</v>
      </c>
      <c r="O2684" s="1">
        <v>97</v>
      </c>
      <c r="P2684" s="4">
        <f t="shared" si="123"/>
        <v>190000</v>
      </c>
      <c r="Q2684" s="4">
        <f t="shared" si="124"/>
        <v>16</v>
      </c>
      <c r="R2684" s="4">
        <f t="shared" si="125"/>
        <v>11875</v>
      </c>
    </row>
    <row r="2685" spans="1:18">
      <c r="A2685" s="1">
        <v>2</v>
      </c>
      <c r="B2685" s="1" t="str">
        <f>"قطعات و لوازم يدكي"</f>
        <v>قطعات و لوازم يدكي</v>
      </c>
      <c r="C2685" s="1">
        <v>120</v>
      </c>
      <c r="D2685" s="1" t="str">
        <f>"انبار قطعات و لوازم يدكي بشکه سازي اصفهان"</f>
        <v>انبار قطعات و لوازم يدكي بشکه سازي اصفهان</v>
      </c>
      <c r="E2685" s="1" t="str">
        <f>"4311700093"</f>
        <v>4311700093</v>
      </c>
      <c r="F2685" s="1" t="str">
        <f>"اورينگ 250*2/5 و 3"</f>
        <v>اورينگ 250*2/5 و 3</v>
      </c>
      <c r="G2685" s="1" t="str">
        <f>"عدد"</f>
        <v>عدد</v>
      </c>
      <c r="H2685" s="1">
        <v>0</v>
      </c>
      <c r="I2685" s="1">
        <v>0</v>
      </c>
      <c r="J2685" s="1">
        <v>9</v>
      </c>
      <c r="K2685" s="1">
        <v>135000</v>
      </c>
      <c r="L2685" s="1">
        <v>1</v>
      </c>
      <c r="M2685" s="1">
        <v>15000</v>
      </c>
      <c r="O2685" s="1">
        <v>97</v>
      </c>
      <c r="P2685" s="4">
        <f t="shared" si="123"/>
        <v>120000</v>
      </c>
      <c r="Q2685" s="4">
        <f t="shared" si="124"/>
        <v>8</v>
      </c>
      <c r="R2685" s="4">
        <f t="shared" si="125"/>
        <v>15000</v>
      </c>
    </row>
    <row r="2686" spans="1:18">
      <c r="A2686" s="1">
        <v>2</v>
      </c>
      <c r="B2686" s="1" t="str">
        <f>"قطعات و لوازم يدكي"</f>
        <v>قطعات و لوازم يدكي</v>
      </c>
      <c r="C2686" s="1">
        <v>120</v>
      </c>
      <c r="D2686" s="1" t="str">
        <f>"انبار قطعات و لوازم يدكي بشکه سازي اصفهان"</f>
        <v>انبار قطعات و لوازم يدكي بشکه سازي اصفهان</v>
      </c>
      <c r="E2686" s="1" t="str">
        <f>"4311700121"</f>
        <v>4311700121</v>
      </c>
      <c r="F2686" s="1" t="str">
        <f>"پيچ  C 2/5  MDF"</f>
        <v>پيچ  C 2/5  MDF</v>
      </c>
      <c r="G2686" s="1" t="str">
        <f>"عدد"</f>
        <v>عدد</v>
      </c>
      <c r="H2686" s="1">
        <v>0</v>
      </c>
      <c r="I2686" s="1">
        <v>0</v>
      </c>
      <c r="J2686" s="1">
        <v>914</v>
      </c>
      <c r="K2686" s="1">
        <v>2285000</v>
      </c>
      <c r="L2686" s="1">
        <v>14</v>
      </c>
      <c r="M2686" s="1">
        <v>35000</v>
      </c>
      <c r="O2686" s="1">
        <v>97</v>
      </c>
      <c r="P2686" s="4">
        <f t="shared" si="123"/>
        <v>2250000</v>
      </c>
      <c r="Q2686" s="4">
        <f t="shared" si="124"/>
        <v>900</v>
      </c>
      <c r="R2686" s="4">
        <f t="shared" si="125"/>
        <v>2500</v>
      </c>
    </row>
    <row r="2687" spans="1:18">
      <c r="A2687" s="1">
        <v>2</v>
      </c>
      <c r="B2687" s="1" t="str">
        <f>"قطعات و لوازم يدكي"</f>
        <v>قطعات و لوازم يدكي</v>
      </c>
      <c r="C2687" s="1">
        <v>120</v>
      </c>
      <c r="D2687" s="1" t="str">
        <f>"انبار قطعات و لوازم يدكي بشکه سازي اصفهان"</f>
        <v>انبار قطعات و لوازم يدكي بشکه سازي اصفهان</v>
      </c>
      <c r="E2687" s="1" t="str">
        <f>"4311700138"</f>
        <v>4311700138</v>
      </c>
      <c r="F2687" s="1" t="str">
        <f>"پيچ 3 * M 14"</f>
        <v>پيچ 3 * M 14</v>
      </c>
      <c r="G2687" s="1" t="str">
        <f>"عدد"</f>
        <v>عدد</v>
      </c>
      <c r="H2687" s="1">
        <v>0</v>
      </c>
      <c r="I2687" s="1">
        <v>0</v>
      </c>
      <c r="J2687" s="1">
        <v>44</v>
      </c>
      <c r="K2687" s="1">
        <v>233200</v>
      </c>
      <c r="L2687" s="1">
        <v>0</v>
      </c>
      <c r="M2687" s="1">
        <v>0</v>
      </c>
      <c r="O2687" s="1">
        <v>97</v>
      </c>
      <c r="P2687" s="4">
        <f t="shared" si="123"/>
        <v>233200</v>
      </c>
      <c r="Q2687" s="4">
        <f t="shared" si="124"/>
        <v>44</v>
      </c>
      <c r="R2687" s="4">
        <f t="shared" si="125"/>
        <v>5300</v>
      </c>
    </row>
    <row r="2688" spans="1:18">
      <c r="A2688" s="1">
        <v>2</v>
      </c>
      <c r="B2688" s="1" t="str">
        <f>"قطعات و لوازم يدكي"</f>
        <v>قطعات و لوازم يدكي</v>
      </c>
      <c r="C2688" s="1">
        <v>120</v>
      </c>
      <c r="D2688" s="1" t="str">
        <f>"انبار قطعات و لوازم يدكي بشکه سازي اصفهان"</f>
        <v>انبار قطعات و لوازم يدكي بشکه سازي اصفهان</v>
      </c>
      <c r="E2688" s="1" t="str">
        <f>"4311700140"</f>
        <v>4311700140</v>
      </c>
      <c r="F2688" s="1" t="str">
        <f>"پيچ 3 * M 12"</f>
        <v>پيچ 3 * M 12</v>
      </c>
      <c r="G2688" s="1" t="str">
        <f>"عدد"</f>
        <v>عدد</v>
      </c>
      <c r="H2688" s="1">
        <v>0</v>
      </c>
      <c r="I2688" s="1">
        <v>0</v>
      </c>
      <c r="J2688" s="1">
        <v>5</v>
      </c>
      <c r="K2688" s="1">
        <v>12500</v>
      </c>
      <c r="L2688" s="1">
        <v>0</v>
      </c>
      <c r="M2688" s="1">
        <v>0</v>
      </c>
      <c r="O2688" s="1">
        <v>97</v>
      </c>
      <c r="P2688" s="4">
        <f t="shared" si="123"/>
        <v>12500</v>
      </c>
      <c r="Q2688" s="4">
        <f t="shared" si="124"/>
        <v>5</v>
      </c>
      <c r="R2688" s="4">
        <f t="shared" si="125"/>
        <v>2500</v>
      </c>
    </row>
    <row r="2689" spans="1:18">
      <c r="A2689" s="1">
        <v>2</v>
      </c>
      <c r="B2689" s="1" t="str">
        <f>"قطعات و لوازم يدكي"</f>
        <v>قطعات و لوازم يدكي</v>
      </c>
      <c r="C2689" s="1">
        <v>120</v>
      </c>
      <c r="D2689" s="1" t="str">
        <f>"انبار قطعات و لوازم يدكي بشکه سازي اصفهان"</f>
        <v>انبار قطعات و لوازم يدكي بشکه سازي اصفهان</v>
      </c>
      <c r="E2689" s="1" t="str">
        <f>"4311700146"</f>
        <v>4311700146</v>
      </c>
      <c r="F2689" s="1" t="str">
        <f>"پيچ 5*M12"</f>
        <v>پيچ 5*M12</v>
      </c>
      <c r="G2689" s="1" t="str">
        <f>"عدد"</f>
        <v>عدد</v>
      </c>
      <c r="H2689" s="1">
        <v>0</v>
      </c>
      <c r="I2689" s="1">
        <v>0</v>
      </c>
      <c r="J2689" s="1">
        <v>1</v>
      </c>
      <c r="K2689" s="1">
        <v>2500</v>
      </c>
      <c r="L2689" s="1">
        <v>0</v>
      </c>
      <c r="M2689" s="1">
        <v>0</v>
      </c>
      <c r="O2689" s="1">
        <v>97</v>
      </c>
      <c r="P2689" s="4">
        <f t="shared" si="123"/>
        <v>2500</v>
      </c>
      <c r="Q2689" s="4">
        <f t="shared" si="124"/>
        <v>1</v>
      </c>
      <c r="R2689" s="4">
        <f t="shared" si="125"/>
        <v>2500</v>
      </c>
    </row>
    <row r="2690" spans="1:18">
      <c r="A2690" s="1">
        <v>2</v>
      </c>
      <c r="B2690" s="1" t="str">
        <f>"قطعات و لوازم يدكي"</f>
        <v>قطعات و لوازم يدكي</v>
      </c>
      <c r="C2690" s="1">
        <v>120</v>
      </c>
      <c r="D2690" s="1" t="str">
        <f>"انبار قطعات و لوازم يدكي بشکه سازي اصفهان"</f>
        <v>انبار قطعات و لوازم يدكي بشکه سازي اصفهان</v>
      </c>
      <c r="E2690" s="1" t="str">
        <f>"4311700148"</f>
        <v>4311700148</v>
      </c>
      <c r="F2690" s="1" t="str">
        <f>"پيچ 3*M12"</f>
        <v>پيچ 3*M12</v>
      </c>
      <c r="G2690" s="1" t="str">
        <f>"عدد"</f>
        <v>عدد</v>
      </c>
      <c r="H2690" s="1">
        <v>0</v>
      </c>
      <c r="I2690" s="1">
        <v>0</v>
      </c>
      <c r="J2690" s="1">
        <v>1</v>
      </c>
      <c r="K2690" s="1">
        <v>3500</v>
      </c>
      <c r="L2690" s="1">
        <v>0</v>
      </c>
      <c r="M2690" s="1">
        <v>0</v>
      </c>
      <c r="O2690" s="1">
        <v>97</v>
      </c>
      <c r="P2690" s="4">
        <f t="shared" si="123"/>
        <v>3500</v>
      </c>
      <c r="Q2690" s="4">
        <f t="shared" si="124"/>
        <v>1</v>
      </c>
      <c r="R2690" s="4">
        <f t="shared" si="125"/>
        <v>3500</v>
      </c>
    </row>
    <row r="2691" spans="1:18">
      <c r="A2691" s="1">
        <v>2</v>
      </c>
      <c r="B2691" s="1" t="str">
        <f>"قطعات و لوازم يدكي"</f>
        <v>قطعات و لوازم يدكي</v>
      </c>
      <c r="C2691" s="1">
        <v>120</v>
      </c>
      <c r="D2691" s="1" t="str">
        <f>"انبار قطعات و لوازم يدكي بشکه سازي اصفهان"</f>
        <v>انبار قطعات و لوازم يدكي بشکه سازي اصفهان</v>
      </c>
      <c r="E2691" s="1" t="str">
        <f>"4311700154"</f>
        <v>4311700154</v>
      </c>
      <c r="F2691" s="1" t="str">
        <f>"پيچ 10*M12"</f>
        <v>پيچ 10*M12</v>
      </c>
      <c r="G2691" s="1" t="str">
        <f>"عدد"</f>
        <v>عدد</v>
      </c>
      <c r="H2691" s="1">
        <v>0</v>
      </c>
      <c r="I2691" s="1">
        <v>0</v>
      </c>
      <c r="J2691" s="1">
        <v>9</v>
      </c>
      <c r="K2691" s="1">
        <v>22500</v>
      </c>
      <c r="L2691" s="1">
        <v>2</v>
      </c>
      <c r="M2691" s="1">
        <v>5000</v>
      </c>
      <c r="O2691" s="1">
        <v>97</v>
      </c>
      <c r="P2691" s="4">
        <f t="shared" ref="P2691:P2754" si="126">I2691+K2691-M2691</f>
        <v>17500</v>
      </c>
      <c r="Q2691" s="4">
        <f t="shared" ref="Q2691:Q2754" si="127">H2691+J2691-L2691</f>
        <v>7</v>
      </c>
      <c r="R2691" s="4">
        <f t="shared" ref="R2691:R2754" si="128">P2691/Q2691</f>
        <v>2500</v>
      </c>
    </row>
    <row r="2692" spans="1:18">
      <c r="A2692" s="1">
        <v>2</v>
      </c>
      <c r="B2692" s="1" t="str">
        <f>"قطعات و لوازم يدكي"</f>
        <v>قطعات و لوازم يدكي</v>
      </c>
      <c r="C2692" s="1">
        <v>120</v>
      </c>
      <c r="D2692" s="1" t="str">
        <f>"انبار قطعات و لوازم يدكي بشکه سازي اصفهان"</f>
        <v>انبار قطعات و لوازم يدكي بشکه سازي اصفهان</v>
      </c>
      <c r="E2692" s="1" t="str">
        <f>"4311700157"</f>
        <v>4311700157</v>
      </c>
      <c r="F2692" s="1" t="str">
        <f>"پيچ 10*M6"</f>
        <v>پيچ 10*M6</v>
      </c>
      <c r="G2692" s="1" t="str">
        <f>"عدد"</f>
        <v>عدد</v>
      </c>
      <c r="H2692" s="1">
        <v>0</v>
      </c>
      <c r="I2692" s="1">
        <v>0</v>
      </c>
      <c r="J2692" s="1">
        <v>14</v>
      </c>
      <c r="K2692" s="1">
        <v>35000</v>
      </c>
      <c r="L2692" s="1">
        <v>0</v>
      </c>
      <c r="M2692" s="1">
        <v>0</v>
      </c>
      <c r="O2692" s="1">
        <v>97</v>
      </c>
      <c r="P2692" s="4">
        <f t="shared" si="126"/>
        <v>35000</v>
      </c>
      <c r="Q2692" s="4">
        <f t="shared" si="127"/>
        <v>14</v>
      </c>
      <c r="R2692" s="4">
        <f t="shared" si="128"/>
        <v>2500</v>
      </c>
    </row>
    <row r="2693" spans="1:18">
      <c r="A2693" s="1">
        <v>2</v>
      </c>
      <c r="B2693" s="1" t="str">
        <f>"قطعات و لوازم يدكي"</f>
        <v>قطعات و لوازم يدكي</v>
      </c>
      <c r="C2693" s="1">
        <v>120</v>
      </c>
      <c r="D2693" s="1" t="str">
        <f>"انبار قطعات و لوازم يدكي بشکه سازي اصفهان"</f>
        <v>انبار قطعات و لوازم يدكي بشکه سازي اصفهان</v>
      </c>
      <c r="E2693" s="1" t="str">
        <f>"4311700167"</f>
        <v>4311700167</v>
      </c>
      <c r="F2693" s="1" t="str">
        <f>"پيچ آلن 10*M10"</f>
        <v>پيچ آلن 10*M10</v>
      </c>
      <c r="G2693" s="1" t="str">
        <f>"عدد"</f>
        <v>عدد</v>
      </c>
      <c r="H2693" s="1">
        <v>0</v>
      </c>
      <c r="I2693" s="1">
        <v>0</v>
      </c>
      <c r="J2693" s="1">
        <v>8</v>
      </c>
      <c r="K2693" s="1">
        <v>20000</v>
      </c>
      <c r="L2693" s="1">
        <v>0</v>
      </c>
      <c r="M2693" s="1">
        <v>0</v>
      </c>
      <c r="O2693" s="1">
        <v>97</v>
      </c>
      <c r="P2693" s="4">
        <f t="shared" si="126"/>
        <v>20000</v>
      </c>
      <c r="Q2693" s="4">
        <f t="shared" si="127"/>
        <v>8</v>
      </c>
      <c r="R2693" s="4">
        <f t="shared" si="128"/>
        <v>2500</v>
      </c>
    </row>
    <row r="2694" spans="1:18">
      <c r="A2694" s="1">
        <v>2</v>
      </c>
      <c r="B2694" s="1" t="str">
        <f>"قطعات و لوازم يدكي"</f>
        <v>قطعات و لوازم يدكي</v>
      </c>
      <c r="C2694" s="1">
        <v>120</v>
      </c>
      <c r="D2694" s="1" t="str">
        <f>"انبار قطعات و لوازم يدكي بشکه سازي اصفهان"</f>
        <v>انبار قطعات و لوازم يدكي بشکه سازي اصفهان</v>
      </c>
      <c r="E2694" s="1" t="str">
        <f>"4311700170"</f>
        <v>4311700170</v>
      </c>
      <c r="F2694" s="1" t="str">
        <f>"واشر ساده"</f>
        <v>واشر ساده</v>
      </c>
      <c r="G2694" s="1" t="str">
        <f>"عدد"</f>
        <v>عدد</v>
      </c>
      <c r="H2694" s="1">
        <v>0</v>
      </c>
      <c r="I2694" s="1">
        <v>0</v>
      </c>
      <c r="J2694" s="1">
        <v>745</v>
      </c>
      <c r="K2694" s="1">
        <v>1862500</v>
      </c>
      <c r="L2694" s="1">
        <v>0</v>
      </c>
      <c r="M2694" s="1">
        <v>0</v>
      </c>
      <c r="O2694" s="1">
        <v>97</v>
      </c>
      <c r="P2694" s="4">
        <f t="shared" si="126"/>
        <v>1862500</v>
      </c>
      <c r="Q2694" s="4">
        <f t="shared" si="127"/>
        <v>745</v>
      </c>
      <c r="R2694" s="4">
        <f t="shared" si="128"/>
        <v>2500</v>
      </c>
    </row>
    <row r="2695" spans="1:18">
      <c r="A2695" s="1">
        <v>2</v>
      </c>
      <c r="B2695" s="1" t="str">
        <f>"قطعات و لوازم يدكي"</f>
        <v>قطعات و لوازم يدكي</v>
      </c>
      <c r="C2695" s="1">
        <v>120</v>
      </c>
      <c r="D2695" s="1" t="str">
        <f>"انبار قطعات و لوازم يدكي بشکه سازي اصفهان"</f>
        <v>انبار قطعات و لوازم يدكي بشکه سازي اصفهان</v>
      </c>
      <c r="E2695" s="1" t="str">
        <f>"4311700171"</f>
        <v>4311700171</v>
      </c>
      <c r="F2695" s="1" t="str">
        <f>"پيچ آلن 12*M10"</f>
        <v>پيچ آلن 12*M10</v>
      </c>
      <c r="G2695" s="1" t="str">
        <f>"عدد"</f>
        <v>عدد</v>
      </c>
      <c r="H2695" s="1">
        <v>0</v>
      </c>
      <c r="I2695" s="1">
        <v>0</v>
      </c>
      <c r="J2695" s="1">
        <v>16</v>
      </c>
      <c r="K2695" s="1">
        <v>550000</v>
      </c>
      <c r="L2695" s="1">
        <v>6</v>
      </c>
      <c r="M2695" s="1">
        <v>171428</v>
      </c>
      <c r="O2695" s="1">
        <v>97</v>
      </c>
      <c r="P2695" s="4">
        <f t="shared" si="126"/>
        <v>378572</v>
      </c>
      <c r="Q2695" s="4">
        <f t="shared" si="127"/>
        <v>10</v>
      </c>
      <c r="R2695" s="4">
        <f t="shared" si="128"/>
        <v>37857.199999999997</v>
      </c>
    </row>
    <row r="2696" spans="1:18">
      <c r="A2696" s="1">
        <v>2</v>
      </c>
      <c r="B2696" s="1" t="str">
        <f>"قطعات و لوازم يدكي"</f>
        <v>قطعات و لوازم يدكي</v>
      </c>
      <c r="C2696" s="1">
        <v>120</v>
      </c>
      <c r="D2696" s="1" t="str">
        <f>"انبار قطعات و لوازم يدكي بشکه سازي اصفهان"</f>
        <v>انبار قطعات و لوازم يدكي بشکه سازي اصفهان</v>
      </c>
      <c r="E2696" s="1" t="str">
        <f>"4311700177"</f>
        <v>4311700177</v>
      </c>
      <c r="F2696" s="1" t="str">
        <f>"مهره M20"</f>
        <v>مهره M20</v>
      </c>
      <c r="G2696" s="1" t="str">
        <f>"عدد"</f>
        <v>عدد</v>
      </c>
      <c r="H2696" s="1">
        <v>0</v>
      </c>
      <c r="I2696" s="1">
        <v>0</v>
      </c>
      <c r="J2696" s="1">
        <v>68</v>
      </c>
      <c r="K2696" s="1">
        <v>238000</v>
      </c>
      <c r="L2696" s="1">
        <v>1</v>
      </c>
      <c r="M2696" s="1">
        <v>3500</v>
      </c>
      <c r="O2696" s="1">
        <v>97</v>
      </c>
      <c r="P2696" s="4">
        <f t="shared" si="126"/>
        <v>234500</v>
      </c>
      <c r="Q2696" s="4">
        <f t="shared" si="127"/>
        <v>67</v>
      </c>
      <c r="R2696" s="4">
        <f t="shared" si="128"/>
        <v>3500</v>
      </c>
    </row>
    <row r="2697" spans="1:18">
      <c r="A2697" s="1">
        <v>2</v>
      </c>
      <c r="B2697" s="1" t="str">
        <f>"قطعات و لوازم يدكي"</f>
        <v>قطعات و لوازم يدكي</v>
      </c>
      <c r="C2697" s="1">
        <v>120</v>
      </c>
      <c r="D2697" s="1" t="str">
        <f>"انبار قطعات و لوازم يدكي بشکه سازي اصفهان"</f>
        <v>انبار قطعات و لوازم يدكي بشکه سازي اصفهان</v>
      </c>
      <c r="E2697" s="1" t="str">
        <f>"4311700183"</f>
        <v>4311700183</v>
      </c>
      <c r="F2697" s="1" t="str">
        <f>"مهره برنجي M16"</f>
        <v>مهره برنجي M16</v>
      </c>
      <c r="G2697" s="1" t="str">
        <f>"عدد"</f>
        <v>عدد</v>
      </c>
      <c r="H2697" s="1">
        <v>0</v>
      </c>
      <c r="I2697" s="1">
        <v>0</v>
      </c>
      <c r="J2697" s="1">
        <v>38</v>
      </c>
      <c r="K2697" s="1">
        <v>114000</v>
      </c>
      <c r="L2697" s="1">
        <v>0</v>
      </c>
      <c r="M2697" s="1">
        <v>0</v>
      </c>
      <c r="O2697" s="1">
        <v>97</v>
      </c>
      <c r="P2697" s="4">
        <f t="shared" si="126"/>
        <v>114000</v>
      </c>
      <c r="Q2697" s="4">
        <f t="shared" si="127"/>
        <v>38</v>
      </c>
      <c r="R2697" s="4">
        <f t="shared" si="128"/>
        <v>3000</v>
      </c>
    </row>
    <row r="2698" spans="1:18">
      <c r="A2698" s="1">
        <v>2</v>
      </c>
      <c r="B2698" s="1" t="str">
        <f>"قطعات و لوازم يدكي"</f>
        <v>قطعات و لوازم يدكي</v>
      </c>
      <c r="C2698" s="1">
        <v>120</v>
      </c>
      <c r="D2698" s="1" t="str">
        <f>"انبار قطعات و لوازم يدكي بشکه سازي اصفهان"</f>
        <v>انبار قطعات و لوازم يدكي بشکه سازي اصفهان</v>
      </c>
      <c r="E2698" s="1" t="str">
        <f>"4311700200"</f>
        <v>4311700200</v>
      </c>
      <c r="F2698" s="1" t="str">
        <f>"زانو چپقي 1/2"</f>
        <v>زانو چپقي 1/2</v>
      </c>
      <c r="G2698" s="1" t="str">
        <f>"عدد"</f>
        <v>عدد</v>
      </c>
      <c r="H2698" s="1">
        <v>0</v>
      </c>
      <c r="I2698" s="1">
        <v>0</v>
      </c>
      <c r="J2698" s="1">
        <v>13</v>
      </c>
      <c r="K2698" s="1">
        <v>455000</v>
      </c>
      <c r="L2698" s="1">
        <v>0</v>
      </c>
      <c r="M2698" s="1">
        <v>0</v>
      </c>
      <c r="O2698" s="1">
        <v>97</v>
      </c>
      <c r="P2698" s="4">
        <f t="shared" si="126"/>
        <v>455000</v>
      </c>
      <c r="Q2698" s="4">
        <f t="shared" si="127"/>
        <v>13</v>
      </c>
      <c r="R2698" s="4">
        <f t="shared" si="128"/>
        <v>35000</v>
      </c>
    </row>
    <row r="2699" spans="1:18">
      <c r="A2699" s="1">
        <v>2</v>
      </c>
      <c r="B2699" s="1" t="str">
        <f>"قطعات و لوازم يدكي"</f>
        <v>قطعات و لوازم يدكي</v>
      </c>
      <c r="C2699" s="1">
        <v>120</v>
      </c>
      <c r="D2699" s="1" t="str">
        <f>"انبار قطعات و لوازم يدكي بشکه سازي اصفهان"</f>
        <v>انبار قطعات و لوازم يدكي بشکه سازي اصفهان</v>
      </c>
      <c r="E2699" s="1" t="str">
        <f>"4311700207"</f>
        <v>4311700207</v>
      </c>
      <c r="F2699" s="1" t="str">
        <f>"تبديل پنوماتيک 10*8"</f>
        <v>تبديل پنوماتيک 10*8</v>
      </c>
      <c r="G2699" s="1" t="str">
        <f>"عدد"</f>
        <v>عدد</v>
      </c>
      <c r="H2699" s="1">
        <v>0</v>
      </c>
      <c r="I2699" s="1">
        <v>0</v>
      </c>
      <c r="J2699" s="1">
        <v>8</v>
      </c>
      <c r="K2699" s="1">
        <v>1440000</v>
      </c>
      <c r="L2699" s="1">
        <v>0</v>
      </c>
      <c r="M2699" s="1">
        <v>0</v>
      </c>
      <c r="O2699" s="1">
        <v>97</v>
      </c>
      <c r="P2699" s="4">
        <f t="shared" si="126"/>
        <v>1440000</v>
      </c>
      <c r="Q2699" s="4">
        <f t="shared" si="127"/>
        <v>8</v>
      </c>
      <c r="R2699" s="4">
        <f t="shared" si="128"/>
        <v>180000</v>
      </c>
    </row>
    <row r="2700" spans="1:18">
      <c r="A2700" s="1">
        <v>2</v>
      </c>
      <c r="B2700" s="1" t="str">
        <f>"قطعات و لوازم يدكي"</f>
        <v>قطعات و لوازم يدكي</v>
      </c>
      <c r="C2700" s="1">
        <v>120</v>
      </c>
      <c r="D2700" s="1" t="str">
        <f>"انبار قطعات و لوازم يدكي بشکه سازي اصفهان"</f>
        <v>انبار قطعات و لوازم يدكي بشکه سازي اصفهان</v>
      </c>
      <c r="E2700" s="1" t="str">
        <f>"4311700239"</f>
        <v>4311700239</v>
      </c>
      <c r="F2700" s="1" t="str">
        <f>"تيغه آهن بر"</f>
        <v>تيغه آهن بر</v>
      </c>
      <c r="G2700" s="1" t="str">
        <f>"عدد"</f>
        <v>عدد</v>
      </c>
      <c r="H2700" s="1">
        <v>0</v>
      </c>
      <c r="I2700" s="1">
        <v>0</v>
      </c>
      <c r="J2700" s="1">
        <v>13</v>
      </c>
      <c r="K2700" s="1">
        <v>260000</v>
      </c>
      <c r="L2700" s="1">
        <v>0</v>
      </c>
      <c r="M2700" s="1">
        <v>0</v>
      </c>
      <c r="O2700" s="1">
        <v>97</v>
      </c>
      <c r="P2700" s="4">
        <f t="shared" si="126"/>
        <v>260000</v>
      </c>
      <c r="Q2700" s="4">
        <f t="shared" si="127"/>
        <v>13</v>
      </c>
      <c r="R2700" s="4">
        <f t="shared" si="128"/>
        <v>20000</v>
      </c>
    </row>
    <row r="2701" spans="1:18" hidden="1">
      <c r="A2701" s="1">
        <v>2</v>
      </c>
      <c r="B2701" s="1" t="str">
        <f>"قطعات و لوازم يدكي"</f>
        <v>قطعات و لوازم يدكي</v>
      </c>
      <c r="C2701" s="1">
        <v>120</v>
      </c>
      <c r="D2701" s="1" t="str">
        <f>"انبار قطعات و لوازم يدكي بشکه سازي اصفهان"</f>
        <v>انبار قطعات و لوازم يدكي بشکه سازي اصفهان</v>
      </c>
      <c r="E2701" s="1" t="str">
        <f>"4311700242"</f>
        <v>4311700242</v>
      </c>
      <c r="F2701" s="1" t="str">
        <f>"کوپلينگ cpu"</f>
        <v>کوپلينگ cpu</v>
      </c>
      <c r="G2701" s="1" t="str">
        <f>"عدد"</f>
        <v>عدد</v>
      </c>
      <c r="H2701" s="1">
        <v>0</v>
      </c>
      <c r="I2701" s="1">
        <v>0</v>
      </c>
      <c r="J2701" s="1">
        <v>2</v>
      </c>
      <c r="K2701" s="1">
        <v>160000</v>
      </c>
      <c r="L2701" s="1">
        <v>2</v>
      </c>
      <c r="M2701" s="1">
        <v>160000</v>
      </c>
      <c r="O2701" s="1">
        <v>97</v>
      </c>
      <c r="P2701" s="1">
        <f t="shared" si="126"/>
        <v>0</v>
      </c>
      <c r="Q2701" s="1">
        <f t="shared" si="127"/>
        <v>0</v>
      </c>
      <c r="R2701" s="1" t="e">
        <f t="shared" si="128"/>
        <v>#DIV/0!</v>
      </c>
    </row>
    <row r="2702" spans="1:18">
      <c r="A2702" s="1">
        <v>2</v>
      </c>
      <c r="B2702" s="1" t="str">
        <f>"قطعات و لوازم يدكي"</f>
        <v>قطعات و لوازم يدكي</v>
      </c>
      <c r="C2702" s="1">
        <v>120</v>
      </c>
      <c r="D2702" s="1" t="str">
        <f>"انبار قطعات و لوازم يدكي بشکه سازي اصفهان"</f>
        <v>انبار قطعات و لوازم يدكي بشکه سازي اصفهان</v>
      </c>
      <c r="E2702" s="1" t="str">
        <f>"4311700244"</f>
        <v>4311700244</v>
      </c>
      <c r="F2702" s="1" t="str">
        <f>"قرقره مسي سايز 350"</f>
        <v>قرقره مسي سايز 350</v>
      </c>
      <c r="G2702" s="1" t="str">
        <f>"عدد"</f>
        <v>عدد</v>
      </c>
      <c r="H2702" s="1">
        <v>0</v>
      </c>
      <c r="I2702" s="1">
        <v>0</v>
      </c>
      <c r="J2702" s="1">
        <v>2</v>
      </c>
      <c r="K2702" s="1">
        <v>41000000</v>
      </c>
      <c r="L2702" s="1">
        <v>0</v>
      </c>
      <c r="M2702" s="1">
        <v>0</v>
      </c>
      <c r="O2702" s="1">
        <v>97</v>
      </c>
      <c r="P2702" s="4">
        <f t="shared" si="126"/>
        <v>41000000</v>
      </c>
      <c r="Q2702" s="4">
        <f t="shared" si="127"/>
        <v>2</v>
      </c>
      <c r="R2702" s="4">
        <f t="shared" si="128"/>
        <v>20500000</v>
      </c>
    </row>
    <row r="2703" spans="1:18">
      <c r="A2703" s="1">
        <v>2</v>
      </c>
      <c r="B2703" s="1" t="str">
        <f>"قطعات و لوازم يدكي"</f>
        <v>قطعات و لوازم يدكي</v>
      </c>
      <c r="C2703" s="1">
        <v>120</v>
      </c>
      <c r="D2703" s="1" t="str">
        <f>"انبار قطعات و لوازم يدكي بشکه سازي اصفهان"</f>
        <v>انبار قطعات و لوازم يدكي بشکه سازي اصفهان</v>
      </c>
      <c r="E2703" s="1" t="str">
        <f>"4311700245"</f>
        <v>4311700245</v>
      </c>
      <c r="F2703" s="1" t="str">
        <f>"قرقره مسي سايز 270"</f>
        <v>قرقره مسي سايز 270</v>
      </c>
      <c r="G2703" s="1" t="str">
        <f>"عدد"</f>
        <v>عدد</v>
      </c>
      <c r="H2703" s="1">
        <v>0</v>
      </c>
      <c r="I2703" s="1">
        <v>0</v>
      </c>
      <c r="J2703" s="1">
        <v>4</v>
      </c>
      <c r="K2703" s="1">
        <v>26240000</v>
      </c>
      <c r="L2703" s="1">
        <v>3</v>
      </c>
      <c r="M2703" s="1">
        <v>19680000</v>
      </c>
      <c r="O2703" s="1">
        <v>97</v>
      </c>
      <c r="P2703" s="4">
        <f t="shared" si="126"/>
        <v>6560000</v>
      </c>
      <c r="Q2703" s="4">
        <f t="shared" si="127"/>
        <v>1</v>
      </c>
      <c r="R2703" s="4">
        <f t="shared" si="128"/>
        <v>6560000</v>
      </c>
    </row>
    <row r="2704" spans="1:18">
      <c r="A2704" s="1">
        <v>2</v>
      </c>
      <c r="B2704" s="1" t="str">
        <f>"قطعات و لوازم يدكي"</f>
        <v>قطعات و لوازم يدكي</v>
      </c>
      <c r="C2704" s="1">
        <v>120</v>
      </c>
      <c r="D2704" s="1" t="str">
        <f>"انبار قطعات و لوازم يدكي بشکه سازي اصفهان"</f>
        <v>انبار قطعات و لوازم يدكي بشکه سازي اصفهان</v>
      </c>
      <c r="E2704" s="1" t="str">
        <f>"4311700250"</f>
        <v>4311700250</v>
      </c>
      <c r="F2704" s="1" t="str">
        <f>"لاستيک توپر ليفتراک 3 تن  15*15*8"</f>
        <v>لاستيک توپر ليفتراک 3 تن  15*15*8</v>
      </c>
      <c r="G2704" s="1" t="str">
        <f>"حلقه"</f>
        <v>حلقه</v>
      </c>
      <c r="H2704" s="1">
        <v>0</v>
      </c>
      <c r="I2704" s="1">
        <v>0</v>
      </c>
      <c r="J2704" s="1">
        <v>2</v>
      </c>
      <c r="K2704" s="1">
        <v>19000000</v>
      </c>
      <c r="L2704" s="1">
        <v>0</v>
      </c>
      <c r="M2704" s="1">
        <v>0</v>
      </c>
      <c r="O2704" s="1">
        <v>97</v>
      </c>
      <c r="P2704" s="4">
        <f t="shared" si="126"/>
        <v>19000000</v>
      </c>
      <c r="Q2704" s="4">
        <f t="shared" si="127"/>
        <v>2</v>
      </c>
      <c r="R2704" s="4">
        <f t="shared" si="128"/>
        <v>9500000</v>
      </c>
    </row>
    <row r="2705" spans="1:18">
      <c r="A2705" s="1">
        <v>2</v>
      </c>
      <c r="B2705" s="1" t="str">
        <f>"قطعات و لوازم يدكي"</f>
        <v>قطعات و لوازم يدكي</v>
      </c>
      <c r="C2705" s="1">
        <v>120</v>
      </c>
      <c r="D2705" s="1" t="str">
        <f>"انبار قطعات و لوازم يدكي بشکه سازي اصفهان"</f>
        <v>انبار قطعات و لوازم يدكي بشکه سازي اصفهان</v>
      </c>
      <c r="E2705" s="1" t="str">
        <f>"4311700255"</f>
        <v>4311700255</v>
      </c>
      <c r="F2705" s="1" t="str">
        <f>"روغن w10"</f>
        <v>روغن w10</v>
      </c>
      <c r="G2705" s="1" t="str">
        <f>"ليتر"</f>
        <v>ليتر</v>
      </c>
      <c r="H2705" s="1">
        <v>0</v>
      </c>
      <c r="I2705" s="1">
        <v>0</v>
      </c>
      <c r="J2705" s="1">
        <v>40</v>
      </c>
      <c r="K2705" s="1">
        <v>3800000</v>
      </c>
      <c r="L2705" s="1">
        <v>20</v>
      </c>
      <c r="M2705" s="1">
        <v>1900000</v>
      </c>
      <c r="O2705" s="1">
        <v>97</v>
      </c>
      <c r="P2705" s="4">
        <f t="shared" si="126"/>
        <v>1900000</v>
      </c>
      <c r="Q2705" s="4">
        <f t="shared" si="127"/>
        <v>20</v>
      </c>
      <c r="R2705" s="4">
        <f t="shared" si="128"/>
        <v>95000</v>
      </c>
    </row>
    <row r="2706" spans="1:18">
      <c r="A2706" s="1">
        <v>2</v>
      </c>
      <c r="B2706" s="1" t="str">
        <f>"قطعات و لوازم يدكي"</f>
        <v>قطعات و لوازم يدكي</v>
      </c>
      <c r="C2706" s="1">
        <v>120</v>
      </c>
      <c r="D2706" s="1" t="str">
        <f>"انبار قطعات و لوازم يدكي بشکه سازي اصفهان"</f>
        <v>انبار قطعات و لوازم يدكي بشکه سازي اصفهان</v>
      </c>
      <c r="E2706" s="1" t="str">
        <f>"4311700267"</f>
        <v>4311700267</v>
      </c>
      <c r="F2706" s="1" t="str">
        <f>"روغن کمپرسور."</f>
        <v>روغن کمپرسور.</v>
      </c>
      <c r="G2706" s="1" t="str">
        <f>"ليتر"</f>
        <v>ليتر</v>
      </c>
      <c r="H2706" s="1">
        <v>0</v>
      </c>
      <c r="I2706" s="1">
        <v>0</v>
      </c>
      <c r="J2706" s="1">
        <v>20</v>
      </c>
      <c r="K2706" s="1">
        <v>1000000</v>
      </c>
      <c r="L2706" s="1">
        <v>0</v>
      </c>
      <c r="M2706" s="1">
        <v>0</v>
      </c>
      <c r="O2706" s="1">
        <v>97</v>
      </c>
      <c r="P2706" s="4">
        <f t="shared" si="126"/>
        <v>1000000</v>
      </c>
      <c r="Q2706" s="4">
        <f t="shared" si="127"/>
        <v>20</v>
      </c>
      <c r="R2706" s="4">
        <f t="shared" si="128"/>
        <v>50000</v>
      </c>
    </row>
    <row r="2707" spans="1:18">
      <c r="A2707" s="1">
        <v>2</v>
      </c>
      <c r="B2707" s="1" t="str">
        <f>"قطعات و لوازم يدكي"</f>
        <v>قطعات و لوازم يدكي</v>
      </c>
      <c r="C2707" s="1">
        <v>120</v>
      </c>
      <c r="D2707" s="1" t="str">
        <f>"انبار قطعات و لوازم يدكي بشکه سازي اصفهان"</f>
        <v>انبار قطعات و لوازم يدكي بشکه سازي اصفهان</v>
      </c>
      <c r="E2707" s="1" t="str">
        <f>"4311700276"</f>
        <v>4311700276</v>
      </c>
      <c r="F2707" s="1" t="str">
        <f>"گسکت سايز 12"</f>
        <v>گسکت سايز 12</v>
      </c>
      <c r="G2707" s="1" t="str">
        <f>"عدد"</f>
        <v>عدد</v>
      </c>
      <c r="H2707" s="1">
        <v>0</v>
      </c>
      <c r="I2707" s="1">
        <v>0</v>
      </c>
      <c r="J2707" s="1">
        <v>12</v>
      </c>
      <c r="K2707" s="1">
        <v>936000</v>
      </c>
      <c r="L2707" s="1">
        <v>0</v>
      </c>
      <c r="M2707" s="1">
        <v>0</v>
      </c>
      <c r="O2707" s="1">
        <v>97</v>
      </c>
      <c r="P2707" s="4">
        <f t="shared" si="126"/>
        <v>936000</v>
      </c>
      <c r="Q2707" s="4">
        <f t="shared" si="127"/>
        <v>12</v>
      </c>
      <c r="R2707" s="4">
        <f t="shared" si="128"/>
        <v>78000</v>
      </c>
    </row>
    <row r="2708" spans="1:18">
      <c r="A2708" s="1">
        <v>2</v>
      </c>
      <c r="B2708" s="1" t="str">
        <f>"قطعات و لوازم يدكي"</f>
        <v>قطعات و لوازم يدكي</v>
      </c>
      <c r="C2708" s="1">
        <v>120</v>
      </c>
      <c r="D2708" s="1" t="str">
        <f>"انبار قطعات و لوازم يدكي بشکه سازي اصفهان"</f>
        <v>انبار قطعات و لوازم يدكي بشکه سازي اصفهان</v>
      </c>
      <c r="E2708" s="1" t="str">
        <f>"4311700297"</f>
        <v>4311700297</v>
      </c>
      <c r="F2708" s="1" t="str">
        <f>"پيچ آلن 88-50*12 - دنده 1/75"</f>
        <v>پيچ آلن 88-50*12 - دنده 1/75</v>
      </c>
      <c r="G2708" s="1" t="str">
        <f>"عدد"</f>
        <v>عدد</v>
      </c>
      <c r="H2708" s="1">
        <v>0</v>
      </c>
      <c r="I2708" s="1">
        <v>0</v>
      </c>
      <c r="J2708" s="1">
        <v>16</v>
      </c>
      <c r="K2708" s="1">
        <v>64000</v>
      </c>
      <c r="L2708" s="1">
        <v>0</v>
      </c>
      <c r="M2708" s="1">
        <v>0</v>
      </c>
      <c r="O2708" s="1">
        <v>97</v>
      </c>
      <c r="P2708" s="4">
        <f t="shared" si="126"/>
        <v>64000</v>
      </c>
      <c r="Q2708" s="4">
        <f t="shared" si="127"/>
        <v>16</v>
      </c>
      <c r="R2708" s="4">
        <f t="shared" si="128"/>
        <v>4000</v>
      </c>
    </row>
    <row r="2709" spans="1:18">
      <c r="A2709" s="1">
        <v>2</v>
      </c>
      <c r="B2709" s="1" t="str">
        <f>"قطعات و لوازم يدكي"</f>
        <v>قطعات و لوازم يدكي</v>
      </c>
      <c r="C2709" s="1">
        <v>120</v>
      </c>
      <c r="D2709" s="1" t="str">
        <f>"انبار قطعات و لوازم يدكي بشکه سازي اصفهان"</f>
        <v>انبار قطعات و لوازم يدكي بشکه سازي اصفهان</v>
      </c>
      <c r="E2709" s="1" t="str">
        <f>"4311700303"</f>
        <v>4311700303</v>
      </c>
      <c r="F2709" s="1" t="str">
        <f>"سه راهي 3/4"</f>
        <v>سه راهي 3/4</v>
      </c>
      <c r="G2709" s="1" t="str">
        <f>"عدد"</f>
        <v>عدد</v>
      </c>
      <c r="H2709" s="1">
        <v>0</v>
      </c>
      <c r="I2709" s="1">
        <v>0</v>
      </c>
      <c r="J2709" s="1">
        <v>2</v>
      </c>
      <c r="K2709" s="1">
        <v>40000</v>
      </c>
      <c r="L2709" s="1">
        <v>0</v>
      </c>
      <c r="M2709" s="1">
        <v>0</v>
      </c>
      <c r="O2709" s="1">
        <v>97</v>
      </c>
      <c r="P2709" s="4">
        <f t="shared" si="126"/>
        <v>40000</v>
      </c>
      <c r="Q2709" s="4">
        <f t="shared" si="127"/>
        <v>2</v>
      </c>
      <c r="R2709" s="4">
        <f t="shared" si="128"/>
        <v>20000</v>
      </c>
    </row>
    <row r="2710" spans="1:18">
      <c r="A2710" s="1">
        <v>2</v>
      </c>
      <c r="B2710" s="1" t="str">
        <f>"قطعات و لوازم يدكي"</f>
        <v>قطعات و لوازم يدكي</v>
      </c>
      <c r="C2710" s="1">
        <v>120</v>
      </c>
      <c r="D2710" s="1" t="str">
        <f>"انبار قطعات و لوازم يدكي بشکه سازي اصفهان"</f>
        <v>انبار قطعات و لوازم يدكي بشکه سازي اصفهان</v>
      </c>
      <c r="E2710" s="1" t="str">
        <f>"4311700324"</f>
        <v>4311700324</v>
      </c>
      <c r="F2710" s="1" t="str">
        <f>"پيچ آلن 7*8 m"</f>
        <v>پيچ آلن 7*8 m</v>
      </c>
      <c r="G2710" s="1" t="str">
        <f>"عدد"</f>
        <v>عدد</v>
      </c>
      <c r="H2710" s="1">
        <v>0</v>
      </c>
      <c r="I2710" s="1">
        <v>0</v>
      </c>
      <c r="J2710" s="1">
        <v>11</v>
      </c>
      <c r="K2710" s="1">
        <v>44000</v>
      </c>
      <c r="L2710" s="1">
        <v>0</v>
      </c>
      <c r="M2710" s="1">
        <v>0</v>
      </c>
      <c r="O2710" s="1">
        <v>97</v>
      </c>
      <c r="P2710" s="4">
        <f t="shared" si="126"/>
        <v>44000</v>
      </c>
      <c r="Q2710" s="4">
        <f t="shared" si="127"/>
        <v>11</v>
      </c>
      <c r="R2710" s="4">
        <f t="shared" si="128"/>
        <v>4000</v>
      </c>
    </row>
    <row r="2711" spans="1:18">
      <c r="A2711" s="1">
        <v>2</v>
      </c>
      <c r="B2711" s="1" t="str">
        <f>"قطعات و لوازم يدكي"</f>
        <v>قطعات و لوازم يدكي</v>
      </c>
      <c r="C2711" s="1">
        <v>120</v>
      </c>
      <c r="D2711" s="1" t="str">
        <f>"انبار قطعات و لوازم يدكي بشکه سازي اصفهان"</f>
        <v>انبار قطعات و لوازم يدكي بشکه سازي اصفهان</v>
      </c>
      <c r="E2711" s="1" t="str">
        <f>"4311700334"</f>
        <v>4311700334</v>
      </c>
      <c r="F2711" s="1" t="str">
        <f>"تيغه قيچي ورق بر دستي"</f>
        <v>تيغه قيچي ورق بر دستي</v>
      </c>
      <c r="G2711" s="1" t="str">
        <f>"جفت"</f>
        <v>جفت</v>
      </c>
      <c r="H2711" s="1">
        <v>0</v>
      </c>
      <c r="I2711" s="1">
        <v>0</v>
      </c>
      <c r="J2711" s="1">
        <v>1</v>
      </c>
      <c r="K2711" s="1">
        <v>1200000</v>
      </c>
      <c r="L2711" s="1">
        <v>0</v>
      </c>
      <c r="M2711" s="1">
        <v>0</v>
      </c>
      <c r="O2711" s="1">
        <v>97</v>
      </c>
      <c r="P2711" s="4">
        <f t="shared" si="126"/>
        <v>1200000</v>
      </c>
      <c r="Q2711" s="4">
        <f t="shared" si="127"/>
        <v>1</v>
      </c>
      <c r="R2711" s="4">
        <f t="shared" si="128"/>
        <v>1200000</v>
      </c>
    </row>
    <row r="2712" spans="1:18">
      <c r="A2712" s="1">
        <v>2</v>
      </c>
      <c r="B2712" s="1" t="str">
        <f>"قطعات و لوازم يدكي"</f>
        <v>قطعات و لوازم يدكي</v>
      </c>
      <c r="C2712" s="1">
        <v>120</v>
      </c>
      <c r="D2712" s="1" t="str">
        <f>"انبار قطعات و لوازم يدكي بشکه سازي اصفهان"</f>
        <v>انبار قطعات و لوازم يدكي بشکه سازي اصفهان</v>
      </c>
      <c r="E2712" s="1" t="str">
        <f>"4311700341"</f>
        <v>4311700341</v>
      </c>
      <c r="F2712" s="1" t="str">
        <f>"پيچ 15*20m"</f>
        <v>پيچ 15*20m</v>
      </c>
      <c r="G2712" s="1" t="str">
        <f>"عدد"</f>
        <v>عدد</v>
      </c>
      <c r="H2712" s="1">
        <v>0</v>
      </c>
      <c r="I2712" s="1">
        <v>0</v>
      </c>
      <c r="J2712" s="1">
        <v>3</v>
      </c>
      <c r="K2712" s="1">
        <v>90000</v>
      </c>
      <c r="L2712" s="1">
        <v>0</v>
      </c>
      <c r="M2712" s="1">
        <v>0</v>
      </c>
      <c r="O2712" s="1">
        <v>97</v>
      </c>
      <c r="P2712" s="4">
        <f t="shared" si="126"/>
        <v>90000</v>
      </c>
      <c r="Q2712" s="4">
        <f t="shared" si="127"/>
        <v>3</v>
      </c>
      <c r="R2712" s="4">
        <f t="shared" si="128"/>
        <v>30000</v>
      </c>
    </row>
    <row r="2713" spans="1:18">
      <c r="A2713" s="1">
        <v>2</v>
      </c>
      <c r="B2713" s="1" t="str">
        <f>"قطعات و لوازم يدكي"</f>
        <v>قطعات و لوازم يدكي</v>
      </c>
      <c r="C2713" s="1">
        <v>120</v>
      </c>
      <c r="D2713" s="1" t="str">
        <f>"انبار قطعات و لوازم يدكي بشکه سازي اصفهان"</f>
        <v>انبار قطعات و لوازم يدكي بشکه سازي اصفهان</v>
      </c>
      <c r="E2713" s="1" t="str">
        <f>"4311700357"</f>
        <v>4311700357</v>
      </c>
      <c r="F2713" s="1" t="str">
        <f>"پيچ و مهره 5*20m"</f>
        <v>پيچ و مهره 5*20m</v>
      </c>
      <c r="G2713" s="1" t="str">
        <f>"عدد"</f>
        <v>عدد</v>
      </c>
      <c r="H2713" s="1">
        <v>0</v>
      </c>
      <c r="I2713" s="1">
        <v>0</v>
      </c>
      <c r="J2713" s="1">
        <v>9</v>
      </c>
      <c r="K2713" s="1">
        <v>144000</v>
      </c>
      <c r="L2713" s="1">
        <v>0</v>
      </c>
      <c r="M2713" s="1">
        <v>0</v>
      </c>
      <c r="O2713" s="1">
        <v>97</v>
      </c>
      <c r="P2713" s="4">
        <f t="shared" si="126"/>
        <v>144000</v>
      </c>
      <c r="Q2713" s="4">
        <f t="shared" si="127"/>
        <v>9</v>
      </c>
      <c r="R2713" s="4">
        <f t="shared" si="128"/>
        <v>16000</v>
      </c>
    </row>
    <row r="2714" spans="1:18">
      <c r="A2714" s="1">
        <v>2</v>
      </c>
      <c r="B2714" s="1" t="str">
        <f>"قطعات و لوازم يدكي"</f>
        <v>قطعات و لوازم يدكي</v>
      </c>
      <c r="C2714" s="1">
        <v>120</v>
      </c>
      <c r="D2714" s="1" t="str">
        <f>"انبار قطعات و لوازم يدكي بشکه سازي اصفهان"</f>
        <v>انبار قطعات و لوازم يدكي بشکه سازي اصفهان</v>
      </c>
      <c r="E2714" s="1" t="str">
        <f>"4311700358"</f>
        <v>4311700358</v>
      </c>
      <c r="F2714" s="1" t="str">
        <f>"پيچ و مهره 5*22m"</f>
        <v>پيچ و مهره 5*22m</v>
      </c>
      <c r="G2714" s="1" t="str">
        <f>"عدد"</f>
        <v>عدد</v>
      </c>
      <c r="H2714" s="1">
        <v>0</v>
      </c>
      <c r="I2714" s="1">
        <v>0</v>
      </c>
      <c r="J2714" s="1">
        <v>10</v>
      </c>
      <c r="K2714" s="1">
        <v>260000</v>
      </c>
      <c r="L2714" s="1">
        <v>0</v>
      </c>
      <c r="M2714" s="1">
        <v>0</v>
      </c>
      <c r="O2714" s="1">
        <v>97</v>
      </c>
      <c r="P2714" s="4">
        <f t="shared" si="126"/>
        <v>260000</v>
      </c>
      <c r="Q2714" s="4">
        <f t="shared" si="127"/>
        <v>10</v>
      </c>
      <c r="R2714" s="4">
        <f t="shared" si="128"/>
        <v>26000</v>
      </c>
    </row>
    <row r="2715" spans="1:18">
      <c r="A2715" s="1">
        <v>2</v>
      </c>
      <c r="B2715" s="1" t="str">
        <f>"قطعات و لوازم يدكي"</f>
        <v>قطعات و لوازم يدكي</v>
      </c>
      <c r="C2715" s="1">
        <v>120</v>
      </c>
      <c r="D2715" s="1" t="str">
        <f>"انبار قطعات و لوازم يدكي بشکه سازي اصفهان"</f>
        <v>انبار قطعات و لوازم يدكي بشکه سازي اصفهان</v>
      </c>
      <c r="E2715" s="1" t="str">
        <f>"4311700359"</f>
        <v>4311700359</v>
      </c>
      <c r="F2715" s="1" t="str">
        <f>"واشر 6 الي 22"</f>
        <v>واشر 6 الي 22</v>
      </c>
      <c r="G2715" s="1" t="str">
        <f>"عدد"</f>
        <v>عدد</v>
      </c>
      <c r="H2715" s="1">
        <v>0</v>
      </c>
      <c r="I2715" s="1">
        <v>0</v>
      </c>
      <c r="J2715" s="1">
        <v>4</v>
      </c>
      <c r="K2715" s="1">
        <v>3902</v>
      </c>
      <c r="L2715" s="1">
        <v>0</v>
      </c>
      <c r="M2715" s="1">
        <v>0</v>
      </c>
      <c r="O2715" s="1">
        <v>97</v>
      </c>
      <c r="P2715" s="4">
        <f t="shared" si="126"/>
        <v>3902</v>
      </c>
      <c r="Q2715" s="4">
        <f t="shared" si="127"/>
        <v>4</v>
      </c>
      <c r="R2715" s="4">
        <f t="shared" si="128"/>
        <v>975.5</v>
      </c>
    </row>
    <row r="2716" spans="1:18">
      <c r="A2716" s="1">
        <v>2</v>
      </c>
      <c r="B2716" s="1" t="str">
        <f>"قطعات و لوازم يدكي"</f>
        <v>قطعات و لوازم يدكي</v>
      </c>
      <c r="C2716" s="1">
        <v>120</v>
      </c>
      <c r="D2716" s="1" t="str">
        <f>"انبار قطعات و لوازم يدكي بشکه سازي اصفهان"</f>
        <v>انبار قطعات و لوازم يدكي بشکه سازي اصفهان</v>
      </c>
      <c r="E2716" s="1" t="str">
        <f>"4311700364"</f>
        <v>4311700364</v>
      </c>
      <c r="F2716" s="1" t="str">
        <f>"واشر گيربکس رول کش (آب بندي )"</f>
        <v>واشر گيربکس رول کش (آب بندي )</v>
      </c>
      <c r="G2716" s="1" t="str">
        <f>"عدد"</f>
        <v>عدد</v>
      </c>
      <c r="H2716" s="1">
        <v>0</v>
      </c>
      <c r="I2716" s="1">
        <v>0</v>
      </c>
      <c r="J2716" s="1">
        <v>1</v>
      </c>
      <c r="K2716" s="1">
        <v>50000</v>
      </c>
      <c r="L2716" s="1">
        <v>0</v>
      </c>
      <c r="M2716" s="1">
        <v>0</v>
      </c>
      <c r="O2716" s="1">
        <v>97</v>
      </c>
      <c r="P2716" s="4">
        <f t="shared" si="126"/>
        <v>50000</v>
      </c>
      <c r="Q2716" s="4">
        <f t="shared" si="127"/>
        <v>1</v>
      </c>
      <c r="R2716" s="4">
        <f t="shared" si="128"/>
        <v>50000</v>
      </c>
    </row>
    <row r="2717" spans="1:18">
      <c r="A2717" s="1">
        <v>2</v>
      </c>
      <c r="B2717" s="1" t="str">
        <f>"قطعات و لوازم يدكي"</f>
        <v>قطعات و لوازم يدكي</v>
      </c>
      <c r="C2717" s="1">
        <v>205</v>
      </c>
      <c r="D2717" s="1" t="str">
        <f>"انبار قطعات و لوازم يدكي بندرعباس"</f>
        <v>انبار قطعات و لوازم يدكي بندرعباس</v>
      </c>
      <c r="E2717" s="1" t="str">
        <f>"1800000356"</f>
        <v>1800000356</v>
      </c>
      <c r="F2717" s="1" t="str">
        <f>"رله شيشه اي فايندر 11 پايه"</f>
        <v>رله شيشه اي فايندر 11 پايه</v>
      </c>
      <c r="G2717" s="1" t="str">
        <f>"عدد"</f>
        <v>عدد</v>
      </c>
      <c r="H2717" s="1">
        <v>32</v>
      </c>
      <c r="I2717" s="1">
        <v>11200000</v>
      </c>
      <c r="J2717" s="1">
        <v>0</v>
      </c>
      <c r="K2717" s="1">
        <v>0</v>
      </c>
      <c r="L2717" s="1">
        <v>0</v>
      </c>
      <c r="M2717" s="1">
        <v>0</v>
      </c>
      <c r="O2717" s="1">
        <v>97</v>
      </c>
      <c r="P2717" s="4">
        <f t="shared" si="126"/>
        <v>11200000</v>
      </c>
      <c r="Q2717" s="4">
        <f t="shared" si="127"/>
        <v>32</v>
      </c>
      <c r="R2717" s="4">
        <f t="shared" si="128"/>
        <v>350000</v>
      </c>
    </row>
    <row r="2718" spans="1:18">
      <c r="A2718" s="1">
        <v>2</v>
      </c>
      <c r="B2718" s="1" t="str">
        <f>"قطعات و لوازم يدكي"</f>
        <v>قطعات و لوازم يدكي</v>
      </c>
      <c r="C2718" s="1">
        <v>205</v>
      </c>
      <c r="D2718" s="1" t="str">
        <f>"انبار قطعات و لوازم يدكي بندرعباس"</f>
        <v>انبار قطعات و لوازم يدكي بندرعباس</v>
      </c>
      <c r="E2718" s="1" t="str">
        <f>"1800000374"</f>
        <v>1800000374</v>
      </c>
      <c r="F2718" s="1" t="str">
        <f>"رول پلاک پلاستيکي 7"</f>
        <v>رول پلاک پلاستيکي 7</v>
      </c>
      <c r="G2718" s="1" t="str">
        <f>"عدد"</f>
        <v>عدد</v>
      </c>
      <c r="H2718" s="1">
        <v>22</v>
      </c>
      <c r="I2718" s="1">
        <v>2200000</v>
      </c>
      <c r="J2718" s="1">
        <v>0</v>
      </c>
      <c r="K2718" s="1">
        <v>0</v>
      </c>
      <c r="L2718" s="1">
        <v>0</v>
      </c>
      <c r="M2718" s="1">
        <v>0</v>
      </c>
      <c r="O2718" s="1">
        <v>97</v>
      </c>
      <c r="P2718" s="4">
        <f t="shared" si="126"/>
        <v>2200000</v>
      </c>
      <c r="Q2718" s="4">
        <f t="shared" si="127"/>
        <v>22</v>
      </c>
      <c r="R2718" s="4">
        <f t="shared" si="128"/>
        <v>100000</v>
      </c>
    </row>
    <row r="2719" spans="1:18" hidden="1">
      <c r="A2719" s="1">
        <v>2</v>
      </c>
      <c r="B2719" s="1" t="str">
        <f>"قطعات و لوازم يدكي"</f>
        <v>قطعات و لوازم يدكي</v>
      </c>
      <c r="C2719" s="1">
        <v>205</v>
      </c>
      <c r="D2719" s="1" t="str">
        <f>"انبار قطعات و لوازم يدكي بندرعباس"</f>
        <v>انبار قطعات و لوازم يدكي بندرعباس</v>
      </c>
      <c r="E2719" s="1" t="str">
        <f>"1800000387"</f>
        <v>1800000387</v>
      </c>
      <c r="F2719" s="1" t="str">
        <f>"واير جرقه نسوز"</f>
        <v>واير جرقه نسوز</v>
      </c>
      <c r="G2719" s="1" t="str">
        <f>"متر"</f>
        <v>متر</v>
      </c>
      <c r="H2719" s="1">
        <v>2</v>
      </c>
      <c r="I2719" s="1">
        <v>200000</v>
      </c>
      <c r="J2719" s="1">
        <v>0</v>
      </c>
      <c r="K2719" s="1">
        <v>0</v>
      </c>
      <c r="L2719" s="1">
        <v>2</v>
      </c>
      <c r="M2719" s="1">
        <v>200000</v>
      </c>
      <c r="O2719" s="1">
        <v>97</v>
      </c>
      <c r="P2719" s="1">
        <f t="shared" si="126"/>
        <v>0</v>
      </c>
      <c r="Q2719" s="1">
        <f t="shared" si="127"/>
        <v>0</v>
      </c>
      <c r="R2719" s="1" t="e">
        <f t="shared" si="128"/>
        <v>#DIV/0!</v>
      </c>
    </row>
    <row r="2720" spans="1:18">
      <c r="A2720" s="1">
        <v>2</v>
      </c>
      <c r="B2720" s="1" t="str">
        <f>"قطعات و لوازم يدكي"</f>
        <v>قطعات و لوازم يدكي</v>
      </c>
      <c r="C2720" s="1">
        <v>205</v>
      </c>
      <c r="D2720" s="1" t="str">
        <f>"انبار قطعات و لوازم يدكي بندرعباس"</f>
        <v>انبار قطعات و لوازم يدكي بندرعباس</v>
      </c>
      <c r="E2720" s="1" t="str">
        <f>"1800000392"</f>
        <v>1800000392</v>
      </c>
      <c r="F2720" s="1" t="str">
        <f>"ساعت نجومي شيوا 20"</f>
        <v>ساعت نجومي شيوا 20</v>
      </c>
      <c r="G2720" s="1" t="str">
        <f>"عدد"</f>
        <v>عدد</v>
      </c>
      <c r="H2720" s="1">
        <v>3</v>
      </c>
      <c r="I2720" s="1">
        <v>1800000</v>
      </c>
      <c r="J2720" s="1">
        <v>0</v>
      </c>
      <c r="K2720" s="1">
        <v>0</v>
      </c>
      <c r="L2720" s="1">
        <v>0</v>
      </c>
      <c r="M2720" s="1">
        <v>0</v>
      </c>
      <c r="O2720" s="1">
        <v>97</v>
      </c>
      <c r="P2720" s="4">
        <f t="shared" si="126"/>
        <v>1800000</v>
      </c>
      <c r="Q2720" s="4">
        <f t="shared" si="127"/>
        <v>3</v>
      </c>
      <c r="R2720" s="4">
        <f t="shared" si="128"/>
        <v>600000</v>
      </c>
    </row>
    <row r="2721" spans="1:18">
      <c r="A2721" s="1">
        <v>2</v>
      </c>
      <c r="B2721" s="1" t="str">
        <f>"قطعات و لوازم يدكي"</f>
        <v>قطعات و لوازم يدكي</v>
      </c>
      <c r="C2721" s="1">
        <v>205</v>
      </c>
      <c r="D2721" s="1" t="str">
        <f>"انبار قطعات و لوازم يدكي بندرعباس"</f>
        <v>انبار قطعات و لوازم يدكي بندرعباس</v>
      </c>
      <c r="E2721" s="1" t="str">
        <f>"1800000396"</f>
        <v>1800000396</v>
      </c>
      <c r="F2721" s="1" t="str">
        <f>"سر شيلنگ آّب"</f>
        <v>سر شيلنگ آّب</v>
      </c>
      <c r="G2721" s="1" t="str">
        <f>"عدد"</f>
        <v>عدد</v>
      </c>
      <c r="H2721" s="1">
        <v>23</v>
      </c>
      <c r="I2721" s="1">
        <v>23000</v>
      </c>
      <c r="J2721" s="1">
        <v>0</v>
      </c>
      <c r="K2721" s="1">
        <v>0</v>
      </c>
      <c r="L2721" s="1">
        <v>0</v>
      </c>
      <c r="M2721" s="1">
        <v>0</v>
      </c>
      <c r="O2721" s="1">
        <v>97</v>
      </c>
      <c r="P2721" s="4">
        <f t="shared" si="126"/>
        <v>23000</v>
      </c>
      <c r="Q2721" s="4">
        <f t="shared" si="127"/>
        <v>23</v>
      </c>
      <c r="R2721" s="4">
        <f t="shared" si="128"/>
        <v>1000</v>
      </c>
    </row>
    <row r="2722" spans="1:18">
      <c r="A2722" s="1">
        <v>2</v>
      </c>
      <c r="B2722" s="1" t="str">
        <f>"قطعات و لوازم يدكي"</f>
        <v>قطعات و لوازم يدكي</v>
      </c>
      <c r="C2722" s="1">
        <v>205</v>
      </c>
      <c r="D2722" s="1" t="str">
        <f>"انبار قطعات و لوازم يدكي بندرعباس"</f>
        <v>انبار قطعات و لوازم يدكي بندرعباس</v>
      </c>
      <c r="E2722" s="1" t="str">
        <f>"1800000398"</f>
        <v>1800000398</v>
      </c>
      <c r="F2722" s="1" t="str">
        <f>"سنسور ترموستات"</f>
        <v>سنسور ترموستات</v>
      </c>
      <c r="G2722" s="1" t="str">
        <f>"عدد"</f>
        <v>عدد</v>
      </c>
      <c r="H2722" s="1">
        <v>1</v>
      </c>
      <c r="I2722" s="1">
        <v>2000000</v>
      </c>
      <c r="J2722" s="1">
        <v>0</v>
      </c>
      <c r="K2722" s="1">
        <v>0</v>
      </c>
      <c r="L2722" s="1">
        <v>0</v>
      </c>
      <c r="M2722" s="1">
        <v>0</v>
      </c>
      <c r="O2722" s="1">
        <v>97</v>
      </c>
      <c r="P2722" s="4">
        <f t="shared" si="126"/>
        <v>2000000</v>
      </c>
      <c r="Q2722" s="4">
        <f t="shared" si="127"/>
        <v>1</v>
      </c>
      <c r="R2722" s="4">
        <f t="shared" si="128"/>
        <v>2000000</v>
      </c>
    </row>
    <row r="2723" spans="1:18">
      <c r="A2723" s="1">
        <v>2</v>
      </c>
      <c r="B2723" s="1" t="str">
        <f>"قطعات و لوازم يدكي"</f>
        <v>قطعات و لوازم يدكي</v>
      </c>
      <c r="C2723" s="1">
        <v>205</v>
      </c>
      <c r="D2723" s="1" t="str">
        <f>"انبار قطعات و لوازم يدكي بندرعباس"</f>
        <v>انبار قطعات و لوازم يدكي بندرعباس</v>
      </c>
      <c r="E2723" s="1" t="str">
        <f>"1800000399"</f>
        <v>1800000399</v>
      </c>
      <c r="F2723" s="1" t="str">
        <f>"سنسور ترمومتر"</f>
        <v>سنسور ترمومتر</v>
      </c>
      <c r="G2723" s="1" t="str">
        <f>"عدد"</f>
        <v>عدد</v>
      </c>
      <c r="H2723" s="1">
        <v>2</v>
      </c>
      <c r="I2723" s="1">
        <v>4000000</v>
      </c>
      <c r="J2723" s="1">
        <v>0</v>
      </c>
      <c r="K2723" s="1">
        <v>0</v>
      </c>
      <c r="L2723" s="1">
        <v>0</v>
      </c>
      <c r="M2723" s="1">
        <v>0</v>
      </c>
      <c r="O2723" s="1">
        <v>97</v>
      </c>
      <c r="P2723" s="4">
        <f t="shared" si="126"/>
        <v>4000000</v>
      </c>
      <c r="Q2723" s="4">
        <f t="shared" si="127"/>
        <v>2</v>
      </c>
      <c r="R2723" s="4">
        <f t="shared" si="128"/>
        <v>2000000</v>
      </c>
    </row>
    <row r="2724" spans="1:18">
      <c r="A2724" s="1">
        <v>2</v>
      </c>
      <c r="B2724" s="1" t="str">
        <f>"قطعات و لوازم يدكي"</f>
        <v>قطعات و لوازم يدكي</v>
      </c>
      <c r="C2724" s="1">
        <v>205</v>
      </c>
      <c r="D2724" s="1" t="str">
        <f>"انبار قطعات و لوازم يدكي بندرعباس"</f>
        <v>انبار قطعات و لوازم يدكي بندرعباس</v>
      </c>
      <c r="E2724" s="1" t="str">
        <f>"1800000408"</f>
        <v>1800000408</v>
      </c>
      <c r="F2724" s="1" t="str">
        <f>"سه راه پي وي سي 63*63-45"</f>
        <v>سه راه پي وي سي 63*63-45</v>
      </c>
      <c r="G2724" s="1" t="str">
        <f>"عدد"</f>
        <v>عدد</v>
      </c>
      <c r="H2724" s="1">
        <v>6</v>
      </c>
      <c r="I2724" s="1">
        <v>600000</v>
      </c>
      <c r="J2724" s="1">
        <v>0</v>
      </c>
      <c r="K2724" s="1">
        <v>0</v>
      </c>
      <c r="L2724" s="1">
        <v>0</v>
      </c>
      <c r="M2724" s="1">
        <v>0</v>
      </c>
      <c r="O2724" s="1">
        <v>97</v>
      </c>
      <c r="P2724" s="4">
        <f t="shared" si="126"/>
        <v>600000</v>
      </c>
      <c r="Q2724" s="4">
        <f t="shared" si="127"/>
        <v>6</v>
      </c>
      <c r="R2724" s="4">
        <f t="shared" si="128"/>
        <v>100000</v>
      </c>
    </row>
    <row r="2725" spans="1:18">
      <c r="A2725" s="1">
        <v>2</v>
      </c>
      <c r="B2725" s="1" t="str">
        <f>"قطعات و لوازم يدكي"</f>
        <v>قطعات و لوازم يدكي</v>
      </c>
      <c r="C2725" s="1">
        <v>205</v>
      </c>
      <c r="D2725" s="1" t="str">
        <f>"انبار قطعات و لوازم يدكي بندرعباس"</f>
        <v>انبار قطعات و لوازم يدكي بندرعباس</v>
      </c>
      <c r="E2725" s="1" t="str">
        <f>"1800000409"</f>
        <v>1800000409</v>
      </c>
      <c r="F2725" s="1" t="str">
        <f>"سه راه پي وي سي 90"</f>
        <v>سه راه پي وي سي 90</v>
      </c>
      <c r="G2725" s="1" t="str">
        <f>"عدد"</f>
        <v>عدد</v>
      </c>
      <c r="H2725" s="1">
        <v>1</v>
      </c>
      <c r="I2725" s="1">
        <v>100000</v>
      </c>
      <c r="J2725" s="1">
        <v>0</v>
      </c>
      <c r="K2725" s="1">
        <v>0</v>
      </c>
      <c r="L2725" s="1">
        <v>0</v>
      </c>
      <c r="M2725" s="1">
        <v>0</v>
      </c>
      <c r="O2725" s="1">
        <v>97</v>
      </c>
      <c r="P2725" s="4">
        <f t="shared" si="126"/>
        <v>100000</v>
      </c>
      <c r="Q2725" s="4">
        <f t="shared" si="127"/>
        <v>1</v>
      </c>
      <c r="R2725" s="4">
        <f t="shared" si="128"/>
        <v>100000</v>
      </c>
    </row>
    <row r="2726" spans="1:18">
      <c r="A2726" s="1">
        <v>2</v>
      </c>
      <c r="B2726" s="1" t="str">
        <f>"قطعات و لوازم يدكي"</f>
        <v>قطعات و لوازم يدكي</v>
      </c>
      <c r="C2726" s="1">
        <v>205</v>
      </c>
      <c r="D2726" s="1" t="str">
        <f>"انبار قطعات و لوازم يدكي بندرعباس"</f>
        <v>انبار قطعات و لوازم يدكي بندرعباس</v>
      </c>
      <c r="E2726" s="1" t="str">
        <f>"1800000418"</f>
        <v>1800000418</v>
      </c>
      <c r="F2726" s="1" t="str">
        <f>"سيم آرماتوربندي 1.5"</f>
        <v>سيم آرماتوربندي 1.5</v>
      </c>
      <c r="G2726" s="1" t="str">
        <f>"كيلوگرم"</f>
        <v>كيلوگرم</v>
      </c>
      <c r="H2726" s="1">
        <v>8</v>
      </c>
      <c r="I2726" s="1">
        <v>160000</v>
      </c>
      <c r="J2726" s="1">
        <v>17.3</v>
      </c>
      <c r="K2726" s="1">
        <v>1211000</v>
      </c>
      <c r="L2726" s="1">
        <v>23</v>
      </c>
      <c r="M2726" s="1">
        <v>1210000</v>
      </c>
      <c r="O2726" s="1">
        <v>97</v>
      </c>
      <c r="P2726" s="4">
        <f t="shared" si="126"/>
        <v>161000</v>
      </c>
      <c r="Q2726" s="4">
        <f t="shared" si="127"/>
        <v>2.3000000000000007</v>
      </c>
      <c r="R2726" s="4">
        <f t="shared" si="128"/>
        <v>69999.999999999985</v>
      </c>
    </row>
    <row r="2727" spans="1:18">
      <c r="A2727" s="1">
        <v>2</v>
      </c>
      <c r="B2727" s="1" t="str">
        <f>"قطعات و لوازم يدكي"</f>
        <v>قطعات و لوازم يدكي</v>
      </c>
      <c r="C2727" s="1">
        <v>205</v>
      </c>
      <c r="D2727" s="1" t="str">
        <f>"انبار قطعات و لوازم يدكي بندرعباس"</f>
        <v>انبار قطعات و لوازم يدكي بندرعباس</v>
      </c>
      <c r="E2727" s="1" t="str">
        <f>"1800000426"</f>
        <v>1800000426</v>
      </c>
      <c r="F2727" s="1" t="str">
        <f>"شاسي استارت-استپ وستهامز"</f>
        <v>شاسي استارت-استپ وستهامز</v>
      </c>
      <c r="G2727" s="1" t="str">
        <f>"عدد"</f>
        <v>عدد</v>
      </c>
      <c r="H2727" s="1">
        <v>2</v>
      </c>
      <c r="I2727" s="1">
        <v>380000</v>
      </c>
      <c r="J2727" s="1">
        <v>0</v>
      </c>
      <c r="K2727" s="1">
        <v>0</v>
      </c>
      <c r="L2727" s="1">
        <v>0</v>
      </c>
      <c r="M2727" s="1">
        <v>0</v>
      </c>
      <c r="O2727" s="1">
        <v>97</v>
      </c>
      <c r="P2727" s="4">
        <f t="shared" si="126"/>
        <v>380000</v>
      </c>
      <c r="Q2727" s="4">
        <f t="shared" si="127"/>
        <v>2</v>
      </c>
      <c r="R2727" s="4">
        <f t="shared" si="128"/>
        <v>190000</v>
      </c>
    </row>
    <row r="2728" spans="1:18">
      <c r="A2728" s="1">
        <v>2</v>
      </c>
      <c r="B2728" s="1" t="str">
        <f>"قطعات و لوازم يدكي"</f>
        <v>قطعات و لوازم يدكي</v>
      </c>
      <c r="C2728" s="1">
        <v>205</v>
      </c>
      <c r="D2728" s="1" t="str">
        <f>"انبار قطعات و لوازم يدكي بندرعباس"</f>
        <v>انبار قطعات و لوازم يدكي بندرعباس</v>
      </c>
      <c r="E2728" s="1" t="str">
        <f>"1800000428"</f>
        <v>1800000428</v>
      </c>
      <c r="F2728" s="1" t="str">
        <f>"شاسي استپ وستهامز"</f>
        <v>شاسي استپ وستهامز</v>
      </c>
      <c r="G2728" s="1" t="str">
        <f>"عدد"</f>
        <v>عدد</v>
      </c>
      <c r="H2728" s="1">
        <v>5</v>
      </c>
      <c r="I2728" s="1">
        <v>750000</v>
      </c>
      <c r="J2728" s="1">
        <v>0</v>
      </c>
      <c r="K2728" s="1">
        <v>0</v>
      </c>
      <c r="L2728" s="1">
        <v>1</v>
      </c>
      <c r="M2728" s="1">
        <v>150000</v>
      </c>
      <c r="O2728" s="1">
        <v>97</v>
      </c>
      <c r="P2728" s="4">
        <f t="shared" si="126"/>
        <v>600000</v>
      </c>
      <c r="Q2728" s="4">
        <f t="shared" si="127"/>
        <v>4</v>
      </c>
      <c r="R2728" s="4">
        <f t="shared" si="128"/>
        <v>150000</v>
      </c>
    </row>
    <row r="2729" spans="1:18">
      <c r="A2729" s="1">
        <v>2</v>
      </c>
      <c r="B2729" s="1" t="str">
        <f>"قطعات و لوازم يدكي"</f>
        <v>قطعات و لوازم يدكي</v>
      </c>
      <c r="C2729" s="1">
        <v>205</v>
      </c>
      <c r="D2729" s="1" t="str">
        <f>"انبار قطعات و لوازم يدكي بندرعباس"</f>
        <v>انبار قطعات و لوازم يدكي بندرعباس</v>
      </c>
      <c r="E2729" s="1" t="str">
        <f>"1800000431"</f>
        <v>1800000431</v>
      </c>
      <c r="F2729" s="1" t="str">
        <f>"شتر گلويي pvc 63*135"</f>
        <v>شتر گلويي pvc 63*135</v>
      </c>
      <c r="G2729" s="1" t="str">
        <f>"عدد"</f>
        <v>عدد</v>
      </c>
      <c r="H2729" s="1">
        <v>2</v>
      </c>
      <c r="I2729" s="1">
        <v>300000</v>
      </c>
      <c r="J2729" s="1">
        <v>0</v>
      </c>
      <c r="K2729" s="1">
        <v>0</v>
      </c>
      <c r="L2729" s="1">
        <v>0</v>
      </c>
      <c r="M2729" s="1">
        <v>0</v>
      </c>
      <c r="O2729" s="1">
        <v>97</v>
      </c>
      <c r="P2729" s="4">
        <f t="shared" si="126"/>
        <v>300000</v>
      </c>
      <c r="Q2729" s="4">
        <f t="shared" si="127"/>
        <v>2</v>
      </c>
      <c r="R2729" s="4">
        <f t="shared" si="128"/>
        <v>150000</v>
      </c>
    </row>
    <row r="2730" spans="1:18">
      <c r="A2730" s="1">
        <v>2</v>
      </c>
      <c r="B2730" s="1" t="str">
        <f>"قطعات و لوازم يدكي"</f>
        <v>قطعات و لوازم يدكي</v>
      </c>
      <c r="C2730" s="1">
        <v>205</v>
      </c>
      <c r="D2730" s="1" t="str">
        <f>"انبار قطعات و لوازم يدكي بندرعباس"</f>
        <v>انبار قطعات و لوازم يدكي بندرعباس</v>
      </c>
      <c r="E2730" s="1" t="str">
        <f>"1800000437"</f>
        <v>1800000437</v>
      </c>
      <c r="F2730" s="1" t="str">
        <f>"شورت نيپل يکسررزوه"</f>
        <v>شورت نيپل يکسررزوه</v>
      </c>
      <c r="G2730" s="1" t="str">
        <f>"عدد"</f>
        <v>عدد</v>
      </c>
      <c r="H2730" s="1">
        <v>5</v>
      </c>
      <c r="I2730" s="1">
        <v>1000000</v>
      </c>
      <c r="J2730" s="1">
        <v>0</v>
      </c>
      <c r="K2730" s="1">
        <v>0</v>
      </c>
      <c r="L2730" s="1">
        <v>0</v>
      </c>
      <c r="M2730" s="1">
        <v>0</v>
      </c>
      <c r="O2730" s="1">
        <v>97</v>
      </c>
      <c r="P2730" s="4">
        <f t="shared" si="126"/>
        <v>1000000</v>
      </c>
      <c r="Q2730" s="4">
        <f t="shared" si="127"/>
        <v>5</v>
      </c>
      <c r="R2730" s="4">
        <f t="shared" si="128"/>
        <v>200000</v>
      </c>
    </row>
    <row r="2731" spans="1:18" hidden="1">
      <c r="A2731" s="1">
        <v>2</v>
      </c>
      <c r="B2731" s="1" t="str">
        <f>"قطعات و لوازم يدكي"</f>
        <v>قطعات و لوازم يدكي</v>
      </c>
      <c r="C2731" s="1">
        <v>205</v>
      </c>
      <c r="D2731" s="1" t="str">
        <f>"انبار قطعات و لوازم يدكي بندرعباس"</f>
        <v>انبار قطعات و لوازم يدكي بندرعباس</v>
      </c>
      <c r="E2731" s="1" t="str">
        <f>"1800000452"</f>
        <v>1800000452</v>
      </c>
      <c r="F2731" s="1" t="str">
        <f>"شيلنگ گاز 20"</f>
        <v>شيلنگ گاز 20</v>
      </c>
      <c r="G2731" s="1" t="str">
        <f>"متر"</f>
        <v>متر</v>
      </c>
      <c r="H2731" s="1">
        <v>14</v>
      </c>
      <c r="I2731" s="1">
        <v>1400000</v>
      </c>
      <c r="J2731" s="1">
        <v>0</v>
      </c>
      <c r="K2731" s="1">
        <v>0</v>
      </c>
      <c r="L2731" s="1">
        <v>14</v>
      </c>
      <c r="M2731" s="1">
        <v>1400000</v>
      </c>
      <c r="O2731" s="1">
        <v>97</v>
      </c>
      <c r="P2731" s="1">
        <f t="shared" si="126"/>
        <v>0</v>
      </c>
      <c r="Q2731" s="1">
        <f t="shared" si="127"/>
        <v>0</v>
      </c>
      <c r="R2731" s="1" t="e">
        <f t="shared" si="128"/>
        <v>#DIV/0!</v>
      </c>
    </row>
    <row r="2732" spans="1:18" hidden="1">
      <c r="A2732" s="1">
        <v>2</v>
      </c>
      <c r="B2732" s="1" t="str">
        <f>"قطعات و لوازم يدكي"</f>
        <v>قطعات و لوازم يدكي</v>
      </c>
      <c r="C2732" s="1">
        <v>205</v>
      </c>
      <c r="D2732" s="1" t="str">
        <f>"انبار قطعات و لوازم يدكي بندرعباس"</f>
        <v>انبار قطعات و لوازم يدكي بندرعباس</v>
      </c>
      <c r="E2732" s="1" t="str">
        <f>"1800000456"</f>
        <v>1800000456</v>
      </c>
      <c r="F2732" s="1" t="str">
        <f>"صفحه سنگ برش 3"</f>
        <v>صفحه سنگ برش 3</v>
      </c>
      <c r="G2732" s="1" t="str">
        <f>"عدد"</f>
        <v>عدد</v>
      </c>
      <c r="H2732" s="1">
        <v>1</v>
      </c>
      <c r="I2732" s="1">
        <v>20000</v>
      </c>
      <c r="J2732" s="1">
        <v>10</v>
      </c>
      <c r="K2732" s="1">
        <v>700000</v>
      </c>
      <c r="L2732" s="1">
        <v>11</v>
      </c>
      <c r="M2732" s="1">
        <v>720000</v>
      </c>
      <c r="O2732" s="1">
        <v>97</v>
      </c>
      <c r="P2732" s="1">
        <f t="shared" si="126"/>
        <v>0</v>
      </c>
      <c r="Q2732" s="1">
        <f t="shared" si="127"/>
        <v>0</v>
      </c>
      <c r="R2732" s="1" t="e">
        <f t="shared" si="128"/>
        <v>#DIV/0!</v>
      </c>
    </row>
    <row r="2733" spans="1:18">
      <c r="A2733" s="1">
        <v>2</v>
      </c>
      <c r="B2733" s="1" t="str">
        <f>"قطعات و لوازم يدكي"</f>
        <v>قطعات و لوازم يدكي</v>
      </c>
      <c r="C2733" s="1">
        <v>205</v>
      </c>
      <c r="D2733" s="1" t="str">
        <f>"انبار قطعات و لوازم يدكي بندرعباس"</f>
        <v>انبار قطعات و لوازم يدكي بندرعباس</v>
      </c>
      <c r="E2733" s="1" t="str">
        <f>"1800000459"</f>
        <v>1800000459</v>
      </c>
      <c r="F2733" s="1" t="str">
        <f>"فاشت استيل 25*4/6"</f>
        <v>فاشت استيل 25*4/6</v>
      </c>
      <c r="G2733" s="1" t="str">
        <f>"عدد"</f>
        <v>عدد</v>
      </c>
      <c r="H2733" s="1">
        <v>102</v>
      </c>
      <c r="I2733" s="1">
        <v>153000</v>
      </c>
      <c r="J2733" s="1">
        <v>0</v>
      </c>
      <c r="K2733" s="1">
        <v>0</v>
      </c>
      <c r="L2733" s="1">
        <v>49</v>
      </c>
      <c r="M2733" s="1">
        <v>73500</v>
      </c>
      <c r="O2733" s="1">
        <v>97</v>
      </c>
      <c r="P2733" s="4">
        <f t="shared" si="126"/>
        <v>79500</v>
      </c>
      <c r="Q2733" s="4">
        <f t="shared" si="127"/>
        <v>53</v>
      </c>
      <c r="R2733" s="4">
        <f t="shared" si="128"/>
        <v>1500</v>
      </c>
    </row>
    <row r="2734" spans="1:18">
      <c r="A2734" s="1">
        <v>2</v>
      </c>
      <c r="B2734" s="1" t="str">
        <f>"قطعات و لوازم يدكي"</f>
        <v>قطعات و لوازم يدكي</v>
      </c>
      <c r="C2734" s="1">
        <v>205</v>
      </c>
      <c r="D2734" s="1" t="str">
        <f>"انبار قطعات و لوازم يدكي بندرعباس"</f>
        <v>انبار قطعات و لوازم يدكي بندرعباس</v>
      </c>
      <c r="E2734" s="1" t="str">
        <f>"1800000464"</f>
        <v>1800000464</v>
      </c>
      <c r="F2734" s="1" t="str">
        <f>"فتوسل مشعل بويلر"</f>
        <v>فتوسل مشعل بويلر</v>
      </c>
      <c r="G2734" s="1" t="str">
        <f>"عدد"</f>
        <v>عدد</v>
      </c>
      <c r="H2734" s="1">
        <v>4</v>
      </c>
      <c r="I2734" s="1">
        <v>12000000</v>
      </c>
      <c r="J2734" s="1">
        <v>0</v>
      </c>
      <c r="K2734" s="1">
        <v>0</v>
      </c>
      <c r="L2734" s="1">
        <v>0</v>
      </c>
      <c r="M2734" s="1">
        <v>0</v>
      </c>
      <c r="O2734" s="1">
        <v>97</v>
      </c>
      <c r="P2734" s="4">
        <f t="shared" si="126"/>
        <v>12000000</v>
      </c>
      <c r="Q2734" s="4">
        <f t="shared" si="127"/>
        <v>4</v>
      </c>
      <c r="R2734" s="4">
        <f t="shared" si="128"/>
        <v>3000000</v>
      </c>
    </row>
    <row r="2735" spans="1:18">
      <c r="A2735" s="1">
        <v>2</v>
      </c>
      <c r="B2735" s="1" t="str">
        <f>"قطعات و لوازم يدكي"</f>
        <v>قطعات و لوازم يدكي</v>
      </c>
      <c r="C2735" s="1">
        <v>205</v>
      </c>
      <c r="D2735" s="1" t="str">
        <f>"انبار قطعات و لوازم يدكي بندرعباس"</f>
        <v>انبار قطعات و لوازم يدكي بندرعباس</v>
      </c>
      <c r="E2735" s="1" t="str">
        <f>"1800000525"</f>
        <v>1800000525</v>
      </c>
      <c r="F2735" s="1" t="str">
        <f>"کاسه نمد 7-52-33"</f>
        <v>کاسه نمد 7-52-33</v>
      </c>
      <c r="G2735" s="1" t="str">
        <f>"عدد"</f>
        <v>عدد</v>
      </c>
      <c r="H2735" s="1">
        <v>2</v>
      </c>
      <c r="I2735" s="1">
        <v>40000</v>
      </c>
      <c r="J2735" s="1">
        <v>0</v>
      </c>
      <c r="K2735" s="1">
        <v>0</v>
      </c>
      <c r="L2735" s="1">
        <v>0</v>
      </c>
      <c r="M2735" s="1">
        <v>0</v>
      </c>
      <c r="O2735" s="1">
        <v>97</v>
      </c>
      <c r="P2735" s="4">
        <f t="shared" si="126"/>
        <v>40000</v>
      </c>
      <c r="Q2735" s="4">
        <f t="shared" si="127"/>
        <v>2</v>
      </c>
      <c r="R2735" s="4">
        <f t="shared" si="128"/>
        <v>20000</v>
      </c>
    </row>
    <row r="2736" spans="1:18">
      <c r="A2736" s="1">
        <v>2</v>
      </c>
      <c r="B2736" s="1" t="str">
        <f>"قطعات و لوازم يدكي"</f>
        <v>قطعات و لوازم يدكي</v>
      </c>
      <c r="C2736" s="1">
        <v>205</v>
      </c>
      <c r="D2736" s="1" t="str">
        <f>"انبار قطعات و لوازم يدكي بندرعباس"</f>
        <v>انبار قطعات و لوازم يدكي بندرعباس</v>
      </c>
      <c r="E2736" s="1" t="str">
        <f>"1800000530"</f>
        <v>1800000530</v>
      </c>
      <c r="F2736" s="1" t="str">
        <f>"کالر (بوشن) 3/4"</f>
        <v>کالر (بوشن) 3/4</v>
      </c>
      <c r="G2736" s="1" t="str">
        <f>"عدد"</f>
        <v>عدد</v>
      </c>
      <c r="H2736" s="1">
        <v>89</v>
      </c>
      <c r="I2736" s="1">
        <v>4895000</v>
      </c>
      <c r="J2736" s="1">
        <v>0</v>
      </c>
      <c r="K2736" s="1">
        <v>0</v>
      </c>
      <c r="L2736" s="1">
        <v>13</v>
      </c>
      <c r="M2736" s="1">
        <v>715000</v>
      </c>
      <c r="O2736" s="1">
        <v>97</v>
      </c>
      <c r="P2736" s="4">
        <f t="shared" si="126"/>
        <v>4180000</v>
      </c>
      <c r="Q2736" s="4">
        <f t="shared" si="127"/>
        <v>76</v>
      </c>
      <c r="R2736" s="4">
        <f t="shared" si="128"/>
        <v>55000</v>
      </c>
    </row>
    <row r="2737" spans="1:18">
      <c r="A2737" s="1">
        <v>2</v>
      </c>
      <c r="B2737" s="1" t="str">
        <f>"قطعات و لوازم يدكي"</f>
        <v>قطعات و لوازم يدكي</v>
      </c>
      <c r="C2737" s="1">
        <v>205</v>
      </c>
      <c r="D2737" s="1" t="str">
        <f>"انبار قطعات و لوازم يدكي بندرعباس"</f>
        <v>انبار قطعات و لوازم يدكي بندرعباس</v>
      </c>
      <c r="E2737" s="1" t="str">
        <f>"1800000533"</f>
        <v>1800000533</v>
      </c>
      <c r="F2737" s="1" t="str">
        <f>"کلاهک شير مخلوط"</f>
        <v>کلاهک شير مخلوط</v>
      </c>
      <c r="G2737" s="1" t="str">
        <f>"عدد"</f>
        <v>عدد</v>
      </c>
      <c r="H2737" s="1">
        <v>1</v>
      </c>
      <c r="I2737" s="1">
        <v>300000</v>
      </c>
      <c r="J2737" s="1">
        <v>0</v>
      </c>
      <c r="K2737" s="1">
        <v>0</v>
      </c>
      <c r="L2737" s="1">
        <v>0</v>
      </c>
      <c r="M2737" s="1">
        <v>0</v>
      </c>
      <c r="O2737" s="1">
        <v>97</v>
      </c>
      <c r="P2737" s="4">
        <f t="shared" si="126"/>
        <v>300000</v>
      </c>
      <c r="Q2737" s="4">
        <f t="shared" si="127"/>
        <v>1</v>
      </c>
      <c r="R2737" s="4">
        <f t="shared" si="128"/>
        <v>300000</v>
      </c>
    </row>
    <row r="2738" spans="1:18">
      <c r="A2738" s="1">
        <v>2</v>
      </c>
      <c r="B2738" s="1" t="str">
        <f>"قطعات و لوازم يدكي"</f>
        <v>قطعات و لوازم يدكي</v>
      </c>
      <c r="C2738" s="1">
        <v>205</v>
      </c>
      <c r="D2738" s="1" t="str">
        <f>"انبار قطعات و لوازم يدكي بندرعباس"</f>
        <v>انبار قطعات و لوازم يدكي بندرعباس</v>
      </c>
      <c r="E2738" s="1" t="str">
        <f>"1800000535"</f>
        <v>1800000535</v>
      </c>
      <c r="F2738" s="1" t="str">
        <f>"کلمپ هوايي"</f>
        <v>کلمپ هوايي</v>
      </c>
      <c r="G2738" s="1" t="str">
        <f>"عدد"</f>
        <v>عدد</v>
      </c>
      <c r="H2738" s="1">
        <v>5</v>
      </c>
      <c r="I2738" s="1">
        <v>250000</v>
      </c>
      <c r="J2738" s="1">
        <v>0</v>
      </c>
      <c r="K2738" s="1">
        <v>0</v>
      </c>
      <c r="L2738" s="1">
        <v>0</v>
      </c>
      <c r="M2738" s="1">
        <v>0</v>
      </c>
      <c r="O2738" s="1">
        <v>97</v>
      </c>
      <c r="P2738" s="4">
        <f t="shared" si="126"/>
        <v>250000</v>
      </c>
      <c r="Q2738" s="4">
        <f t="shared" si="127"/>
        <v>5</v>
      </c>
      <c r="R2738" s="4">
        <f t="shared" si="128"/>
        <v>50000</v>
      </c>
    </row>
    <row r="2739" spans="1:18">
      <c r="A2739" s="1">
        <v>2</v>
      </c>
      <c r="B2739" s="1" t="str">
        <f>"قطعات و لوازم يدكي"</f>
        <v>قطعات و لوازم يدكي</v>
      </c>
      <c r="C2739" s="1">
        <v>205</v>
      </c>
      <c r="D2739" s="1" t="str">
        <f>"انبار قطعات و لوازم يدكي بندرعباس"</f>
        <v>انبار قطعات و لوازم يدكي بندرعباس</v>
      </c>
      <c r="E2739" s="1" t="str">
        <f>"1800000548"</f>
        <v>1800000548</v>
      </c>
      <c r="F2739" s="1" t="str">
        <f>"کليد موتوري اشنايدر 65"</f>
        <v>کليد موتوري اشنايدر 65</v>
      </c>
      <c r="G2739" s="1" t="str">
        <f>"عدد"</f>
        <v>عدد</v>
      </c>
      <c r="H2739" s="1">
        <v>1</v>
      </c>
      <c r="I2739" s="1">
        <v>2700000</v>
      </c>
      <c r="J2739" s="1">
        <v>0</v>
      </c>
      <c r="K2739" s="1">
        <v>0</v>
      </c>
      <c r="L2739" s="1">
        <v>0</v>
      </c>
      <c r="M2739" s="1">
        <v>0</v>
      </c>
      <c r="O2739" s="1">
        <v>97</v>
      </c>
      <c r="P2739" s="4">
        <f t="shared" si="126"/>
        <v>2700000</v>
      </c>
      <c r="Q2739" s="4">
        <f t="shared" si="127"/>
        <v>1</v>
      </c>
      <c r="R2739" s="4">
        <f t="shared" si="128"/>
        <v>2700000</v>
      </c>
    </row>
    <row r="2740" spans="1:18">
      <c r="A2740" s="1">
        <v>2</v>
      </c>
      <c r="B2740" s="1" t="str">
        <f>"قطعات و لوازم يدكي"</f>
        <v>قطعات و لوازم يدكي</v>
      </c>
      <c r="C2740" s="1">
        <v>205</v>
      </c>
      <c r="D2740" s="1" t="str">
        <f>"انبار قطعات و لوازم يدكي بندرعباس"</f>
        <v>انبار قطعات و لوازم يدكي بندرعباس</v>
      </c>
      <c r="E2740" s="1" t="str">
        <f>"1800000550"</f>
        <v>1800000550</v>
      </c>
      <c r="F2740" s="1" t="str">
        <f>"کنتاکتور اشنايدر 60-40"</f>
        <v>کنتاکتور اشنايدر 60-40</v>
      </c>
      <c r="G2740" s="1" t="str">
        <f>"عدد"</f>
        <v>عدد</v>
      </c>
      <c r="H2740" s="1">
        <v>6</v>
      </c>
      <c r="I2740" s="1">
        <v>6000000</v>
      </c>
      <c r="J2740" s="1">
        <v>0</v>
      </c>
      <c r="K2740" s="1">
        <v>0</v>
      </c>
      <c r="L2740" s="1">
        <v>0</v>
      </c>
      <c r="M2740" s="1">
        <v>0</v>
      </c>
      <c r="O2740" s="1">
        <v>97</v>
      </c>
      <c r="P2740" s="4">
        <f t="shared" si="126"/>
        <v>6000000</v>
      </c>
      <c r="Q2740" s="4">
        <f t="shared" si="127"/>
        <v>6</v>
      </c>
      <c r="R2740" s="4">
        <f t="shared" si="128"/>
        <v>1000000</v>
      </c>
    </row>
    <row r="2741" spans="1:18" hidden="1">
      <c r="A2741" s="1">
        <v>2</v>
      </c>
      <c r="B2741" s="1" t="str">
        <f>"قطعات و لوازم يدكي"</f>
        <v>قطعات و لوازم يدكي</v>
      </c>
      <c r="C2741" s="1">
        <v>205</v>
      </c>
      <c r="D2741" s="1" t="str">
        <f>"انبار قطعات و لوازم يدكي بندرعباس"</f>
        <v>انبار قطعات و لوازم يدكي بندرعباس</v>
      </c>
      <c r="E2741" s="1" t="str">
        <f>"1800000553"</f>
        <v>1800000553</v>
      </c>
      <c r="F2741" s="1" t="str">
        <f>"کنتاکتور اشنايدر 32"</f>
        <v>کنتاکتور اشنايدر 32</v>
      </c>
      <c r="G2741" s="1" t="str">
        <f>"عدد"</f>
        <v>عدد</v>
      </c>
      <c r="H2741" s="1">
        <v>2</v>
      </c>
      <c r="I2741" s="1">
        <v>2000000</v>
      </c>
      <c r="J2741" s="1">
        <v>0</v>
      </c>
      <c r="K2741" s="1">
        <v>0</v>
      </c>
      <c r="L2741" s="1">
        <v>2</v>
      </c>
      <c r="M2741" s="1">
        <v>2000000</v>
      </c>
      <c r="O2741" s="1">
        <v>97</v>
      </c>
      <c r="P2741" s="1">
        <f t="shared" si="126"/>
        <v>0</v>
      </c>
      <c r="Q2741" s="1">
        <f t="shared" si="127"/>
        <v>0</v>
      </c>
      <c r="R2741" s="1" t="e">
        <f t="shared" si="128"/>
        <v>#DIV/0!</v>
      </c>
    </row>
    <row r="2742" spans="1:18">
      <c r="A2742" s="1">
        <v>2</v>
      </c>
      <c r="B2742" s="1" t="str">
        <f>"قطعات و لوازم يدكي"</f>
        <v>قطعات و لوازم يدكي</v>
      </c>
      <c r="C2742" s="1">
        <v>205</v>
      </c>
      <c r="D2742" s="1" t="str">
        <f>"انبار قطعات و لوازم يدكي بندرعباس"</f>
        <v>انبار قطعات و لوازم يدكي بندرعباس</v>
      </c>
      <c r="E2742" s="1" t="str">
        <f>"1800000554"</f>
        <v>1800000554</v>
      </c>
      <c r="F2742" s="1" t="str">
        <f>"کنترل زيمنس"</f>
        <v>کنترل زيمنس</v>
      </c>
      <c r="G2742" s="1" t="str">
        <f>"عدد"</f>
        <v>عدد</v>
      </c>
      <c r="H2742" s="1">
        <v>4</v>
      </c>
      <c r="I2742" s="1">
        <v>2000000</v>
      </c>
      <c r="J2742" s="1">
        <v>0</v>
      </c>
      <c r="K2742" s="1">
        <v>0</v>
      </c>
      <c r="L2742" s="1">
        <v>0</v>
      </c>
      <c r="M2742" s="1">
        <v>0</v>
      </c>
      <c r="O2742" s="1">
        <v>97</v>
      </c>
      <c r="P2742" s="4">
        <f t="shared" si="126"/>
        <v>2000000</v>
      </c>
      <c r="Q2742" s="4">
        <f t="shared" si="127"/>
        <v>4</v>
      </c>
      <c r="R2742" s="4">
        <f t="shared" si="128"/>
        <v>500000</v>
      </c>
    </row>
    <row r="2743" spans="1:18">
      <c r="A2743" s="1">
        <v>2</v>
      </c>
      <c r="B2743" s="1" t="str">
        <f>"قطعات و لوازم يدكي"</f>
        <v>قطعات و لوازم يدكي</v>
      </c>
      <c r="C2743" s="1">
        <v>205</v>
      </c>
      <c r="D2743" s="1" t="str">
        <f>"انبار قطعات و لوازم يدكي بندرعباس"</f>
        <v>انبار قطعات و لوازم يدكي بندرعباس</v>
      </c>
      <c r="E2743" s="1" t="str">
        <f>"1800000556"</f>
        <v>1800000556</v>
      </c>
      <c r="F2743" s="1" t="str">
        <f>"کوپلينگ 1/2*1-1"</f>
        <v>کوپلينگ 1/2*1-1</v>
      </c>
      <c r="G2743" s="1" t="str">
        <f>"عدد"</f>
        <v>عدد</v>
      </c>
      <c r="H2743" s="1">
        <v>48</v>
      </c>
      <c r="I2743" s="1">
        <v>2074944</v>
      </c>
      <c r="J2743" s="1">
        <v>0</v>
      </c>
      <c r="K2743" s="1">
        <v>0</v>
      </c>
      <c r="L2743" s="1">
        <v>46</v>
      </c>
      <c r="M2743" s="1">
        <v>1988488</v>
      </c>
      <c r="O2743" s="1">
        <v>97</v>
      </c>
      <c r="P2743" s="4">
        <f t="shared" si="126"/>
        <v>86456</v>
      </c>
      <c r="Q2743" s="4">
        <f t="shared" si="127"/>
        <v>2</v>
      </c>
      <c r="R2743" s="4">
        <f t="shared" si="128"/>
        <v>43228</v>
      </c>
    </row>
    <row r="2744" spans="1:18" hidden="1">
      <c r="A2744" s="1">
        <v>2</v>
      </c>
      <c r="B2744" s="1" t="str">
        <f>"قطعات و لوازم يدكي"</f>
        <v>قطعات و لوازم يدكي</v>
      </c>
      <c r="C2744" s="1">
        <v>205</v>
      </c>
      <c r="D2744" s="1" t="str">
        <f>"انبار قطعات و لوازم يدكي بندرعباس"</f>
        <v>انبار قطعات و لوازم يدكي بندرعباس</v>
      </c>
      <c r="E2744" s="1" t="str">
        <f>"1800000561"</f>
        <v>1800000561</v>
      </c>
      <c r="F2744" s="1" t="str">
        <f>"کوپلينگ شيلنگ کمپرسور"</f>
        <v>کوپلينگ شيلنگ کمپرسور</v>
      </c>
      <c r="G2744" s="1" t="str">
        <f>"عدد"</f>
        <v>عدد</v>
      </c>
      <c r="H2744" s="1">
        <v>4</v>
      </c>
      <c r="I2744" s="1">
        <v>200000</v>
      </c>
      <c r="J2744" s="1">
        <v>0</v>
      </c>
      <c r="K2744" s="1">
        <v>0</v>
      </c>
      <c r="L2744" s="1">
        <v>4</v>
      </c>
      <c r="M2744" s="1">
        <v>200000</v>
      </c>
      <c r="O2744" s="1">
        <v>97</v>
      </c>
      <c r="P2744" s="1">
        <f t="shared" si="126"/>
        <v>0</v>
      </c>
      <c r="Q2744" s="1">
        <f t="shared" si="127"/>
        <v>0</v>
      </c>
      <c r="R2744" s="1" t="e">
        <f t="shared" si="128"/>
        <v>#DIV/0!</v>
      </c>
    </row>
    <row r="2745" spans="1:18">
      <c r="A2745" s="1">
        <v>2</v>
      </c>
      <c r="B2745" s="1" t="str">
        <f>"قطعات و لوازم يدكي"</f>
        <v>قطعات و لوازم يدكي</v>
      </c>
      <c r="C2745" s="1">
        <v>205</v>
      </c>
      <c r="D2745" s="1" t="str">
        <f>"انبار قطعات و لوازم يدكي بندرعباس"</f>
        <v>انبار قطعات و لوازم يدكي بندرعباس</v>
      </c>
      <c r="E2745" s="1" t="str">
        <f>"1800000566"</f>
        <v>1800000566</v>
      </c>
      <c r="F2745" s="1" t="str">
        <f>"گسکت فلزي 8"</f>
        <v>گسکت فلزي 8</v>
      </c>
      <c r="G2745" s="1" t="str">
        <f>"عدد"</f>
        <v>عدد</v>
      </c>
      <c r="H2745" s="1">
        <v>65</v>
      </c>
      <c r="I2745" s="1">
        <v>35100000</v>
      </c>
      <c r="J2745" s="1">
        <v>0</v>
      </c>
      <c r="K2745" s="1">
        <v>0</v>
      </c>
      <c r="L2745" s="1">
        <v>8</v>
      </c>
      <c r="M2745" s="1">
        <v>4320000</v>
      </c>
      <c r="O2745" s="1">
        <v>97</v>
      </c>
      <c r="P2745" s="4">
        <f t="shared" si="126"/>
        <v>30780000</v>
      </c>
      <c r="Q2745" s="4">
        <f t="shared" si="127"/>
        <v>57</v>
      </c>
      <c r="R2745" s="4">
        <f t="shared" si="128"/>
        <v>540000</v>
      </c>
    </row>
    <row r="2746" spans="1:18">
      <c r="A2746" s="1">
        <v>2</v>
      </c>
      <c r="B2746" s="1" t="str">
        <f>"قطعات و لوازم يدكي"</f>
        <v>قطعات و لوازم يدكي</v>
      </c>
      <c r="C2746" s="1">
        <v>205</v>
      </c>
      <c r="D2746" s="1" t="str">
        <f>"انبار قطعات و لوازم يدكي بندرعباس"</f>
        <v>انبار قطعات و لوازم يدكي بندرعباس</v>
      </c>
      <c r="E2746" s="1" t="str">
        <f>"1800000583"</f>
        <v>1800000583</v>
      </c>
      <c r="F2746" s="1" t="str">
        <f>"گسکت کاغذي 6"</f>
        <v>گسکت کاغذي 6</v>
      </c>
      <c r="G2746" s="1" t="str">
        <f>"عدد"</f>
        <v>عدد</v>
      </c>
      <c r="H2746" s="1">
        <v>12</v>
      </c>
      <c r="I2746" s="1">
        <v>3624000</v>
      </c>
      <c r="J2746" s="1">
        <v>0</v>
      </c>
      <c r="K2746" s="1">
        <v>0</v>
      </c>
      <c r="L2746" s="1">
        <v>1</v>
      </c>
      <c r="M2746" s="1">
        <v>302000</v>
      </c>
      <c r="O2746" s="1">
        <v>97</v>
      </c>
      <c r="P2746" s="4">
        <f t="shared" si="126"/>
        <v>3322000</v>
      </c>
      <c r="Q2746" s="4">
        <f t="shared" si="127"/>
        <v>11</v>
      </c>
      <c r="R2746" s="4">
        <f t="shared" si="128"/>
        <v>302000</v>
      </c>
    </row>
    <row r="2747" spans="1:18">
      <c r="A2747" s="1">
        <v>2</v>
      </c>
      <c r="B2747" s="1" t="str">
        <f>"قطعات و لوازم يدكي"</f>
        <v>قطعات و لوازم يدكي</v>
      </c>
      <c r="C2747" s="1">
        <v>205</v>
      </c>
      <c r="D2747" s="1" t="str">
        <f>"انبار قطعات و لوازم يدكي بندرعباس"</f>
        <v>انبار قطعات و لوازم يدكي بندرعباس</v>
      </c>
      <c r="E2747" s="1" t="str">
        <f>"1800000588"</f>
        <v>1800000588</v>
      </c>
      <c r="F2747" s="1" t="str">
        <f>"گسکت کاغذي 3"</f>
        <v>گسکت کاغذي 3</v>
      </c>
      <c r="G2747" s="1" t="str">
        <f>"عدد"</f>
        <v>عدد</v>
      </c>
      <c r="H2747" s="1">
        <v>110</v>
      </c>
      <c r="I2747" s="1">
        <v>17820000</v>
      </c>
      <c r="J2747" s="1">
        <v>0</v>
      </c>
      <c r="K2747" s="1">
        <v>0</v>
      </c>
      <c r="L2747" s="1">
        <v>3</v>
      </c>
      <c r="M2747" s="1">
        <v>486000</v>
      </c>
      <c r="O2747" s="1">
        <v>97</v>
      </c>
      <c r="P2747" s="4">
        <f t="shared" si="126"/>
        <v>17334000</v>
      </c>
      <c r="Q2747" s="4">
        <f t="shared" si="127"/>
        <v>107</v>
      </c>
      <c r="R2747" s="4">
        <f t="shared" si="128"/>
        <v>162000</v>
      </c>
    </row>
    <row r="2748" spans="1:18">
      <c r="A2748" s="1">
        <v>2</v>
      </c>
      <c r="B2748" s="1" t="str">
        <f>"قطعات و لوازم يدكي"</f>
        <v>قطعات و لوازم يدكي</v>
      </c>
      <c r="C2748" s="1">
        <v>205</v>
      </c>
      <c r="D2748" s="1" t="str">
        <f>"انبار قطعات و لوازم يدكي بندرعباس"</f>
        <v>انبار قطعات و لوازم يدكي بندرعباس</v>
      </c>
      <c r="E2748" s="1" t="str">
        <f>"1800000591"</f>
        <v>1800000591</v>
      </c>
      <c r="F2748" s="1" t="str">
        <f>"گلند پلاستيکي 29"</f>
        <v>گلند پلاستيکي 29</v>
      </c>
      <c r="G2748" s="1" t="str">
        <f>"عدد"</f>
        <v>عدد</v>
      </c>
      <c r="H2748" s="1">
        <v>5</v>
      </c>
      <c r="I2748" s="1">
        <v>50000</v>
      </c>
      <c r="J2748" s="1">
        <v>0</v>
      </c>
      <c r="K2748" s="1">
        <v>0</v>
      </c>
      <c r="L2748" s="1">
        <v>0</v>
      </c>
      <c r="M2748" s="1">
        <v>0</v>
      </c>
      <c r="O2748" s="1">
        <v>97</v>
      </c>
      <c r="P2748" s="4">
        <f t="shared" si="126"/>
        <v>50000</v>
      </c>
      <c r="Q2748" s="4">
        <f t="shared" si="127"/>
        <v>5</v>
      </c>
      <c r="R2748" s="4">
        <f t="shared" si="128"/>
        <v>10000</v>
      </c>
    </row>
    <row r="2749" spans="1:18">
      <c r="A2749" s="1">
        <v>2</v>
      </c>
      <c r="B2749" s="1" t="str">
        <f>"قطعات و لوازم يدكي"</f>
        <v>قطعات و لوازم يدكي</v>
      </c>
      <c r="C2749" s="1">
        <v>205</v>
      </c>
      <c r="D2749" s="1" t="str">
        <f>"انبار قطعات و لوازم يدكي بندرعباس"</f>
        <v>انبار قطعات و لوازم يدكي بندرعباس</v>
      </c>
      <c r="E2749" s="1" t="str">
        <f>"1800000593"</f>
        <v>1800000593</v>
      </c>
      <c r="F2749" s="1" t="str">
        <f>"گلند پلاستيکي 48"</f>
        <v>گلند پلاستيکي 48</v>
      </c>
      <c r="G2749" s="1" t="str">
        <f>"عدد"</f>
        <v>عدد</v>
      </c>
      <c r="H2749" s="1">
        <v>13</v>
      </c>
      <c r="I2749" s="1">
        <v>260000</v>
      </c>
      <c r="J2749" s="1">
        <v>0</v>
      </c>
      <c r="K2749" s="1">
        <v>0</v>
      </c>
      <c r="L2749" s="1">
        <v>1</v>
      </c>
      <c r="M2749" s="1">
        <v>20000</v>
      </c>
      <c r="O2749" s="1">
        <v>97</v>
      </c>
      <c r="P2749" s="4">
        <f t="shared" si="126"/>
        <v>240000</v>
      </c>
      <c r="Q2749" s="4">
        <f t="shared" si="127"/>
        <v>12</v>
      </c>
      <c r="R2749" s="4">
        <f t="shared" si="128"/>
        <v>20000</v>
      </c>
    </row>
    <row r="2750" spans="1:18">
      <c r="A2750" s="1">
        <v>2</v>
      </c>
      <c r="B2750" s="1" t="str">
        <f>"قطعات و لوازم يدكي"</f>
        <v>قطعات و لوازم يدكي</v>
      </c>
      <c r="C2750" s="1">
        <v>205</v>
      </c>
      <c r="D2750" s="1" t="str">
        <f>"انبار قطعات و لوازم يدكي بندرعباس"</f>
        <v>انبار قطعات و لوازم يدكي بندرعباس</v>
      </c>
      <c r="E2750" s="1" t="str">
        <f>"1800000606"</f>
        <v>1800000606</v>
      </c>
      <c r="F2750" s="1" t="str">
        <f>"گلند کيت 20"</f>
        <v>گلند کيت 20</v>
      </c>
      <c r="G2750" s="1" t="str">
        <f>"عدد"</f>
        <v>عدد</v>
      </c>
      <c r="H2750" s="1">
        <v>8</v>
      </c>
      <c r="I2750" s="1">
        <v>560000</v>
      </c>
      <c r="J2750" s="1">
        <v>0</v>
      </c>
      <c r="K2750" s="1">
        <v>0</v>
      </c>
      <c r="L2750" s="1">
        <v>0</v>
      </c>
      <c r="M2750" s="1">
        <v>0</v>
      </c>
      <c r="O2750" s="1">
        <v>97</v>
      </c>
      <c r="P2750" s="4">
        <f t="shared" si="126"/>
        <v>560000</v>
      </c>
      <c r="Q2750" s="4">
        <f t="shared" si="127"/>
        <v>8</v>
      </c>
      <c r="R2750" s="4">
        <f t="shared" si="128"/>
        <v>70000</v>
      </c>
    </row>
    <row r="2751" spans="1:18">
      <c r="A2751" s="1">
        <v>2</v>
      </c>
      <c r="B2751" s="1" t="str">
        <f>"قطعات و لوازم يدكي"</f>
        <v>قطعات و لوازم يدكي</v>
      </c>
      <c r="C2751" s="1">
        <v>205</v>
      </c>
      <c r="D2751" s="1" t="str">
        <f>"انبار قطعات و لوازم يدكي بندرعباس"</f>
        <v>انبار قطعات و لوازم يدكي بندرعباس</v>
      </c>
      <c r="E2751" s="1" t="str">
        <f>"1800000609"</f>
        <v>1800000609</v>
      </c>
      <c r="F2751" s="1" t="str">
        <f>"گيج گلاس مگنتي"</f>
        <v>گيج گلاس مگنتي</v>
      </c>
      <c r="G2751" s="1" t="str">
        <f>"عدد"</f>
        <v>عدد</v>
      </c>
      <c r="H2751" s="1">
        <v>1</v>
      </c>
      <c r="I2751" s="1">
        <v>12000000</v>
      </c>
      <c r="J2751" s="1">
        <v>0</v>
      </c>
      <c r="K2751" s="1">
        <v>0</v>
      </c>
      <c r="L2751" s="1">
        <v>0</v>
      </c>
      <c r="M2751" s="1">
        <v>0</v>
      </c>
      <c r="O2751" s="1">
        <v>97</v>
      </c>
      <c r="P2751" s="4">
        <f t="shared" si="126"/>
        <v>12000000</v>
      </c>
      <c r="Q2751" s="4">
        <f t="shared" si="127"/>
        <v>1</v>
      </c>
      <c r="R2751" s="4">
        <f t="shared" si="128"/>
        <v>12000000</v>
      </c>
    </row>
    <row r="2752" spans="1:18">
      <c r="A2752" s="1">
        <v>2</v>
      </c>
      <c r="B2752" s="1" t="str">
        <f>"قطعات و لوازم يدكي"</f>
        <v>قطعات و لوازم يدكي</v>
      </c>
      <c r="C2752" s="1">
        <v>205</v>
      </c>
      <c r="D2752" s="1" t="str">
        <f>"انبار قطعات و لوازم يدكي بندرعباس"</f>
        <v>انبار قطعات و لوازم يدكي بندرعباس</v>
      </c>
      <c r="E2752" s="1" t="str">
        <f>"1800000611"</f>
        <v>1800000611</v>
      </c>
      <c r="F2752" s="1" t="str">
        <f>"لاستيک پيک 35"</f>
        <v>لاستيک پيک 35</v>
      </c>
      <c r="G2752" s="1" t="str">
        <f>"عدد"</f>
        <v>عدد</v>
      </c>
      <c r="H2752" s="1">
        <v>8</v>
      </c>
      <c r="I2752" s="1">
        <v>16000000</v>
      </c>
      <c r="J2752" s="1">
        <v>0</v>
      </c>
      <c r="K2752" s="1">
        <v>0</v>
      </c>
      <c r="L2752" s="1">
        <v>4</v>
      </c>
      <c r="M2752" s="1">
        <v>8000000</v>
      </c>
      <c r="O2752" s="1">
        <v>97</v>
      </c>
      <c r="P2752" s="4">
        <f t="shared" si="126"/>
        <v>8000000</v>
      </c>
      <c r="Q2752" s="4">
        <f t="shared" si="127"/>
        <v>4</v>
      </c>
      <c r="R2752" s="4">
        <f t="shared" si="128"/>
        <v>2000000</v>
      </c>
    </row>
    <row r="2753" spans="1:18">
      <c r="A2753" s="1">
        <v>2</v>
      </c>
      <c r="B2753" s="1" t="str">
        <f>"قطعات و لوازم يدكي"</f>
        <v>قطعات و لوازم يدكي</v>
      </c>
      <c r="C2753" s="1">
        <v>205</v>
      </c>
      <c r="D2753" s="1" t="str">
        <f>"انبار قطعات و لوازم يدكي بندرعباس"</f>
        <v>انبار قطعات و لوازم يدكي بندرعباس</v>
      </c>
      <c r="E2753" s="1" t="str">
        <f>"1800000615"</f>
        <v>1800000615</v>
      </c>
      <c r="F2753" s="1" t="str">
        <f>"لامپ حبابي"</f>
        <v>لامپ حبابي</v>
      </c>
      <c r="G2753" s="1" t="str">
        <f>"عدد"</f>
        <v>عدد</v>
      </c>
      <c r="H2753" s="1">
        <v>4</v>
      </c>
      <c r="I2753" s="1">
        <v>400000</v>
      </c>
      <c r="J2753" s="1">
        <v>0</v>
      </c>
      <c r="K2753" s="1">
        <v>0</v>
      </c>
      <c r="L2753" s="1">
        <v>3</v>
      </c>
      <c r="M2753" s="1">
        <v>300000</v>
      </c>
      <c r="O2753" s="1">
        <v>97</v>
      </c>
      <c r="P2753" s="4">
        <f t="shared" si="126"/>
        <v>100000</v>
      </c>
      <c r="Q2753" s="4">
        <f t="shared" si="127"/>
        <v>1</v>
      </c>
      <c r="R2753" s="4">
        <f t="shared" si="128"/>
        <v>100000</v>
      </c>
    </row>
    <row r="2754" spans="1:18" hidden="1">
      <c r="A2754" s="1">
        <v>2</v>
      </c>
      <c r="B2754" s="1" t="str">
        <f>"قطعات و لوازم يدكي"</f>
        <v>قطعات و لوازم يدكي</v>
      </c>
      <c r="C2754" s="1">
        <v>101</v>
      </c>
      <c r="D2754" s="1" t="str">
        <f>"انبار قطعات و لوازم يدكي اصفهان"</f>
        <v>انبار قطعات و لوازم يدكي اصفهان</v>
      </c>
      <c r="E2754" s="1" t="str">
        <f>"8564010172"</f>
        <v>8564010172</v>
      </c>
      <c r="F2754" s="1" t="str">
        <f>"نوار نسوز 10 سانتي"</f>
        <v>نوار نسوز 10 سانتي</v>
      </c>
      <c r="G2754" s="1" t="str">
        <f>"متر"</f>
        <v>متر</v>
      </c>
      <c r="H2754" s="1">
        <v>0</v>
      </c>
      <c r="I2754" s="1">
        <v>0</v>
      </c>
      <c r="J2754" s="1">
        <v>25</v>
      </c>
      <c r="K2754" s="1">
        <v>1325000</v>
      </c>
      <c r="L2754" s="1">
        <v>25</v>
      </c>
      <c r="M2754" s="1">
        <v>1325000</v>
      </c>
      <c r="O2754" s="1">
        <v>97</v>
      </c>
      <c r="P2754" s="1">
        <f t="shared" si="126"/>
        <v>0</v>
      </c>
      <c r="Q2754" s="1">
        <f t="shared" si="127"/>
        <v>0</v>
      </c>
      <c r="R2754" s="1" t="e">
        <f t="shared" si="128"/>
        <v>#DIV/0!</v>
      </c>
    </row>
    <row r="2755" spans="1:18">
      <c r="A2755" s="1">
        <v>2</v>
      </c>
      <c r="B2755" s="1" t="str">
        <f>"قطعات و لوازم يدكي"</f>
        <v>قطعات و لوازم يدكي</v>
      </c>
      <c r="C2755" s="1">
        <v>101</v>
      </c>
      <c r="D2755" s="1" t="str">
        <f>"انبار قطعات و لوازم يدكي اصفهان"</f>
        <v>انبار قطعات و لوازم يدكي اصفهان</v>
      </c>
      <c r="E2755" s="1" t="str">
        <f>"8564010181"</f>
        <v>8564010181</v>
      </c>
      <c r="F2755" s="1" t="str">
        <f>"عايق سراميک فايبر پتويي(پتوي نسوز)"</f>
        <v>عايق سراميک فايبر پتويي(پتوي نسوز)</v>
      </c>
      <c r="G2755" s="1" t="str">
        <f>"کارتن"</f>
        <v>کارتن</v>
      </c>
      <c r="H2755" s="1">
        <v>2</v>
      </c>
      <c r="I2755" s="1">
        <v>2250000</v>
      </c>
      <c r="J2755" s="1">
        <v>0</v>
      </c>
      <c r="K2755" s="1">
        <v>0</v>
      </c>
      <c r="L2755" s="1">
        <v>0</v>
      </c>
      <c r="M2755" s="1">
        <v>0</v>
      </c>
      <c r="O2755" s="1">
        <v>97</v>
      </c>
      <c r="P2755" s="4">
        <f t="shared" ref="P2755:P2818" si="129">I2755+K2755-M2755</f>
        <v>2250000</v>
      </c>
      <c r="Q2755" s="4">
        <f t="shared" ref="Q2755:Q2818" si="130">H2755+J2755-L2755</f>
        <v>2</v>
      </c>
      <c r="R2755" s="4">
        <f t="shared" ref="R2755:R2818" si="131">P2755/Q2755</f>
        <v>1125000</v>
      </c>
    </row>
    <row r="2756" spans="1:18" hidden="1">
      <c r="A2756" s="1">
        <v>2</v>
      </c>
      <c r="B2756" s="1" t="str">
        <f>"قطعات و لوازم يدكي"</f>
        <v>قطعات و لوازم يدكي</v>
      </c>
      <c r="C2756" s="1">
        <v>101</v>
      </c>
      <c r="D2756" s="1" t="str">
        <f>"انبار قطعات و لوازم يدكي اصفهان"</f>
        <v>انبار قطعات و لوازم يدكي اصفهان</v>
      </c>
      <c r="E2756" s="1" t="str">
        <f>"8564010422"</f>
        <v>8564010422</v>
      </c>
      <c r="F2756" s="1" t="str">
        <f>"كلسيم سيليكات 3/4 اينچ(ايزوپايپ)"</f>
        <v>كلسيم سيليكات 3/4 اينچ(ايزوپايپ)</v>
      </c>
      <c r="G2756" s="1" t="str">
        <f>"متر"</f>
        <v>متر</v>
      </c>
      <c r="H2756" s="1">
        <v>0</v>
      </c>
      <c r="I2756" s="1">
        <v>0</v>
      </c>
      <c r="J2756" s="1">
        <v>200</v>
      </c>
      <c r="K2756" s="1">
        <v>25400000</v>
      </c>
      <c r="L2756" s="1">
        <v>200</v>
      </c>
      <c r="M2756" s="1">
        <v>25400000</v>
      </c>
      <c r="O2756" s="1">
        <v>97</v>
      </c>
      <c r="P2756" s="1">
        <f t="shared" si="129"/>
        <v>0</v>
      </c>
      <c r="Q2756" s="1">
        <f t="shared" si="130"/>
        <v>0</v>
      </c>
      <c r="R2756" s="1" t="e">
        <f t="shared" si="131"/>
        <v>#DIV/0!</v>
      </c>
    </row>
    <row r="2757" spans="1:18" hidden="1">
      <c r="A2757" s="1">
        <v>2</v>
      </c>
      <c r="B2757" s="1" t="str">
        <f>"قطعات و لوازم يدكي"</f>
        <v>قطعات و لوازم يدكي</v>
      </c>
      <c r="C2757" s="1">
        <v>101</v>
      </c>
      <c r="D2757" s="1" t="str">
        <f>"انبار قطعات و لوازم يدكي اصفهان"</f>
        <v>انبار قطعات و لوازم يدكي اصفهان</v>
      </c>
      <c r="E2757" s="1" t="str">
        <f>"8564012022"</f>
        <v>8564012022</v>
      </c>
      <c r="F2757" s="1" t="str">
        <f>"كلسيم سيليكات 6 اينچ(ايزوپايپ)"</f>
        <v>كلسيم سيليكات 6 اينچ(ايزوپايپ)</v>
      </c>
      <c r="G2757" s="1" t="str">
        <f>"متر"</f>
        <v>متر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O2757" s="1">
        <v>97</v>
      </c>
      <c r="P2757" s="1">
        <f t="shared" si="129"/>
        <v>0</v>
      </c>
      <c r="Q2757" s="1">
        <f t="shared" si="130"/>
        <v>0</v>
      </c>
      <c r="R2757" s="1" t="e">
        <f t="shared" si="131"/>
        <v>#DIV/0!</v>
      </c>
    </row>
    <row r="2758" spans="1:18" hidden="1">
      <c r="A2758" s="1">
        <v>2</v>
      </c>
      <c r="B2758" s="1" t="str">
        <f>"قطعات و لوازم يدكي"</f>
        <v>قطعات و لوازم يدكي</v>
      </c>
      <c r="C2758" s="1">
        <v>101</v>
      </c>
      <c r="D2758" s="1" t="str">
        <f>"انبار قطعات و لوازم يدكي اصفهان"</f>
        <v>انبار قطعات و لوازم يدكي اصفهان</v>
      </c>
      <c r="E2758" s="1" t="str">
        <f>"8574401982"</f>
        <v>8574401982</v>
      </c>
      <c r="F2758" s="1" t="str">
        <f>"تسمه استيل 13"</f>
        <v>تسمه استيل 13</v>
      </c>
      <c r="G2758" s="1" t="str">
        <f>"متر"</f>
        <v>متر</v>
      </c>
      <c r="H2758" s="1">
        <v>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O2758" s="1">
        <v>97</v>
      </c>
      <c r="P2758" s="1">
        <f t="shared" si="129"/>
        <v>0</v>
      </c>
      <c r="Q2758" s="1">
        <f t="shared" si="130"/>
        <v>0</v>
      </c>
      <c r="R2758" s="1" t="e">
        <f t="shared" si="131"/>
        <v>#DIV/0!</v>
      </c>
    </row>
    <row r="2759" spans="1:18" hidden="1">
      <c r="A2759" s="1">
        <v>2</v>
      </c>
      <c r="B2759" s="1" t="str">
        <f>"قطعات و لوازم يدكي"</f>
        <v>قطعات و لوازم يدكي</v>
      </c>
      <c r="C2759" s="1">
        <v>101</v>
      </c>
      <c r="D2759" s="1" t="str">
        <f>"انبار قطعات و لوازم يدكي اصفهان"</f>
        <v>انبار قطعات و لوازم يدكي اصفهان</v>
      </c>
      <c r="E2759" s="1" t="str">
        <f>"8574402022"</f>
        <v>8574402022</v>
      </c>
      <c r="F2759" s="1" t="str">
        <f>"ورق آلومينيوم صاف به ضخامت 8/."</f>
        <v>ورق آلومينيوم صاف به ضخامت 8/.</v>
      </c>
      <c r="G2759" s="1" t="str">
        <f>"مترمربع"</f>
        <v>مترمربع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O2759" s="1">
        <v>97</v>
      </c>
      <c r="P2759" s="1">
        <f t="shared" si="129"/>
        <v>0</v>
      </c>
      <c r="Q2759" s="1">
        <f t="shared" si="130"/>
        <v>0</v>
      </c>
      <c r="R2759" s="1" t="e">
        <f t="shared" si="131"/>
        <v>#DIV/0!</v>
      </c>
    </row>
    <row r="2760" spans="1:18" hidden="1">
      <c r="A2760" s="1">
        <v>2</v>
      </c>
      <c r="B2760" s="1" t="str">
        <f>"قطعات و لوازم يدكي"</f>
        <v>قطعات و لوازم يدكي</v>
      </c>
      <c r="C2760" s="1">
        <v>101</v>
      </c>
      <c r="D2760" s="1" t="str">
        <f>"انبار قطعات و لوازم يدكي اصفهان"</f>
        <v>انبار قطعات و لوازم يدكي اصفهان</v>
      </c>
      <c r="E2760" s="1" t="str">
        <f>"8574402082"</f>
        <v>8574402082</v>
      </c>
      <c r="F2760" s="1" t="str">
        <f>"کليپس شماره 19"</f>
        <v>کليپس شماره 19</v>
      </c>
      <c r="G2760" s="1" t="str">
        <f>"عدد"</f>
        <v>عدد</v>
      </c>
      <c r="H2760" s="1">
        <v>0</v>
      </c>
      <c r="I2760" s="1">
        <v>0</v>
      </c>
      <c r="J2760" s="1">
        <v>300</v>
      </c>
      <c r="K2760" s="1">
        <v>420000</v>
      </c>
      <c r="L2760" s="1">
        <v>300</v>
      </c>
      <c r="M2760" s="1">
        <v>420000</v>
      </c>
      <c r="O2760" s="1">
        <v>97</v>
      </c>
      <c r="P2760" s="1">
        <f t="shared" si="129"/>
        <v>0</v>
      </c>
      <c r="Q2760" s="1">
        <f t="shared" si="130"/>
        <v>0</v>
      </c>
      <c r="R2760" s="1" t="e">
        <f t="shared" si="131"/>
        <v>#DIV/0!</v>
      </c>
    </row>
    <row r="2761" spans="1:18">
      <c r="A2761" s="1">
        <v>2</v>
      </c>
      <c r="B2761" s="1" t="str">
        <f>"قطعات و لوازم يدكي"</f>
        <v>قطعات و لوازم يدكي</v>
      </c>
      <c r="C2761" s="1">
        <v>101</v>
      </c>
      <c r="D2761" s="1" t="str">
        <f>"انبار قطعات و لوازم يدكي اصفهان"</f>
        <v>انبار قطعات و لوازم يدكي اصفهان</v>
      </c>
      <c r="E2761" s="1" t="str">
        <f>"8722030342"</f>
        <v>8722030342</v>
      </c>
      <c r="F2761" s="1" t="str">
        <f>"روغن بهران توربين 32(HB-65"</f>
        <v>روغن بهران توربين 32(HB-65</v>
      </c>
      <c r="G2761" s="1" t="str">
        <f>"ليتر"</f>
        <v>ليتر</v>
      </c>
      <c r="H2761" s="1">
        <v>832</v>
      </c>
      <c r="I2761" s="1">
        <v>27683725</v>
      </c>
      <c r="J2761" s="1">
        <v>0</v>
      </c>
      <c r="K2761" s="1">
        <v>0</v>
      </c>
      <c r="L2761" s="1">
        <v>0</v>
      </c>
      <c r="M2761" s="1">
        <v>0</v>
      </c>
      <c r="O2761" s="1">
        <v>97</v>
      </c>
      <c r="P2761" s="4">
        <f t="shared" si="129"/>
        <v>27683725</v>
      </c>
      <c r="Q2761" s="4">
        <f t="shared" si="130"/>
        <v>832</v>
      </c>
      <c r="R2761" s="4">
        <f t="shared" si="131"/>
        <v>33273.707932692305</v>
      </c>
    </row>
    <row r="2762" spans="1:18">
      <c r="A2762" s="1">
        <v>2</v>
      </c>
      <c r="B2762" s="1" t="str">
        <f>"قطعات و لوازم يدكي"</f>
        <v>قطعات و لوازم يدكي</v>
      </c>
      <c r="C2762" s="1">
        <v>101</v>
      </c>
      <c r="D2762" s="1" t="str">
        <f>"انبار قطعات و لوازم يدكي اصفهان"</f>
        <v>انبار قطعات و لوازم يدكي اصفهان</v>
      </c>
      <c r="E2762" s="1" t="str">
        <f>"8900000042"</f>
        <v>8900000042</v>
      </c>
      <c r="F2762" s="1" t="str">
        <f>"الكل طبي (اتانول تجارتي)"</f>
        <v>الكل طبي (اتانول تجارتي)</v>
      </c>
      <c r="G2762" s="1" t="str">
        <f>"ليتر"</f>
        <v>ليتر</v>
      </c>
      <c r="H2762" s="1">
        <v>31</v>
      </c>
      <c r="I2762" s="1">
        <v>3100000</v>
      </c>
      <c r="J2762" s="1">
        <v>104</v>
      </c>
      <c r="K2762" s="1">
        <v>20960000</v>
      </c>
      <c r="L2762" s="1">
        <v>77</v>
      </c>
      <c r="M2762" s="1">
        <v>10749226</v>
      </c>
      <c r="O2762" s="1">
        <v>97</v>
      </c>
      <c r="P2762" s="4">
        <f t="shared" si="129"/>
        <v>13310774</v>
      </c>
      <c r="Q2762" s="4">
        <f t="shared" si="130"/>
        <v>58</v>
      </c>
      <c r="R2762" s="4">
        <f t="shared" si="131"/>
        <v>229496.10344827586</v>
      </c>
    </row>
    <row r="2763" spans="1:18" hidden="1">
      <c r="A2763" s="1">
        <v>2</v>
      </c>
      <c r="B2763" s="1" t="str">
        <f>"قطعات و لوازم يدكي"</f>
        <v>قطعات و لوازم يدكي</v>
      </c>
      <c r="C2763" s="1">
        <v>101</v>
      </c>
      <c r="D2763" s="1" t="str">
        <f>"انبار قطعات و لوازم يدكي اصفهان"</f>
        <v>انبار قطعات و لوازم يدكي اصفهان</v>
      </c>
      <c r="E2763" s="1" t="str">
        <f>"8900000092"</f>
        <v>8900000092</v>
      </c>
      <c r="F2763" s="1" t="str">
        <f>"نرمال هگزان صنعتي"</f>
        <v>نرمال هگزان صنعتي</v>
      </c>
      <c r="G2763" s="1" t="str">
        <f>"ليتر"</f>
        <v>ليتر</v>
      </c>
      <c r="H2763" s="1">
        <v>0</v>
      </c>
      <c r="I2763" s="1">
        <v>0</v>
      </c>
      <c r="J2763" s="1">
        <v>127.5</v>
      </c>
      <c r="K2763" s="1">
        <v>33600000</v>
      </c>
      <c r="L2763" s="1">
        <v>127.5</v>
      </c>
      <c r="M2763" s="1">
        <v>33600000</v>
      </c>
      <c r="O2763" s="1">
        <v>97</v>
      </c>
      <c r="P2763" s="1">
        <f t="shared" si="129"/>
        <v>0</v>
      </c>
      <c r="Q2763" s="1">
        <f t="shared" si="130"/>
        <v>0</v>
      </c>
      <c r="R2763" s="1" t="e">
        <f t="shared" si="131"/>
        <v>#DIV/0!</v>
      </c>
    </row>
    <row r="2764" spans="1:18" hidden="1">
      <c r="A2764" s="1">
        <v>2</v>
      </c>
      <c r="B2764" s="1" t="str">
        <f>"قطعات و لوازم يدكي"</f>
        <v>قطعات و لوازم يدكي</v>
      </c>
      <c r="C2764" s="1">
        <v>101</v>
      </c>
      <c r="D2764" s="1" t="str">
        <f>"انبار قطعات و لوازم يدكي اصفهان"</f>
        <v>انبار قطعات و لوازم يدكي اصفهان</v>
      </c>
      <c r="E2764" s="1" t="str">
        <f>"8901020322"</f>
        <v>8901020322</v>
      </c>
      <c r="F2764" s="1" t="str">
        <f>"ترمو هيدرو (فشار سنج ديجيتالي)"</f>
        <v>ترمو هيدرو (فشار سنج ديجيتالي)</v>
      </c>
      <c r="G2764" s="1" t="str">
        <f>"دستگاه"</f>
        <v>دستگاه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0</v>
      </c>
      <c r="O2764" s="1">
        <v>97</v>
      </c>
      <c r="P2764" s="1">
        <f t="shared" si="129"/>
        <v>0</v>
      </c>
      <c r="Q2764" s="1">
        <f t="shared" si="130"/>
        <v>0</v>
      </c>
      <c r="R2764" s="1" t="e">
        <f t="shared" si="131"/>
        <v>#DIV/0!</v>
      </c>
    </row>
    <row r="2765" spans="1:18" hidden="1">
      <c r="A2765" s="1">
        <v>2</v>
      </c>
      <c r="B2765" s="1" t="str">
        <f>"قطعات و لوازم يدكي"</f>
        <v>قطعات و لوازم يدكي</v>
      </c>
      <c r="C2765" s="1">
        <v>101</v>
      </c>
      <c r="D2765" s="1" t="str">
        <f>"انبار قطعات و لوازم يدكي اصفهان"</f>
        <v>انبار قطعات و لوازم يدكي اصفهان</v>
      </c>
      <c r="E2765" s="1" t="str">
        <f>"9000000022"</f>
        <v>9000000022</v>
      </c>
      <c r="F2765" s="1" t="str">
        <f>"کروزه سراميک 40 ميلي سوراخ دار"</f>
        <v>کروزه سراميک 40 ميلي سوراخ دار</v>
      </c>
      <c r="G2765" s="1" t="str">
        <f>"عدد"</f>
        <v>عدد</v>
      </c>
      <c r="H2765" s="1">
        <v>0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O2765" s="1">
        <v>97</v>
      </c>
      <c r="P2765" s="1">
        <f t="shared" si="129"/>
        <v>0</v>
      </c>
      <c r="Q2765" s="1">
        <f t="shared" si="130"/>
        <v>0</v>
      </c>
      <c r="R2765" s="1" t="e">
        <f t="shared" si="131"/>
        <v>#DIV/0!</v>
      </c>
    </row>
    <row r="2766" spans="1:18" hidden="1">
      <c r="A2766" s="1">
        <v>2</v>
      </c>
      <c r="B2766" s="1" t="str">
        <f>"قطعات و لوازم يدكي"</f>
        <v>قطعات و لوازم يدكي</v>
      </c>
      <c r="C2766" s="1">
        <v>101</v>
      </c>
      <c r="D2766" s="1" t="str">
        <f>"انبار قطعات و لوازم يدكي اصفهان"</f>
        <v>انبار قطعات و لوازم يدكي اصفهان</v>
      </c>
      <c r="E2766" s="1" t="str">
        <f>"9000000055"</f>
        <v>9000000055</v>
      </c>
      <c r="F2766" s="1" t="str">
        <f>"پي ست 500 ميلي ليتر"</f>
        <v>پي ست 500 ميلي ليتر</v>
      </c>
      <c r="G2766" s="1" t="str">
        <f>"عدد"</f>
        <v>عدد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O2766" s="1">
        <v>97</v>
      </c>
      <c r="P2766" s="1">
        <f t="shared" si="129"/>
        <v>0</v>
      </c>
      <c r="Q2766" s="1">
        <f t="shared" si="130"/>
        <v>0</v>
      </c>
      <c r="R2766" s="1" t="e">
        <f t="shared" si="131"/>
        <v>#DIV/0!</v>
      </c>
    </row>
    <row r="2767" spans="1:18" hidden="1">
      <c r="A2767" s="1">
        <v>2</v>
      </c>
      <c r="B2767" s="1" t="str">
        <f>"قطعات و لوازم يدكي"</f>
        <v>قطعات و لوازم يدكي</v>
      </c>
      <c r="C2767" s="1">
        <v>101</v>
      </c>
      <c r="D2767" s="1" t="str">
        <f>"انبار قطعات و لوازم يدكي اصفهان"</f>
        <v>انبار قطعات و لوازم يدكي اصفهان</v>
      </c>
      <c r="E2767" s="1" t="str">
        <f>"9001020022"</f>
        <v>9001020022</v>
      </c>
      <c r="F2767" s="1" t="str">
        <f>"بافر 7 محرک"</f>
        <v>بافر 7 محرک</v>
      </c>
      <c r="G2767" s="1" t="str">
        <f>"عدد"</f>
        <v>عدد</v>
      </c>
      <c r="H2767" s="1">
        <v>0</v>
      </c>
      <c r="I2767" s="1">
        <v>0</v>
      </c>
      <c r="J2767" s="1">
        <v>0</v>
      </c>
      <c r="K2767" s="1">
        <v>0</v>
      </c>
      <c r="L2767" s="1">
        <v>0</v>
      </c>
      <c r="M2767" s="1">
        <v>0</v>
      </c>
      <c r="O2767" s="1">
        <v>97</v>
      </c>
      <c r="P2767" s="1">
        <f t="shared" si="129"/>
        <v>0</v>
      </c>
      <c r="Q2767" s="1">
        <f t="shared" si="130"/>
        <v>0</v>
      </c>
      <c r="R2767" s="1" t="e">
        <f t="shared" si="131"/>
        <v>#DIV/0!</v>
      </c>
    </row>
    <row r="2768" spans="1:18" hidden="1">
      <c r="A2768" s="1">
        <v>2</v>
      </c>
      <c r="B2768" s="1" t="str">
        <f>"قطعات و لوازم يدكي"</f>
        <v>قطعات و لوازم يدكي</v>
      </c>
      <c r="C2768" s="1">
        <v>101</v>
      </c>
      <c r="D2768" s="1" t="str">
        <f>"انبار قطعات و لوازم يدكي اصفهان"</f>
        <v>انبار قطعات و لوازم يدكي اصفهان</v>
      </c>
      <c r="E2768" s="1" t="str">
        <f>"9500000122"</f>
        <v>9500000122</v>
      </c>
      <c r="F2768" s="1" t="str">
        <f>"لوله فولادي 3/4 رده 80"</f>
        <v>لوله فولادي 3/4 رده 80</v>
      </c>
      <c r="G2768" s="1" t="str">
        <f>"عدد"</f>
        <v>عدد</v>
      </c>
      <c r="H2768" s="1">
        <v>0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O2768" s="1">
        <v>97</v>
      </c>
      <c r="P2768" s="1">
        <f t="shared" si="129"/>
        <v>0</v>
      </c>
      <c r="Q2768" s="1">
        <f t="shared" si="130"/>
        <v>0</v>
      </c>
      <c r="R2768" s="1" t="e">
        <f t="shared" si="131"/>
        <v>#DIV/0!</v>
      </c>
    </row>
    <row r="2769" spans="1:18" hidden="1">
      <c r="A2769" s="1">
        <v>2</v>
      </c>
      <c r="B2769" s="1" t="str">
        <f>"قطعات و لوازم يدكي"</f>
        <v>قطعات و لوازم يدكي</v>
      </c>
      <c r="C2769" s="1">
        <v>101</v>
      </c>
      <c r="D2769" s="1" t="str">
        <f>"انبار قطعات و لوازم يدكي اصفهان"</f>
        <v>انبار قطعات و لوازم يدكي اصفهان</v>
      </c>
      <c r="E2769" s="1" t="str">
        <f>"9500000162"</f>
        <v>9500000162</v>
      </c>
      <c r="F2769" s="1" t="str">
        <f>"شير کشويي 3/4ساکت کلاس 800"</f>
        <v>شير کشويي 3/4ساکت کلاس 800</v>
      </c>
      <c r="G2769" s="1" t="str">
        <f>"عدد"</f>
        <v>عدد</v>
      </c>
      <c r="H2769" s="1">
        <v>0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O2769" s="1">
        <v>97</v>
      </c>
      <c r="P2769" s="1">
        <f t="shared" si="129"/>
        <v>0</v>
      </c>
      <c r="Q2769" s="1">
        <f t="shared" si="130"/>
        <v>0</v>
      </c>
      <c r="R2769" s="1" t="e">
        <f t="shared" si="131"/>
        <v>#DIV/0!</v>
      </c>
    </row>
    <row r="2770" spans="1:18" hidden="1">
      <c r="A2770" s="1">
        <v>2</v>
      </c>
      <c r="B2770" s="1" t="str">
        <f>"قطعات و لوازم يدكي"</f>
        <v>قطعات و لوازم يدكي</v>
      </c>
      <c r="C2770" s="1">
        <v>101</v>
      </c>
      <c r="D2770" s="1" t="str">
        <f>"انبار قطعات و لوازم يدكي اصفهان"</f>
        <v>انبار قطعات و لوازم يدكي اصفهان</v>
      </c>
      <c r="E2770" s="1" t="str">
        <f>"9500000232"</f>
        <v>9500000232</v>
      </c>
      <c r="F2770" s="1" t="str">
        <f>"استد بولت 120*3/4"</f>
        <v>استد بولت 120*3/4</v>
      </c>
      <c r="G2770" s="1" t="str">
        <f>"عدد"</f>
        <v>عدد</v>
      </c>
      <c r="H2770" s="1">
        <v>0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O2770" s="1">
        <v>97</v>
      </c>
      <c r="P2770" s="1">
        <f t="shared" si="129"/>
        <v>0</v>
      </c>
      <c r="Q2770" s="1">
        <f t="shared" si="130"/>
        <v>0</v>
      </c>
      <c r="R2770" s="1" t="e">
        <f t="shared" si="131"/>
        <v>#DIV/0!</v>
      </c>
    </row>
    <row r="2771" spans="1:18" hidden="1">
      <c r="A2771" s="1">
        <v>2</v>
      </c>
      <c r="B2771" s="1" t="str">
        <f>"قطعات و لوازم يدكي"</f>
        <v>قطعات و لوازم يدكي</v>
      </c>
      <c r="C2771" s="1">
        <v>101</v>
      </c>
      <c r="D2771" s="1" t="str">
        <f>"انبار قطعات و لوازم يدكي اصفهان"</f>
        <v>انبار قطعات و لوازم يدكي اصفهان</v>
      </c>
      <c r="E2771" s="1" t="str">
        <f>"9500000242"</f>
        <v>9500000242</v>
      </c>
      <c r="F2771" s="1" t="str">
        <f>"گسکت 8 کلاس 150"</f>
        <v>گسکت 8 کلاس 150</v>
      </c>
      <c r="G2771" s="1" t="str">
        <f>"عدد"</f>
        <v>عدد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O2771" s="1">
        <v>97</v>
      </c>
      <c r="P2771" s="1">
        <f t="shared" si="129"/>
        <v>0</v>
      </c>
      <c r="Q2771" s="1">
        <f t="shared" si="130"/>
        <v>0</v>
      </c>
      <c r="R2771" s="1" t="e">
        <f t="shared" si="131"/>
        <v>#DIV/0!</v>
      </c>
    </row>
    <row r="2772" spans="1:18">
      <c r="A2772" s="1">
        <v>2</v>
      </c>
      <c r="B2772" s="1" t="str">
        <f>"قطعات و لوازم يدكي"</f>
        <v>قطعات و لوازم يدكي</v>
      </c>
      <c r="C2772" s="1">
        <v>120</v>
      </c>
      <c r="D2772" s="1" t="str">
        <f>"انبار قطعات و لوازم يدكي بشکه سازي اصفهان"</f>
        <v>انبار قطعات و لوازم يدكي بشکه سازي اصفهان</v>
      </c>
      <c r="E2772" s="1" t="str">
        <f>"4111700001"</f>
        <v>4111700001</v>
      </c>
      <c r="F2772" s="1" t="str">
        <f>"لامپ مهتابي 36 وات"</f>
        <v>لامپ مهتابي 36 وات</v>
      </c>
      <c r="G2772" s="1" t="str">
        <f>"عدد"</f>
        <v>عدد</v>
      </c>
      <c r="H2772" s="1">
        <v>0</v>
      </c>
      <c r="I2772" s="1">
        <v>0</v>
      </c>
      <c r="J2772" s="1">
        <v>4</v>
      </c>
      <c r="K2772" s="1">
        <v>128000</v>
      </c>
      <c r="L2772" s="1">
        <v>0</v>
      </c>
      <c r="M2772" s="1">
        <v>0</v>
      </c>
      <c r="O2772" s="1">
        <v>97</v>
      </c>
      <c r="P2772" s="4">
        <f t="shared" si="129"/>
        <v>128000</v>
      </c>
      <c r="Q2772" s="4">
        <f t="shared" si="130"/>
        <v>4</v>
      </c>
      <c r="R2772" s="4">
        <f t="shared" si="131"/>
        <v>32000</v>
      </c>
    </row>
    <row r="2773" spans="1:18">
      <c r="A2773" s="1">
        <v>2</v>
      </c>
      <c r="B2773" s="1" t="str">
        <f>"قطعات و لوازم يدكي"</f>
        <v>قطعات و لوازم يدكي</v>
      </c>
      <c r="C2773" s="1">
        <v>120</v>
      </c>
      <c r="D2773" s="1" t="str">
        <f>"انبار قطعات و لوازم يدكي بشکه سازي اصفهان"</f>
        <v>انبار قطعات و لوازم يدكي بشکه سازي اصفهان</v>
      </c>
      <c r="E2773" s="1" t="str">
        <f>"4111700002"</f>
        <v>4111700002</v>
      </c>
      <c r="F2773" s="1" t="str">
        <f>"فيش کابل و سيم برق"</f>
        <v>فيش کابل و سيم برق</v>
      </c>
      <c r="G2773" s="1" t="str">
        <f>"عدد"</f>
        <v>عدد</v>
      </c>
      <c r="H2773" s="1">
        <v>0</v>
      </c>
      <c r="I2773" s="1">
        <v>0</v>
      </c>
      <c r="J2773" s="1">
        <v>138</v>
      </c>
      <c r="K2773" s="1">
        <v>7590000</v>
      </c>
      <c r="L2773" s="1">
        <v>0</v>
      </c>
      <c r="M2773" s="1">
        <v>0</v>
      </c>
      <c r="O2773" s="1">
        <v>97</v>
      </c>
      <c r="P2773" s="4">
        <f t="shared" si="129"/>
        <v>7590000</v>
      </c>
      <c r="Q2773" s="4">
        <f t="shared" si="130"/>
        <v>138</v>
      </c>
      <c r="R2773" s="4">
        <f t="shared" si="131"/>
        <v>55000</v>
      </c>
    </row>
    <row r="2774" spans="1:18">
      <c r="A2774" s="1">
        <v>2</v>
      </c>
      <c r="B2774" s="1" t="str">
        <f>"قطعات و لوازم يدكي"</f>
        <v>قطعات و لوازم يدكي</v>
      </c>
      <c r="C2774" s="1">
        <v>120</v>
      </c>
      <c r="D2774" s="1" t="str">
        <f>"انبار قطعات و لوازم يدكي بشکه سازي اصفهان"</f>
        <v>انبار قطعات و لوازم يدكي بشکه سازي اصفهان</v>
      </c>
      <c r="E2774" s="1" t="str">
        <f>"4111700006"</f>
        <v>4111700006</v>
      </c>
      <c r="F2774" s="1" t="str">
        <f>"پريز برق"</f>
        <v>پريز برق</v>
      </c>
      <c r="G2774" s="1" t="str">
        <f>"عدد"</f>
        <v>عدد</v>
      </c>
      <c r="H2774" s="1">
        <v>0</v>
      </c>
      <c r="I2774" s="1">
        <v>0</v>
      </c>
      <c r="J2774" s="1">
        <v>13</v>
      </c>
      <c r="K2774" s="1">
        <v>455000</v>
      </c>
      <c r="L2774" s="1">
        <v>0</v>
      </c>
      <c r="M2774" s="1">
        <v>0</v>
      </c>
      <c r="O2774" s="1">
        <v>97</v>
      </c>
      <c r="P2774" s="4">
        <f t="shared" si="129"/>
        <v>455000</v>
      </c>
      <c r="Q2774" s="4">
        <f t="shared" si="130"/>
        <v>13</v>
      </c>
      <c r="R2774" s="4">
        <f t="shared" si="131"/>
        <v>35000</v>
      </c>
    </row>
    <row r="2775" spans="1:18">
      <c r="A2775" s="1">
        <v>2</v>
      </c>
      <c r="B2775" s="1" t="str">
        <f>"قطعات و لوازم يدكي"</f>
        <v>قطعات و لوازم يدكي</v>
      </c>
      <c r="C2775" s="1">
        <v>120</v>
      </c>
      <c r="D2775" s="1" t="str">
        <f>"انبار قطعات و لوازم يدكي بشکه سازي اصفهان"</f>
        <v>انبار قطعات و لوازم يدكي بشکه سازي اصفهان</v>
      </c>
      <c r="E2775" s="1" t="str">
        <f>"4111700008"</f>
        <v>4111700008</v>
      </c>
      <c r="F2775" s="1" t="str">
        <f>"کليد تک پل صنعتي روکار"</f>
        <v>کليد تک پل صنعتي روکار</v>
      </c>
      <c r="G2775" s="1" t="str">
        <f>"عدد"</f>
        <v>عدد</v>
      </c>
      <c r="H2775" s="1">
        <v>0</v>
      </c>
      <c r="I2775" s="1">
        <v>0</v>
      </c>
      <c r="J2775" s="1">
        <v>35</v>
      </c>
      <c r="K2775" s="1">
        <v>805000</v>
      </c>
      <c r="L2775" s="1">
        <v>1</v>
      </c>
      <c r="M2775" s="1">
        <v>23000</v>
      </c>
      <c r="O2775" s="1">
        <v>97</v>
      </c>
      <c r="P2775" s="4">
        <f t="shared" si="129"/>
        <v>782000</v>
      </c>
      <c r="Q2775" s="4">
        <f t="shared" si="130"/>
        <v>34</v>
      </c>
      <c r="R2775" s="4">
        <f t="shared" si="131"/>
        <v>23000</v>
      </c>
    </row>
    <row r="2776" spans="1:18">
      <c r="A2776" s="1">
        <v>2</v>
      </c>
      <c r="B2776" s="1" t="str">
        <f>"قطعات و لوازم يدكي"</f>
        <v>قطعات و لوازم يدكي</v>
      </c>
      <c r="C2776" s="1">
        <v>120</v>
      </c>
      <c r="D2776" s="1" t="str">
        <f>"انبار قطعات و لوازم يدكي بشکه سازي اصفهان"</f>
        <v>انبار قطعات و لوازم يدكي بشکه سازي اصفهان</v>
      </c>
      <c r="E2776" s="1" t="str">
        <f>"4111700025"</f>
        <v>4111700025</v>
      </c>
      <c r="F2776" s="1" t="str">
        <f>"چراغ کامل خطر و راهنماي تراکتور"</f>
        <v>چراغ کامل خطر و راهنماي تراکتور</v>
      </c>
      <c r="G2776" s="1" t="str">
        <f>"عدد"</f>
        <v>عدد</v>
      </c>
      <c r="H2776" s="1">
        <v>0</v>
      </c>
      <c r="I2776" s="1">
        <v>0</v>
      </c>
      <c r="J2776" s="1">
        <v>2</v>
      </c>
      <c r="K2776" s="1">
        <v>1900000</v>
      </c>
      <c r="L2776" s="1">
        <v>0</v>
      </c>
      <c r="M2776" s="1">
        <v>0</v>
      </c>
      <c r="O2776" s="1">
        <v>97</v>
      </c>
      <c r="P2776" s="4">
        <f t="shared" si="129"/>
        <v>1900000</v>
      </c>
      <c r="Q2776" s="4">
        <f t="shared" si="130"/>
        <v>2</v>
      </c>
      <c r="R2776" s="4">
        <f t="shared" si="131"/>
        <v>950000</v>
      </c>
    </row>
    <row r="2777" spans="1:18">
      <c r="A2777" s="1">
        <v>2</v>
      </c>
      <c r="B2777" s="1" t="str">
        <f>"قطعات و لوازم يدكي"</f>
        <v>قطعات و لوازم يدكي</v>
      </c>
      <c r="C2777" s="1">
        <v>120</v>
      </c>
      <c r="D2777" s="1" t="str">
        <f>"انبار قطعات و لوازم يدكي بشکه سازي اصفهان"</f>
        <v>انبار قطعات و لوازم يدكي بشکه سازي اصفهان</v>
      </c>
      <c r="E2777" s="1" t="str">
        <f>"4111700041"</f>
        <v>4111700041</v>
      </c>
      <c r="F2777" s="1" t="str">
        <f>"فيوز کتابي"</f>
        <v>فيوز کتابي</v>
      </c>
      <c r="G2777" s="1" t="str">
        <f>"عدد"</f>
        <v>عدد</v>
      </c>
      <c r="H2777" s="1">
        <v>0</v>
      </c>
      <c r="I2777" s="1">
        <v>0</v>
      </c>
      <c r="J2777" s="1">
        <v>8</v>
      </c>
      <c r="K2777" s="1">
        <v>800000</v>
      </c>
      <c r="L2777" s="1">
        <v>0</v>
      </c>
      <c r="M2777" s="1">
        <v>0</v>
      </c>
      <c r="O2777" s="1">
        <v>97</v>
      </c>
      <c r="P2777" s="4">
        <f t="shared" si="129"/>
        <v>800000</v>
      </c>
      <c r="Q2777" s="4">
        <f t="shared" si="130"/>
        <v>8</v>
      </c>
      <c r="R2777" s="4">
        <f t="shared" si="131"/>
        <v>100000</v>
      </c>
    </row>
    <row r="2778" spans="1:18">
      <c r="A2778" s="1">
        <v>2</v>
      </c>
      <c r="B2778" s="1" t="str">
        <f>"قطعات و لوازم يدكي"</f>
        <v>قطعات و لوازم يدكي</v>
      </c>
      <c r="C2778" s="1">
        <v>120</v>
      </c>
      <c r="D2778" s="1" t="str">
        <f>"انبار قطعات و لوازم يدكي بشکه سازي اصفهان"</f>
        <v>انبار قطعات و لوازم يدكي بشکه سازي اصفهان</v>
      </c>
      <c r="E2778" s="1" t="str">
        <f>"4111700043"</f>
        <v>4111700043</v>
      </c>
      <c r="F2778" s="1" t="str">
        <f>"رله و پايه 8 تيغه"</f>
        <v>رله و پايه 8 تيغه</v>
      </c>
      <c r="G2778" s="1" t="str">
        <f>"عدد"</f>
        <v>عدد</v>
      </c>
      <c r="H2778" s="1">
        <v>0</v>
      </c>
      <c r="I2778" s="1">
        <v>0</v>
      </c>
      <c r="J2778" s="1">
        <v>3</v>
      </c>
      <c r="K2778" s="1">
        <v>1650000</v>
      </c>
      <c r="L2778" s="1">
        <v>0</v>
      </c>
      <c r="M2778" s="1">
        <v>0</v>
      </c>
      <c r="O2778" s="1">
        <v>97</v>
      </c>
      <c r="P2778" s="4">
        <f t="shared" si="129"/>
        <v>1650000</v>
      </c>
      <c r="Q2778" s="4">
        <f t="shared" si="130"/>
        <v>3</v>
      </c>
      <c r="R2778" s="4">
        <f t="shared" si="131"/>
        <v>550000</v>
      </c>
    </row>
    <row r="2779" spans="1:18">
      <c r="A2779" s="1">
        <v>2</v>
      </c>
      <c r="B2779" s="1" t="str">
        <f>"قطعات و لوازم يدكي"</f>
        <v>قطعات و لوازم يدكي</v>
      </c>
      <c r="C2779" s="1">
        <v>120</v>
      </c>
      <c r="D2779" s="1" t="str">
        <f>"انبار قطعات و لوازم يدكي بشکه سازي اصفهان"</f>
        <v>انبار قطعات و لوازم يدكي بشکه سازي اصفهان</v>
      </c>
      <c r="E2779" s="1" t="str">
        <f>"4111700052"</f>
        <v>4111700052</v>
      </c>
      <c r="F2779" s="1" t="str">
        <f>"خازن فن هواکش 6/3 آمپر"</f>
        <v>خازن فن هواکش 6/3 آمپر</v>
      </c>
      <c r="G2779" s="1" t="str">
        <f>"عدد"</f>
        <v>عدد</v>
      </c>
      <c r="H2779" s="1">
        <v>0</v>
      </c>
      <c r="I2779" s="1">
        <v>0</v>
      </c>
      <c r="J2779" s="1">
        <v>7</v>
      </c>
      <c r="K2779" s="1">
        <v>350000</v>
      </c>
      <c r="L2779" s="1">
        <v>0</v>
      </c>
      <c r="M2779" s="1">
        <v>0</v>
      </c>
      <c r="O2779" s="1">
        <v>97</v>
      </c>
      <c r="P2779" s="4">
        <f t="shared" si="129"/>
        <v>350000</v>
      </c>
      <c r="Q2779" s="4">
        <f t="shared" si="130"/>
        <v>7</v>
      </c>
      <c r="R2779" s="4">
        <f t="shared" si="131"/>
        <v>50000</v>
      </c>
    </row>
    <row r="2780" spans="1:18">
      <c r="A2780" s="1">
        <v>2</v>
      </c>
      <c r="B2780" s="1" t="str">
        <f>"قطعات و لوازم يدكي"</f>
        <v>قطعات و لوازم يدكي</v>
      </c>
      <c r="C2780" s="1">
        <v>120</v>
      </c>
      <c r="D2780" s="1" t="str">
        <f>"انبار قطعات و لوازم يدكي بشکه سازي اصفهان"</f>
        <v>انبار قطعات و لوازم يدكي بشکه سازي اصفهان</v>
      </c>
      <c r="E2780" s="1" t="str">
        <f>"4111700069"</f>
        <v>4111700069</v>
      </c>
      <c r="F2780" s="1" t="str">
        <f>"کليد مينياتوري 3 فاز"</f>
        <v>کليد مينياتوري 3 فاز</v>
      </c>
      <c r="G2780" s="1" t="str">
        <f>"عدد"</f>
        <v>عدد</v>
      </c>
      <c r="H2780" s="1">
        <v>0</v>
      </c>
      <c r="I2780" s="1">
        <v>0</v>
      </c>
      <c r="J2780" s="1">
        <v>5</v>
      </c>
      <c r="K2780" s="1">
        <v>1400000</v>
      </c>
      <c r="L2780" s="1">
        <v>0</v>
      </c>
      <c r="M2780" s="1">
        <v>0</v>
      </c>
      <c r="O2780" s="1">
        <v>97</v>
      </c>
      <c r="P2780" s="4">
        <f t="shared" si="129"/>
        <v>1400000</v>
      </c>
      <c r="Q2780" s="4">
        <f t="shared" si="130"/>
        <v>5</v>
      </c>
      <c r="R2780" s="4">
        <f t="shared" si="131"/>
        <v>280000</v>
      </c>
    </row>
    <row r="2781" spans="1:18">
      <c r="A2781" s="1">
        <v>2</v>
      </c>
      <c r="B2781" s="1" t="str">
        <f>"قطعات و لوازم يدكي"</f>
        <v>قطعات و لوازم يدكي</v>
      </c>
      <c r="C2781" s="1">
        <v>120</v>
      </c>
      <c r="D2781" s="1" t="str">
        <f>"انبار قطعات و لوازم يدكي بشکه سازي اصفهان"</f>
        <v>انبار قطعات و لوازم يدكي بشکه سازي اصفهان</v>
      </c>
      <c r="E2781" s="1" t="str">
        <f>"4111700099"</f>
        <v>4111700099</v>
      </c>
      <c r="F2781" s="1" t="str">
        <f>"ترانس مهتابي 36 وات"</f>
        <v>ترانس مهتابي 36 وات</v>
      </c>
      <c r="G2781" s="1" t="str">
        <f>"عدد"</f>
        <v>عدد</v>
      </c>
      <c r="H2781" s="1">
        <v>0</v>
      </c>
      <c r="I2781" s="1">
        <v>0</v>
      </c>
      <c r="J2781" s="1">
        <v>50</v>
      </c>
      <c r="K2781" s="1">
        <v>13500000</v>
      </c>
      <c r="L2781" s="1">
        <v>2</v>
      </c>
      <c r="M2781" s="1">
        <v>540000</v>
      </c>
      <c r="O2781" s="1">
        <v>97</v>
      </c>
      <c r="P2781" s="4">
        <f t="shared" si="129"/>
        <v>12960000</v>
      </c>
      <c r="Q2781" s="4">
        <f t="shared" si="130"/>
        <v>48</v>
      </c>
      <c r="R2781" s="4">
        <f t="shared" si="131"/>
        <v>270000</v>
      </c>
    </row>
    <row r="2782" spans="1:18">
      <c r="A2782" s="1">
        <v>2</v>
      </c>
      <c r="B2782" s="1" t="str">
        <f>"قطعات و لوازم يدكي"</f>
        <v>قطعات و لوازم يدكي</v>
      </c>
      <c r="C2782" s="1">
        <v>120</v>
      </c>
      <c r="D2782" s="1" t="str">
        <f>"انبار قطعات و لوازم يدكي بشکه سازي اصفهان"</f>
        <v>انبار قطعات و لوازم يدكي بشکه سازي اصفهان</v>
      </c>
      <c r="E2782" s="1" t="str">
        <f>"4111700102"</f>
        <v>4111700102</v>
      </c>
      <c r="F2782" s="1" t="str">
        <f>"تريستور A630"</f>
        <v>تريستور A630</v>
      </c>
      <c r="G2782" s="1" t="str">
        <f>"عدد"</f>
        <v>عدد</v>
      </c>
      <c r="H2782" s="1">
        <v>0</v>
      </c>
      <c r="I2782" s="1">
        <v>0</v>
      </c>
      <c r="J2782" s="1">
        <v>3</v>
      </c>
      <c r="K2782" s="1">
        <v>4950000</v>
      </c>
      <c r="L2782" s="1">
        <v>0</v>
      </c>
      <c r="M2782" s="1">
        <v>0</v>
      </c>
      <c r="O2782" s="1">
        <v>97</v>
      </c>
      <c r="P2782" s="4">
        <f t="shared" si="129"/>
        <v>4950000</v>
      </c>
      <c r="Q2782" s="4">
        <f t="shared" si="130"/>
        <v>3</v>
      </c>
      <c r="R2782" s="4">
        <f t="shared" si="131"/>
        <v>1650000</v>
      </c>
    </row>
    <row r="2783" spans="1:18">
      <c r="A2783" s="1">
        <v>2</v>
      </c>
      <c r="B2783" s="1" t="str">
        <f>"قطعات و لوازم يدكي"</f>
        <v>قطعات و لوازم يدكي</v>
      </c>
      <c r="C2783" s="1">
        <v>120</v>
      </c>
      <c r="D2783" s="1" t="str">
        <f>"انبار قطعات و لوازم يدكي بشکه سازي اصفهان"</f>
        <v>انبار قطعات و لوازم يدكي بشکه سازي اصفهان</v>
      </c>
      <c r="E2783" s="1" t="str">
        <f>"4111700108"</f>
        <v>4111700108</v>
      </c>
      <c r="F2783" s="1" t="str">
        <f>"کنتاکتور LC1DL5M7"</f>
        <v>کنتاکتور LC1DL5M7</v>
      </c>
      <c r="G2783" s="1" t="str">
        <f>"عدد"</f>
        <v>عدد</v>
      </c>
      <c r="H2783" s="1">
        <v>0</v>
      </c>
      <c r="I2783" s="1">
        <v>0</v>
      </c>
      <c r="J2783" s="1">
        <v>3</v>
      </c>
      <c r="K2783" s="1">
        <v>1860000</v>
      </c>
      <c r="L2783" s="1">
        <v>0</v>
      </c>
      <c r="M2783" s="1">
        <v>0</v>
      </c>
      <c r="O2783" s="1">
        <v>97</v>
      </c>
      <c r="P2783" s="4">
        <f t="shared" si="129"/>
        <v>1860000</v>
      </c>
      <c r="Q2783" s="4">
        <f t="shared" si="130"/>
        <v>3</v>
      </c>
      <c r="R2783" s="4">
        <f t="shared" si="131"/>
        <v>620000</v>
      </c>
    </row>
    <row r="2784" spans="1:18">
      <c r="A2784" s="1">
        <v>2</v>
      </c>
      <c r="B2784" s="1" t="str">
        <f>"قطعات و لوازم يدكي"</f>
        <v>قطعات و لوازم يدكي</v>
      </c>
      <c r="C2784" s="1">
        <v>120</v>
      </c>
      <c r="D2784" s="1" t="str">
        <f>"انبار قطعات و لوازم يدكي بشکه سازي اصفهان"</f>
        <v>انبار قطعات و لوازم يدكي بشکه سازي اصفهان</v>
      </c>
      <c r="E2784" s="1" t="str">
        <f>"4111700111"</f>
        <v>4111700111</v>
      </c>
      <c r="F2784" s="1" t="str">
        <f>"بي متال هيونداي HiTH22K"</f>
        <v>بي متال هيونداي HiTH22K</v>
      </c>
      <c r="G2784" s="1" t="str">
        <f>"عدد"</f>
        <v>عدد</v>
      </c>
      <c r="H2784" s="1">
        <v>0</v>
      </c>
      <c r="I2784" s="1">
        <v>0</v>
      </c>
      <c r="J2784" s="1">
        <v>3</v>
      </c>
      <c r="K2784" s="1">
        <v>1350000</v>
      </c>
      <c r="L2784" s="1">
        <v>0</v>
      </c>
      <c r="M2784" s="1">
        <v>0</v>
      </c>
      <c r="O2784" s="1">
        <v>97</v>
      </c>
      <c r="P2784" s="4">
        <f t="shared" si="129"/>
        <v>1350000</v>
      </c>
      <c r="Q2784" s="4">
        <f t="shared" si="130"/>
        <v>3</v>
      </c>
      <c r="R2784" s="4">
        <f t="shared" si="131"/>
        <v>450000</v>
      </c>
    </row>
    <row r="2785" spans="1:18">
      <c r="A2785" s="1">
        <v>2</v>
      </c>
      <c r="B2785" s="1" t="str">
        <f>"قطعات و لوازم يدكي"</f>
        <v>قطعات و لوازم يدكي</v>
      </c>
      <c r="C2785" s="1">
        <v>120</v>
      </c>
      <c r="D2785" s="1" t="str">
        <f>"انبار قطعات و لوازم يدكي بشکه سازي اصفهان"</f>
        <v>انبار قطعات و لوازم يدكي بشکه سازي اصفهان</v>
      </c>
      <c r="E2785" s="1" t="str">
        <f>"4111700116"</f>
        <v>4111700116</v>
      </c>
      <c r="F2785" s="1" t="str">
        <f>"پرژکتور 50 وات"</f>
        <v>پرژکتور 50 وات</v>
      </c>
      <c r="G2785" s="1" t="str">
        <f>"عدد"</f>
        <v>عدد</v>
      </c>
      <c r="H2785" s="1">
        <v>0</v>
      </c>
      <c r="I2785" s="1">
        <v>0</v>
      </c>
      <c r="J2785" s="1">
        <v>6</v>
      </c>
      <c r="K2785" s="1">
        <v>8520000</v>
      </c>
      <c r="L2785" s="1">
        <v>1</v>
      </c>
      <c r="M2785" s="1">
        <v>1420000</v>
      </c>
      <c r="O2785" s="1">
        <v>97</v>
      </c>
      <c r="P2785" s="4">
        <f t="shared" si="129"/>
        <v>7100000</v>
      </c>
      <c r="Q2785" s="4">
        <f t="shared" si="130"/>
        <v>5</v>
      </c>
      <c r="R2785" s="4">
        <f t="shared" si="131"/>
        <v>1420000</v>
      </c>
    </row>
    <row r="2786" spans="1:18">
      <c r="A2786" s="1">
        <v>2</v>
      </c>
      <c r="B2786" s="1" t="str">
        <f>"قطعات و لوازم يدكي"</f>
        <v>قطعات و لوازم يدكي</v>
      </c>
      <c r="C2786" s="1">
        <v>120</v>
      </c>
      <c r="D2786" s="1" t="str">
        <f>"انبار قطعات و لوازم يدكي بشکه سازي اصفهان"</f>
        <v>انبار قطعات و لوازم يدكي بشکه سازي اصفهان</v>
      </c>
      <c r="E2786" s="1" t="str">
        <f>"4111700119"</f>
        <v>4111700119</v>
      </c>
      <c r="F2786" s="1" t="str">
        <f>"تايمر"</f>
        <v>تايمر</v>
      </c>
      <c r="G2786" s="1" t="str">
        <f>"عدد"</f>
        <v>عدد</v>
      </c>
      <c r="H2786" s="1">
        <v>0</v>
      </c>
      <c r="I2786" s="1">
        <v>0</v>
      </c>
      <c r="J2786" s="1">
        <v>4</v>
      </c>
      <c r="K2786" s="1">
        <v>7600000</v>
      </c>
      <c r="L2786" s="1">
        <v>1</v>
      </c>
      <c r="M2786" s="1">
        <v>650000</v>
      </c>
      <c r="O2786" s="1">
        <v>97</v>
      </c>
      <c r="P2786" s="4">
        <f t="shared" si="129"/>
        <v>6950000</v>
      </c>
      <c r="Q2786" s="4">
        <f t="shared" si="130"/>
        <v>3</v>
      </c>
      <c r="R2786" s="4">
        <f t="shared" si="131"/>
        <v>2316666.6666666665</v>
      </c>
    </row>
    <row r="2787" spans="1:18">
      <c r="A2787" s="1">
        <v>2</v>
      </c>
      <c r="B2787" s="1" t="str">
        <f>"قطعات و لوازم يدكي"</f>
        <v>قطعات و لوازم يدكي</v>
      </c>
      <c r="C2787" s="1">
        <v>120</v>
      </c>
      <c r="D2787" s="1" t="str">
        <f>"انبار قطعات و لوازم يدكي بشکه سازي اصفهان"</f>
        <v>انبار قطعات و لوازم يدكي بشکه سازي اصفهان</v>
      </c>
      <c r="E2787" s="1" t="str">
        <f>"4211700004"</f>
        <v>4211700004</v>
      </c>
      <c r="F2787" s="1" t="str">
        <f>"فيلتر هواي داخلي ليفتراک 3 تن ليفتراک"</f>
        <v>فيلتر هواي داخلي ليفتراک 3 تن ليفتراک</v>
      </c>
      <c r="G2787" s="1" t="str">
        <f>"عدد"</f>
        <v>عدد</v>
      </c>
      <c r="H2787" s="1">
        <v>0</v>
      </c>
      <c r="I2787" s="1">
        <v>0</v>
      </c>
      <c r="J2787" s="1">
        <v>7</v>
      </c>
      <c r="K2787" s="1">
        <v>2800000</v>
      </c>
      <c r="L2787" s="1">
        <v>0</v>
      </c>
      <c r="M2787" s="1">
        <v>0</v>
      </c>
      <c r="O2787" s="1">
        <v>97</v>
      </c>
      <c r="P2787" s="4">
        <f t="shared" si="129"/>
        <v>2800000</v>
      </c>
      <c r="Q2787" s="4">
        <f t="shared" si="130"/>
        <v>7</v>
      </c>
      <c r="R2787" s="4">
        <f t="shared" si="131"/>
        <v>400000</v>
      </c>
    </row>
    <row r="2788" spans="1:18">
      <c r="A2788" s="1">
        <v>2</v>
      </c>
      <c r="B2788" s="1" t="str">
        <f>"قطعات و لوازم يدكي"</f>
        <v>قطعات و لوازم يدكي</v>
      </c>
      <c r="C2788" s="1">
        <v>120</v>
      </c>
      <c r="D2788" s="1" t="str">
        <f>"انبار قطعات و لوازم يدكي بشکه سازي اصفهان"</f>
        <v>انبار قطعات و لوازم يدكي بشکه سازي اصفهان</v>
      </c>
      <c r="E2788" s="1" t="str">
        <f>"4211700009"</f>
        <v>4211700009</v>
      </c>
      <c r="F2788" s="1" t="str">
        <f>"فيلتر گازوئيل ايکو - ولو تراکتور"</f>
        <v>فيلتر گازوئيل ايکو - ولو تراکتور</v>
      </c>
      <c r="G2788" s="1" t="str">
        <f>"عدد"</f>
        <v>عدد</v>
      </c>
      <c r="H2788" s="1">
        <v>0</v>
      </c>
      <c r="I2788" s="1">
        <v>0</v>
      </c>
      <c r="J2788" s="1">
        <v>11</v>
      </c>
      <c r="K2788" s="1">
        <v>5335000</v>
      </c>
      <c r="L2788" s="1">
        <v>4</v>
      </c>
      <c r="M2788" s="1">
        <v>1940000</v>
      </c>
      <c r="O2788" s="1">
        <v>97</v>
      </c>
      <c r="P2788" s="4">
        <f t="shared" si="129"/>
        <v>3395000</v>
      </c>
      <c r="Q2788" s="4">
        <f t="shared" si="130"/>
        <v>7</v>
      </c>
      <c r="R2788" s="4">
        <f t="shared" si="131"/>
        <v>485000</v>
      </c>
    </row>
    <row r="2789" spans="1:18">
      <c r="A2789" s="1">
        <v>2</v>
      </c>
      <c r="B2789" s="1" t="str">
        <f>"قطعات و لوازم يدكي"</f>
        <v>قطعات و لوازم يدكي</v>
      </c>
      <c r="C2789" s="1">
        <v>120</v>
      </c>
      <c r="D2789" s="1" t="str">
        <f>"انبار قطعات و لوازم يدكي بشکه سازي اصفهان"</f>
        <v>انبار قطعات و لوازم يدكي بشکه سازي اصفهان</v>
      </c>
      <c r="E2789" s="1" t="str">
        <f>"4211700021"</f>
        <v>4211700021</v>
      </c>
      <c r="F2789" s="1" t="str">
        <f>"بلبيرينگ شافت هاي خرک رول گير قيچي 6322"</f>
        <v>بلبيرينگ شافت هاي خرک رول گير قيچي 6322</v>
      </c>
      <c r="G2789" s="1" t="str">
        <f>"عدد"</f>
        <v>عدد</v>
      </c>
      <c r="H2789" s="1">
        <v>0</v>
      </c>
      <c r="I2789" s="1">
        <v>0</v>
      </c>
      <c r="J2789" s="1">
        <v>12</v>
      </c>
      <c r="K2789" s="1">
        <v>2400000</v>
      </c>
      <c r="L2789" s="1">
        <v>0</v>
      </c>
      <c r="M2789" s="1">
        <v>0</v>
      </c>
      <c r="O2789" s="1">
        <v>97</v>
      </c>
      <c r="P2789" s="4">
        <f t="shared" si="129"/>
        <v>2400000</v>
      </c>
      <c r="Q2789" s="4">
        <f t="shared" si="130"/>
        <v>12</v>
      </c>
      <c r="R2789" s="4">
        <f t="shared" si="131"/>
        <v>200000</v>
      </c>
    </row>
    <row r="2790" spans="1:18" hidden="1">
      <c r="A2790" s="1">
        <v>2</v>
      </c>
      <c r="B2790" s="1" t="str">
        <f>"قطعات و لوازم يدكي"</f>
        <v>قطعات و لوازم يدكي</v>
      </c>
      <c r="C2790" s="1">
        <v>120</v>
      </c>
      <c r="D2790" s="1" t="str">
        <f>"انبار قطعات و لوازم يدكي بشکه سازي اصفهان"</f>
        <v>انبار قطعات و لوازم يدكي بشکه سازي اصفهان</v>
      </c>
      <c r="E2790" s="1" t="str">
        <f>"4311700376"</f>
        <v>4311700376</v>
      </c>
      <c r="F2790" s="1" t="str">
        <f>"شصتي نورمالي اپن"</f>
        <v>شصتي نورمالي اپن</v>
      </c>
      <c r="G2790" s="1" t="str">
        <f>"عدد"</f>
        <v>عدد</v>
      </c>
      <c r="H2790" s="1">
        <v>0</v>
      </c>
      <c r="I2790" s="1">
        <v>0</v>
      </c>
      <c r="J2790" s="1">
        <v>2</v>
      </c>
      <c r="K2790" s="1">
        <v>3300000</v>
      </c>
      <c r="L2790" s="1">
        <v>2</v>
      </c>
      <c r="M2790" s="1">
        <v>3300000</v>
      </c>
      <c r="O2790" s="1">
        <v>97</v>
      </c>
      <c r="P2790" s="1">
        <f t="shared" si="129"/>
        <v>0</v>
      </c>
      <c r="Q2790" s="1">
        <f t="shared" si="130"/>
        <v>0</v>
      </c>
      <c r="R2790" s="1" t="e">
        <f t="shared" si="131"/>
        <v>#DIV/0!</v>
      </c>
    </row>
    <row r="2791" spans="1:18">
      <c r="A2791" s="1">
        <v>2</v>
      </c>
      <c r="B2791" s="1" t="str">
        <f>"قطعات و لوازم يدكي"</f>
        <v>قطعات و لوازم يدكي</v>
      </c>
      <c r="C2791" s="1">
        <v>120</v>
      </c>
      <c r="D2791" s="1" t="str">
        <f>"انبار قطعات و لوازم يدكي بشکه سازي اصفهان"</f>
        <v>انبار قطعات و لوازم يدكي بشکه سازي اصفهان</v>
      </c>
      <c r="E2791" s="1" t="str">
        <f>"5211700003"</f>
        <v>5211700003</v>
      </c>
      <c r="F2791" s="1" t="str">
        <f>"آچار تخت 30-32"</f>
        <v>آچار تخت 30-32</v>
      </c>
      <c r="G2791" s="1" t="str">
        <f>"عدد"</f>
        <v>عدد</v>
      </c>
      <c r="H2791" s="1">
        <v>0</v>
      </c>
      <c r="I2791" s="1">
        <v>0</v>
      </c>
      <c r="J2791" s="1">
        <v>21</v>
      </c>
      <c r="K2791" s="1">
        <v>3150000</v>
      </c>
      <c r="L2791" s="1">
        <v>0</v>
      </c>
      <c r="M2791" s="1">
        <v>0</v>
      </c>
      <c r="O2791" s="1">
        <v>97</v>
      </c>
      <c r="P2791" s="4">
        <f t="shared" si="129"/>
        <v>3150000</v>
      </c>
      <c r="Q2791" s="4">
        <f t="shared" si="130"/>
        <v>21</v>
      </c>
      <c r="R2791" s="4">
        <f t="shared" si="131"/>
        <v>150000</v>
      </c>
    </row>
    <row r="2792" spans="1:18">
      <c r="A2792" s="1">
        <v>2</v>
      </c>
      <c r="B2792" s="1" t="str">
        <f>"قطعات و لوازم يدكي"</f>
        <v>قطعات و لوازم يدكي</v>
      </c>
      <c r="C2792" s="1">
        <v>120</v>
      </c>
      <c r="D2792" s="1" t="str">
        <f>"انبار قطعات و لوازم يدكي بشکه سازي اصفهان"</f>
        <v>انبار قطعات و لوازم يدكي بشکه سازي اصفهان</v>
      </c>
      <c r="E2792" s="1" t="str">
        <f>"5211700007"</f>
        <v>5211700007</v>
      </c>
      <c r="F2792" s="1" t="str">
        <f>"گريس پمپ دستي"</f>
        <v>گريس پمپ دستي</v>
      </c>
      <c r="G2792" s="1" t="str">
        <f>"عدد"</f>
        <v>عدد</v>
      </c>
      <c r="H2792" s="1">
        <v>0</v>
      </c>
      <c r="I2792" s="1">
        <v>0</v>
      </c>
      <c r="J2792" s="1">
        <v>2</v>
      </c>
      <c r="K2792" s="1">
        <v>2500000</v>
      </c>
      <c r="L2792" s="1">
        <v>1</v>
      </c>
      <c r="M2792" s="1">
        <v>1250000</v>
      </c>
      <c r="O2792" s="1">
        <v>97</v>
      </c>
      <c r="P2792" s="4">
        <f t="shared" si="129"/>
        <v>1250000</v>
      </c>
      <c r="Q2792" s="4">
        <f t="shared" si="130"/>
        <v>1</v>
      </c>
      <c r="R2792" s="4">
        <f t="shared" si="131"/>
        <v>1250000</v>
      </c>
    </row>
    <row r="2793" spans="1:18" hidden="1">
      <c r="A2793" s="1">
        <v>2</v>
      </c>
      <c r="B2793" s="1" t="str">
        <f>"قطعات و لوازم يدكي"</f>
        <v>قطعات و لوازم يدكي</v>
      </c>
      <c r="C2793" s="1">
        <v>120</v>
      </c>
      <c r="D2793" s="1" t="str">
        <f>"انبار قطعات و لوازم يدكي بشکه سازي اصفهان"</f>
        <v>انبار قطعات و لوازم يدكي بشکه سازي اصفهان</v>
      </c>
      <c r="E2793" s="1" t="str">
        <f>"5211700015"</f>
        <v>5211700015</v>
      </c>
      <c r="F2793" s="1" t="str">
        <f>"انبردست."</f>
        <v>انبردست.</v>
      </c>
      <c r="G2793" s="1" t="str">
        <f>"عدد"</f>
        <v>عدد</v>
      </c>
      <c r="H2793" s="1">
        <v>0</v>
      </c>
      <c r="I2793" s="1">
        <v>0</v>
      </c>
      <c r="J2793" s="1">
        <v>4</v>
      </c>
      <c r="K2793" s="1">
        <v>3260000</v>
      </c>
      <c r="L2793" s="1">
        <v>4</v>
      </c>
      <c r="M2793" s="1">
        <v>3260000</v>
      </c>
      <c r="O2793" s="1">
        <v>97</v>
      </c>
      <c r="P2793" s="1">
        <f t="shared" si="129"/>
        <v>0</v>
      </c>
      <c r="Q2793" s="1">
        <f t="shared" si="130"/>
        <v>0</v>
      </c>
      <c r="R2793" s="1" t="e">
        <f t="shared" si="131"/>
        <v>#DIV/0!</v>
      </c>
    </row>
    <row r="2794" spans="1:18" hidden="1">
      <c r="A2794" s="1">
        <v>2</v>
      </c>
      <c r="B2794" s="1" t="str">
        <f>"قطعات و لوازم يدكي"</f>
        <v>قطعات و لوازم يدكي</v>
      </c>
      <c r="C2794" s="1">
        <v>120</v>
      </c>
      <c r="D2794" s="1" t="str">
        <f>"انبار قطعات و لوازم يدكي بشکه سازي اصفهان"</f>
        <v>انبار قطعات و لوازم يدكي بشکه سازي اصفهان</v>
      </c>
      <c r="E2794" s="1" t="str">
        <f>"7111700010"</f>
        <v>7111700010</v>
      </c>
      <c r="F2794" s="1" t="str">
        <f>"چسب آبکي"</f>
        <v>چسب آبکي</v>
      </c>
      <c r="G2794" s="1" t="str">
        <f>"عدد"</f>
        <v>عدد</v>
      </c>
      <c r="H2794" s="1">
        <v>0</v>
      </c>
      <c r="I2794" s="1">
        <v>0</v>
      </c>
      <c r="J2794" s="1">
        <v>1</v>
      </c>
      <c r="K2794" s="1">
        <v>37000</v>
      </c>
      <c r="L2794" s="1">
        <v>1</v>
      </c>
      <c r="M2794" s="1">
        <v>37000</v>
      </c>
      <c r="O2794" s="1">
        <v>97</v>
      </c>
      <c r="P2794" s="1">
        <f t="shared" si="129"/>
        <v>0</v>
      </c>
      <c r="Q2794" s="1">
        <f t="shared" si="130"/>
        <v>0</v>
      </c>
      <c r="R2794" s="1" t="e">
        <f t="shared" si="131"/>
        <v>#DIV/0!</v>
      </c>
    </row>
    <row r="2795" spans="1:18" hidden="1">
      <c r="A2795" s="1">
        <v>2</v>
      </c>
      <c r="B2795" s="1" t="str">
        <f>"قطعات و لوازم يدكي"</f>
        <v>قطعات و لوازم يدكي</v>
      </c>
      <c r="C2795" s="1">
        <v>120</v>
      </c>
      <c r="D2795" s="1" t="str">
        <f>"انبار قطعات و لوازم يدكي بشکه سازي اصفهان"</f>
        <v>انبار قطعات و لوازم يدكي بشکه سازي اصفهان</v>
      </c>
      <c r="E2795" s="1" t="str">
        <f>"7111700011"</f>
        <v>7111700011</v>
      </c>
      <c r="F2795" s="1" t="str">
        <f>"غلت گير"</f>
        <v>غلت گير</v>
      </c>
      <c r="G2795" s="1" t="str">
        <f>"عدد"</f>
        <v>عدد</v>
      </c>
      <c r="H2795" s="1">
        <v>0</v>
      </c>
      <c r="I2795" s="1">
        <v>0</v>
      </c>
      <c r="J2795" s="1">
        <v>2</v>
      </c>
      <c r="K2795" s="1">
        <v>40000</v>
      </c>
      <c r="L2795" s="1">
        <v>2</v>
      </c>
      <c r="M2795" s="1">
        <v>40000</v>
      </c>
      <c r="O2795" s="1">
        <v>97</v>
      </c>
      <c r="P2795" s="1">
        <f t="shared" si="129"/>
        <v>0</v>
      </c>
      <c r="Q2795" s="1">
        <f t="shared" si="130"/>
        <v>0</v>
      </c>
      <c r="R2795" s="1" t="e">
        <f t="shared" si="131"/>
        <v>#DIV/0!</v>
      </c>
    </row>
    <row r="2796" spans="1:18" hidden="1">
      <c r="A2796" s="1">
        <v>2</v>
      </c>
      <c r="B2796" s="1" t="str">
        <f>"قطعات و لوازم يدكي"</f>
        <v>قطعات و لوازم يدكي</v>
      </c>
      <c r="C2796" s="1">
        <v>120</v>
      </c>
      <c r="D2796" s="1" t="str">
        <f>"انبار قطعات و لوازم يدكي بشکه سازي اصفهان"</f>
        <v>انبار قطعات و لوازم يدكي بشکه سازي اصفهان</v>
      </c>
      <c r="E2796" s="1" t="str">
        <f>"7111700014"</f>
        <v>7111700014</v>
      </c>
      <c r="F2796" s="1" t="str">
        <f>"خودکار قرمز"</f>
        <v>خودکار قرمز</v>
      </c>
      <c r="G2796" s="1" t="str">
        <f>"عدد"</f>
        <v>عدد</v>
      </c>
      <c r="H2796" s="1">
        <v>0</v>
      </c>
      <c r="I2796" s="1">
        <v>0</v>
      </c>
      <c r="J2796" s="1">
        <v>5</v>
      </c>
      <c r="K2796" s="1">
        <v>31000</v>
      </c>
      <c r="L2796" s="1">
        <v>5</v>
      </c>
      <c r="M2796" s="1">
        <v>31000</v>
      </c>
      <c r="O2796" s="1">
        <v>97</v>
      </c>
      <c r="P2796" s="1">
        <f t="shared" si="129"/>
        <v>0</v>
      </c>
      <c r="Q2796" s="1">
        <f t="shared" si="130"/>
        <v>0</v>
      </c>
      <c r="R2796" s="1" t="e">
        <f t="shared" si="131"/>
        <v>#DIV/0!</v>
      </c>
    </row>
    <row r="2797" spans="1:18" hidden="1">
      <c r="A2797" s="1">
        <v>2</v>
      </c>
      <c r="B2797" s="1" t="str">
        <f>"قطعات و لوازم يدكي"</f>
        <v>قطعات و لوازم يدكي</v>
      </c>
      <c r="C2797" s="1">
        <v>120</v>
      </c>
      <c r="D2797" s="1" t="str">
        <f>"انبار قطعات و لوازم يدكي بشکه سازي اصفهان"</f>
        <v>انبار قطعات و لوازم يدكي بشکه سازي اصفهان</v>
      </c>
      <c r="E2797" s="1" t="str">
        <f>"7111700020"</f>
        <v>7111700020</v>
      </c>
      <c r="F2797" s="1" t="str">
        <f>"باطري نيم قلمي."</f>
        <v>باطري نيم قلمي.</v>
      </c>
      <c r="G2797" s="1" t="str">
        <f>"بسته"</f>
        <v>بسته</v>
      </c>
      <c r="H2797" s="1">
        <v>0</v>
      </c>
      <c r="I2797" s="1">
        <v>0</v>
      </c>
      <c r="J2797" s="1">
        <v>5</v>
      </c>
      <c r="K2797" s="1">
        <v>90000</v>
      </c>
      <c r="L2797" s="1">
        <v>5</v>
      </c>
      <c r="M2797" s="1">
        <v>90000</v>
      </c>
      <c r="O2797" s="1">
        <v>97</v>
      </c>
      <c r="P2797" s="1">
        <f t="shared" si="129"/>
        <v>0</v>
      </c>
      <c r="Q2797" s="1">
        <f t="shared" si="130"/>
        <v>0</v>
      </c>
      <c r="R2797" s="1" t="e">
        <f t="shared" si="131"/>
        <v>#DIV/0!</v>
      </c>
    </row>
    <row r="2798" spans="1:18" hidden="1">
      <c r="A2798" s="1">
        <v>2</v>
      </c>
      <c r="B2798" s="1" t="str">
        <f>"قطعات و لوازم يدكي"</f>
        <v>قطعات و لوازم يدكي</v>
      </c>
      <c r="C2798" s="1">
        <v>120</v>
      </c>
      <c r="D2798" s="1" t="str">
        <f>"انبار قطعات و لوازم يدكي بشکه سازي اصفهان"</f>
        <v>انبار قطعات و لوازم يدكي بشکه سازي اصفهان</v>
      </c>
      <c r="E2798" s="1" t="str">
        <f>"7111700039"</f>
        <v>7111700039</v>
      </c>
      <c r="F2798" s="1" t="str">
        <f>"پرچم."</f>
        <v>پرچم.</v>
      </c>
      <c r="G2798" s="1" t="str">
        <f>"عدد"</f>
        <v>عدد</v>
      </c>
      <c r="H2798" s="1">
        <v>0</v>
      </c>
      <c r="I2798" s="1">
        <v>0</v>
      </c>
      <c r="J2798" s="1">
        <v>10</v>
      </c>
      <c r="K2798" s="1">
        <v>1500000</v>
      </c>
      <c r="L2798" s="1">
        <v>10</v>
      </c>
      <c r="M2798" s="1">
        <v>1500000</v>
      </c>
      <c r="O2798" s="1">
        <v>97</v>
      </c>
      <c r="P2798" s="1">
        <f t="shared" si="129"/>
        <v>0</v>
      </c>
      <c r="Q2798" s="1">
        <f t="shared" si="130"/>
        <v>0</v>
      </c>
      <c r="R2798" s="1" t="e">
        <f t="shared" si="131"/>
        <v>#DIV/0!</v>
      </c>
    </row>
    <row r="2799" spans="1:18" hidden="1">
      <c r="A2799" s="1">
        <v>2</v>
      </c>
      <c r="B2799" s="1" t="str">
        <f>"قطعات و لوازم يدكي"</f>
        <v>قطعات و لوازم يدكي</v>
      </c>
      <c r="C2799" s="1">
        <v>120</v>
      </c>
      <c r="D2799" s="1" t="str">
        <f>"انبار قطعات و لوازم يدكي بشکه سازي اصفهان"</f>
        <v>انبار قطعات و لوازم يدكي بشکه سازي اصفهان</v>
      </c>
      <c r="E2799" s="1" t="str">
        <f>"7111700045"</f>
        <v>7111700045</v>
      </c>
      <c r="F2799" s="1" t="str">
        <f>"صابون"</f>
        <v>صابون</v>
      </c>
      <c r="G2799" s="1" t="str">
        <f>"عدد"</f>
        <v>عدد</v>
      </c>
      <c r="H2799" s="1">
        <v>0</v>
      </c>
      <c r="I2799" s="1">
        <v>0</v>
      </c>
      <c r="J2799" s="1">
        <v>3</v>
      </c>
      <c r="K2799" s="1">
        <v>90000</v>
      </c>
      <c r="L2799" s="1">
        <v>3</v>
      </c>
      <c r="M2799" s="1">
        <v>90000</v>
      </c>
      <c r="O2799" s="1">
        <v>97</v>
      </c>
      <c r="P2799" s="1">
        <f t="shared" si="129"/>
        <v>0</v>
      </c>
      <c r="Q2799" s="1">
        <f t="shared" si="130"/>
        <v>0</v>
      </c>
      <c r="R2799" s="1" t="e">
        <f t="shared" si="131"/>
        <v>#DIV/0!</v>
      </c>
    </row>
    <row r="2800" spans="1:18" hidden="1">
      <c r="A2800" s="1">
        <v>2</v>
      </c>
      <c r="B2800" s="1" t="str">
        <f>"قطعات و لوازم يدكي"</f>
        <v>قطعات و لوازم يدكي</v>
      </c>
      <c r="C2800" s="1">
        <v>120</v>
      </c>
      <c r="D2800" s="1" t="str">
        <f>"انبار قطعات و لوازم يدكي بشکه سازي اصفهان"</f>
        <v>انبار قطعات و لوازم يدكي بشکه سازي اصفهان</v>
      </c>
      <c r="E2800" s="1" t="str">
        <f>"7111700060"</f>
        <v>7111700060</v>
      </c>
      <c r="F2800" s="1" t="str">
        <f>"پارچه تکه اي"</f>
        <v>پارچه تکه اي</v>
      </c>
      <c r="G2800" s="1" t="str">
        <f>"كيلوگرم"</f>
        <v>كيلوگرم</v>
      </c>
      <c r="H2800" s="1">
        <v>0</v>
      </c>
      <c r="I2800" s="1">
        <v>0</v>
      </c>
      <c r="J2800" s="1">
        <v>40</v>
      </c>
      <c r="K2800" s="1">
        <v>2000000</v>
      </c>
      <c r="L2800" s="1">
        <v>40</v>
      </c>
      <c r="M2800" s="1">
        <v>2000000</v>
      </c>
      <c r="O2800" s="1">
        <v>97</v>
      </c>
      <c r="P2800" s="1">
        <f t="shared" si="129"/>
        <v>0</v>
      </c>
      <c r="Q2800" s="1">
        <f t="shared" si="130"/>
        <v>0</v>
      </c>
      <c r="R2800" s="1" t="e">
        <f t="shared" si="131"/>
        <v>#DIV/0!</v>
      </c>
    </row>
    <row r="2801" spans="1:18">
      <c r="A2801" s="1">
        <v>2</v>
      </c>
      <c r="B2801" s="1" t="str">
        <f>"قطعات و لوازم يدكي"</f>
        <v>قطعات و لوازم يدكي</v>
      </c>
      <c r="C2801" s="1">
        <v>205</v>
      </c>
      <c r="D2801" s="1" t="str">
        <f>"انبار قطعات و لوازم يدكي بندرعباس"</f>
        <v>انبار قطعات و لوازم يدكي بندرعباس</v>
      </c>
      <c r="E2801" s="1" t="str">
        <f>"1800000041"</f>
        <v>1800000041</v>
      </c>
      <c r="F2801" s="1" t="str">
        <f>"فلنج 1/2*1 اينچ"</f>
        <v>فلنج 1/2*1 اينچ</v>
      </c>
      <c r="G2801" s="1" t="str">
        <f>"عدد"</f>
        <v>عدد</v>
      </c>
      <c r="H2801" s="1">
        <v>10</v>
      </c>
      <c r="I2801" s="1">
        <v>3670000</v>
      </c>
      <c r="J2801" s="1">
        <v>0</v>
      </c>
      <c r="K2801" s="1">
        <v>0</v>
      </c>
      <c r="L2801" s="1">
        <v>0</v>
      </c>
      <c r="M2801" s="1">
        <v>0</v>
      </c>
      <c r="O2801" s="1">
        <v>97</v>
      </c>
      <c r="P2801" s="4">
        <f t="shared" si="129"/>
        <v>3670000</v>
      </c>
      <c r="Q2801" s="4">
        <f t="shared" si="130"/>
        <v>10</v>
      </c>
      <c r="R2801" s="4">
        <f t="shared" si="131"/>
        <v>367000</v>
      </c>
    </row>
    <row r="2802" spans="1:18">
      <c r="A2802" s="1">
        <v>2</v>
      </c>
      <c r="B2802" s="1" t="str">
        <f>"قطعات و لوازم يدكي"</f>
        <v>قطعات و لوازم يدكي</v>
      </c>
      <c r="C2802" s="1">
        <v>205</v>
      </c>
      <c r="D2802" s="1" t="str">
        <f>"انبار قطعات و لوازم يدكي بندرعباس"</f>
        <v>انبار قطعات و لوازم يدكي بندرعباس</v>
      </c>
      <c r="E2802" s="1" t="str">
        <f>"1800000064"</f>
        <v>1800000064</v>
      </c>
      <c r="F2802" s="1" t="str">
        <f>"زانو 1/2"</f>
        <v>زانو 1/2</v>
      </c>
      <c r="G2802" s="1" t="str">
        <f>"عدد"</f>
        <v>عدد</v>
      </c>
      <c r="H2802" s="1">
        <v>59</v>
      </c>
      <c r="I2802" s="1">
        <v>11800000</v>
      </c>
      <c r="J2802" s="1">
        <v>0</v>
      </c>
      <c r="K2802" s="1">
        <v>0</v>
      </c>
      <c r="L2802" s="1">
        <v>0</v>
      </c>
      <c r="M2802" s="1">
        <v>0</v>
      </c>
      <c r="O2802" s="1">
        <v>97</v>
      </c>
      <c r="P2802" s="4">
        <f t="shared" si="129"/>
        <v>11800000</v>
      </c>
      <c r="Q2802" s="4">
        <f t="shared" si="130"/>
        <v>59</v>
      </c>
      <c r="R2802" s="4">
        <f t="shared" si="131"/>
        <v>200000</v>
      </c>
    </row>
    <row r="2803" spans="1:18">
      <c r="A2803" s="1">
        <v>2</v>
      </c>
      <c r="B2803" s="1" t="str">
        <f>"قطعات و لوازم يدكي"</f>
        <v>قطعات و لوازم يدكي</v>
      </c>
      <c r="C2803" s="1">
        <v>205</v>
      </c>
      <c r="D2803" s="1" t="str">
        <f>"انبار قطعات و لوازم يدكي بندرعباس"</f>
        <v>انبار قطعات و لوازم يدكي بندرعباس</v>
      </c>
      <c r="E2803" s="1" t="str">
        <f>"1800000072"</f>
        <v>1800000072</v>
      </c>
      <c r="F2803" s="1" t="str">
        <f>"زانو14"</f>
        <v>زانو14</v>
      </c>
      <c r="G2803" s="1" t="str">
        <f>"عدد"</f>
        <v>عدد</v>
      </c>
      <c r="H2803" s="1">
        <v>2</v>
      </c>
      <c r="I2803" s="1">
        <v>5115200</v>
      </c>
      <c r="J2803" s="1">
        <v>0</v>
      </c>
      <c r="K2803" s="1">
        <v>0</v>
      </c>
      <c r="L2803" s="1">
        <v>0</v>
      </c>
      <c r="M2803" s="1">
        <v>0</v>
      </c>
      <c r="O2803" s="1">
        <v>97</v>
      </c>
      <c r="P2803" s="4">
        <f t="shared" si="129"/>
        <v>5115200</v>
      </c>
      <c r="Q2803" s="4">
        <f t="shared" si="130"/>
        <v>2</v>
      </c>
      <c r="R2803" s="4">
        <f t="shared" si="131"/>
        <v>2557600</v>
      </c>
    </row>
    <row r="2804" spans="1:18">
      <c r="A2804" s="1">
        <v>2</v>
      </c>
      <c r="B2804" s="1" t="str">
        <f>"قطعات و لوازم يدكي"</f>
        <v>قطعات و لوازم يدكي</v>
      </c>
      <c r="C2804" s="1">
        <v>205</v>
      </c>
      <c r="D2804" s="1" t="str">
        <f>"انبار قطعات و لوازم يدكي بندرعباس"</f>
        <v>انبار قطعات و لوازم يدكي بندرعباس</v>
      </c>
      <c r="E2804" s="1" t="str">
        <f>"1800000082"</f>
        <v>1800000082</v>
      </c>
      <c r="F2804" s="1" t="str">
        <f>"زانو 1 اينچ"</f>
        <v>زانو 1 اينچ</v>
      </c>
      <c r="G2804" s="1" t="str">
        <f>"عدد"</f>
        <v>عدد</v>
      </c>
      <c r="H2804" s="1">
        <v>185</v>
      </c>
      <c r="I2804" s="1">
        <v>18993210</v>
      </c>
      <c r="J2804" s="1">
        <v>0</v>
      </c>
      <c r="K2804" s="1">
        <v>0</v>
      </c>
      <c r="L2804" s="1">
        <v>0</v>
      </c>
      <c r="M2804" s="1">
        <v>0</v>
      </c>
      <c r="O2804" s="1">
        <v>97</v>
      </c>
      <c r="P2804" s="4">
        <f t="shared" si="129"/>
        <v>18993210</v>
      </c>
      <c r="Q2804" s="4">
        <f t="shared" si="130"/>
        <v>185</v>
      </c>
      <c r="R2804" s="4">
        <f t="shared" si="131"/>
        <v>102666</v>
      </c>
    </row>
    <row r="2805" spans="1:18">
      <c r="A2805" s="1">
        <v>2</v>
      </c>
      <c r="B2805" s="1" t="str">
        <f>"قطعات و لوازم يدكي"</f>
        <v>قطعات و لوازم يدكي</v>
      </c>
      <c r="C2805" s="1">
        <v>205</v>
      </c>
      <c r="D2805" s="1" t="str">
        <f>"انبار قطعات و لوازم يدكي بندرعباس"</f>
        <v>انبار قطعات و لوازم يدكي بندرعباس</v>
      </c>
      <c r="E2805" s="1" t="str">
        <f>"1800000088"</f>
        <v>1800000088</v>
      </c>
      <c r="F2805" s="1" t="str">
        <f>"زانو 3/4 اينچ"</f>
        <v>زانو 3/4 اينچ</v>
      </c>
      <c r="G2805" s="1" t="str">
        <f>"عدد"</f>
        <v>عدد</v>
      </c>
      <c r="H2805" s="1">
        <v>213</v>
      </c>
      <c r="I2805" s="1">
        <v>9220344</v>
      </c>
      <c r="J2805" s="1">
        <v>10</v>
      </c>
      <c r="K2805" s="1">
        <v>2600000</v>
      </c>
      <c r="L2805" s="1">
        <v>24</v>
      </c>
      <c r="M2805" s="1">
        <v>1142602</v>
      </c>
      <c r="O2805" s="1">
        <v>97</v>
      </c>
      <c r="P2805" s="4">
        <f t="shared" si="129"/>
        <v>10677742</v>
      </c>
      <c r="Q2805" s="4">
        <f t="shared" si="130"/>
        <v>199</v>
      </c>
      <c r="R2805" s="4">
        <f t="shared" si="131"/>
        <v>53656.994974874375</v>
      </c>
    </row>
    <row r="2806" spans="1:18">
      <c r="A2806" s="1">
        <v>2</v>
      </c>
      <c r="B2806" s="1" t="str">
        <f>"قطعات و لوازم يدكي"</f>
        <v>قطعات و لوازم يدكي</v>
      </c>
      <c r="C2806" s="1">
        <v>205</v>
      </c>
      <c r="D2806" s="1" t="str">
        <f>"انبار قطعات و لوازم يدكي بندرعباس"</f>
        <v>انبار قطعات و لوازم يدكي بندرعباس</v>
      </c>
      <c r="E2806" s="1" t="str">
        <f>"1800000091"</f>
        <v>1800000091</v>
      </c>
      <c r="F2806" s="1" t="str">
        <f>"تبديل 6-4 اينچ"</f>
        <v>تبديل 6-4 اينچ</v>
      </c>
      <c r="G2806" s="1" t="str">
        <f>"عدد"</f>
        <v>عدد</v>
      </c>
      <c r="H2806" s="1">
        <v>4</v>
      </c>
      <c r="I2806" s="1">
        <v>2160000</v>
      </c>
      <c r="J2806" s="1">
        <v>0</v>
      </c>
      <c r="K2806" s="1">
        <v>0</v>
      </c>
      <c r="L2806" s="1">
        <v>0</v>
      </c>
      <c r="M2806" s="1">
        <v>0</v>
      </c>
      <c r="O2806" s="1">
        <v>97</v>
      </c>
      <c r="P2806" s="4">
        <f t="shared" si="129"/>
        <v>2160000</v>
      </c>
      <c r="Q2806" s="4">
        <f t="shared" si="130"/>
        <v>4</v>
      </c>
      <c r="R2806" s="4">
        <f t="shared" si="131"/>
        <v>540000</v>
      </c>
    </row>
    <row r="2807" spans="1:18">
      <c r="A2807" s="1">
        <v>2</v>
      </c>
      <c r="B2807" s="1" t="str">
        <f>"قطعات و لوازم يدكي"</f>
        <v>قطعات و لوازم يدكي</v>
      </c>
      <c r="C2807" s="1">
        <v>205</v>
      </c>
      <c r="D2807" s="1" t="str">
        <f>"انبار قطعات و لوازم يدكي بندرعباس"</f>
        <v>انبار قطعات و لوازم يدكي بندرعباس</v>
      </c>
      <c r="E2807" s="1" t="str">
        <f>"1800000100"</f>
        <v>1800000100</v>
      </c>
      <c r="F2807" s="1" t="str">
        <f>"strainer2 inch"</f>
        <v>strainer2 inch</v>
      </c>
      <c r="G2807" s="1" t="str">
        <f>"عدد"</f>
        <v>عدد</v>
      </c>
      <c r="H2807" s="1">
        <v>1</v>
      </c>
      <c r="I2807" s="1">
        <v>4000000</v>
      </c>
      <c r="J2807" s="1">
        <v>0</v>
      </c>
      <c r="K2807" s="1">
        <v>0</v>
      </c>
      <c r="L2807" s="1">
        <v>0</v>
      </c>
      <c r="M2807" s="1">
        <v>0</v>
      </c>
      <c r="O2807" s="1">
        <v>97</v>
      </c>
      <c r="P2807" s="4">
        <f t="shared" si="129"/>
        <v>4000000</v>
      </c>
      <c r="Q2807" s="4">
        <f t="shared" si="130"/>
        <v>1</v>
      </c>
      <c r="R2807" s="4">
        <f t="shared" si="131"/>
        <v>4000000</v>
      </c>
    </row>
    <row r="2808" spans="1:18">
      <c r="A2808" s="1">
        <v>2</v>
      </c>
      <c r="B2808" s="1" t="str">
        <f>"قطعات و لوازم يدكي"</f>
        <v>قطعات و لوازم يدكي</v>
      </c>
      <c r="C2808" s="1">
        <v>205</v>
      </c>
      <c r="D2808" s="1" t="str">
        <f>"انبار قطعات و لوازم يدكي بندرعباس"</f>
        <v>انبار قطعات و لوازم يدكي بندرعباس</v>
      </c>
      <c r="E2808" s="1" t="str">
        <f>"1800000114"</f>
        <v>1800000114</v>
      </c>
      <c r="F2808" s="1" t="str">
        <f>"تي تبديل 8-4"</f>
        <v>تي تبديل 8-4</v>
      </c>
      <c r="G2808" s="1" t="str">
        <f>"عدد"</f>
        <v>عدد</v>
      </c>
      <c r="H2808" s="1">
        <v>2</v>
      </c>
      <c r="I2808" s="1">
        <v>2852000</v>
      </c>
      <c r="J2808" s="1">
        <v>0</v>
      </c>
      <c r="K2808" s="1">
        <v>0</v>
      </c>
      <c r="L2808" s="1">
        <v>0</v>
      </c>
      <c r="M2808" s="1">
        <v>0</v>
      </c>
      <c r="O2808" s="1">
        <v>97</v>
      </c>
      <c r="P2808" s="4">
        <f t="shared" si="129"/>
        <v>2852000</v>
      </c>
      <c r="Q2808" s="4">
        <f t="shared" si="130"/>
        <v>2</v>
      </c>
      <c r="R2808" s="4">
        <f t="shared" si="131"/>
        <v>1426000</v>
      </c>
    </row>
    <row r="2809" spans="1:18">
      <c r="A2809" s="1">
        <v>2</v>
      </c>
      <c r="B2809" s="1" t="str">
        <f>"قطعات و لوازم يدكي"</f>
        <v>قطعات و لوازم يدكي</v>
      </c>
      <c r="C2809" s="1">
        <v>205</v>
      </c>
      <c r="D2809" s="1" t="str">
        <f>"انبار قطعات و لوازم يدكي بندرعباس"</f>
        <v>انبار قطعات و لوازم يدكي بندرعباس</v>
      </c>
      <c r="E2809" s="1" t="str">
        <f>"1800000131"</f>
        <v>1800000131</v>
      </c>
      <c r="F2809" s="1" t="str">
        <f>"تي ولد تبديل 1*1/2-4"</f>
        <v>تي ولد تبديل 1*1/2-4</v>
      </c>
      <c r="G2809" s="1" t="str">
        <f>"عدد"</f>
        <v>عدد</v>
      </c>
      <c r="H2809" s="1">
        <v>14</v>
      </c>
      <c r="I2809" s="1">
        <v>3164000</v>
      </c>
      <c r="J2809" s="1">
        <v>0</v>
      </c>
      <c r="K2809" s="1">
        <v>0</v>
      </c>
      <c r="L2809" s="1">
        <v>0</v>
      </c>
      <c r="M2809" s="1">
        <v>0</v>
      </c>
      <c r="O2809" s="1">
        <v>97</v>
      </c>
      <c r="P2809" s="4">
        <f t="shared" si="129"/>
        <v>3164000</v>
      </c>
      <c r="Q2809" s="4">
        <f t="shared" si="130"/>
        <v>14</v>
      </c>
      <c r="R2809" s="4">
        <f t="shared" si="131"/>
        <v>226000</v>
      </c>
    </row>
    <row r="2810" spans="1:18">
      <c r="A2810" s="1">
        <v>2</v>
      </c>
      <c r="B2810" s="1" t="str">
        <f>"قطعات و لوازم يدكي"</f>
        <v>قطعات و لوازم يدكي</v>
      </c>
      <c r="C2810" s="1">
        <v>205</v>
      </c>
      <c r="D2810" s="1" t="str">
        <f>"انبار قطعات و لوازم يدكي بندرعباس"</f>
        <v>انبار قطعات و لوازم يدكي بندرعباس</v>
      </c>
      <c r="E2810" s="1" t="str">
        <f>"1800000132"</f>
        <v>1800000132</v>
      </c>
      <c r="F2810" s="1" t="str">
        <f>"يونيون 1/2"</f>
        <v>يونيون 1/2</v>
      </c>
      <c r="G2810" s="1" t="str">
        <f>"عدد"</f>
        <v>عدد</v>
      </c>
      <c r="H2810" s="1">
        <v>7</v>
      </c>
      <c r="I2810" s="1">
        <v>302596</v>
      </c>
      <c r="J2810" s="1">
        <v>0</v>
      </c>
      <c r="K2810" s="1">
        <v>0</v>
      </c>
      <c r="L2810" s="1">
        <v>0</v>
      </c>
      <c r="M2810" s="1">
        <v>0</v>
      </c>
      <c r="O2810" s="1">
        <v>97</v>
      </c>
      <c r="P2810" s="4">
        <f t="shared" si="129"/>
        <v>302596</v>
      </c>
      <c r="Q2810" s="4">
        <f t="shared" si="130"/>
        <v>7</v>
      </c>
      <c r="R2810" s="4">
        <f t="shared" si="131"/>
        <v>43228</v>
      </c>
    </row>
    <row r="2811" spans="1:18">
      <c r="A2811" s="1">
        <v>2</v>
      </c>
      <c r="B2811" s="1" t="str">
        <f>"قطعات و لوازم يدكي"</f>
        <v>قطعات و لوازم يدكي</v>
      </c>
      <c r="C2811" s="1">
        <v>205</v>
      </c>
      <c r="D2811" s="1" t="str">
        <f>"انبار قطعات و لوازم يدكي بندرعباس"</f>
        <v>انبار قطعات و لوازم يدكي بندرعباس</v>
      </c>
      <c r="E2811" s="1" t="str">
        <f>"1800000133"</f>
        <v>1800000133</v>
      </c>
      <c r="F2811" s="1" t="str">
        <f>"يونيون 3/4"</f>
        <v>يونيون 3/4</v>
      </c>
      <c r="G2811" s="1" t="str">
        <f>"عدد"</f>
        <v>عدد</v>
      </c>
      <c r="H2811" s="1">
        <v>45</v>
      </c>
      <c r="I2811" s="1">
        <v>1945260</v>
      </c>
      <c r="J2811" s="1">
        <v>0</v>
      </c>
      <c r="K2811" s="1">
        <v>0</v>
      </c>
      <c r="L2811" s="1">
        <v>44</v>
      </c>
      <c r="M2811" s="1">
        <v>1902032</v>
      </c>
      <c r="O2811" s="1">
        <v>97</v>
      </c>
      <c r="P2811" s="4">
        <f t="shared" si="129"/>
        <v>43228</v>
      </c>
      <c r="Q2811" s="4">
        <f t="shared" si="130"/>
        <v>1</v>
      </c>
      <c r="R2811" s="4">
        <f t="shared" si="131"/>
        <v>43228</v>
      </c>
    </row>
    <row r="2812" spans="1:18">
      <c r="A2812" s="1">
        <v>2</v>
      </c>
      <c r="B2812" s="1" t="str">
        <f>"قطعات و لوازم يدكي"</f>
        <v>قطعات و لوازم يدكي</v>
      </c>
      <c r="C2812" s="1">
        <v>205</v>
      </c>
      <c r="D2812" s="1" t="str">
        <f>"انبار قطعات و لوازم يدكي بندرعباس"</f>
        <v>انبار قطعات و لوازم يدكي بندرعباس</v>
      </c>
      <c r="E2812" s="1" t="str">
        <f>"1800000153"</f>
        <v>1800000153</v>
      </c>
      <c r="F2812" s="1" t="str">
        <f>"انديکاتور فشارسنج فايرواتر 0-300"</f>
        <v>انديکاتور فشارسنج فايرواتر 0-300</v>
      </c>
      <c r="G2812" s="1" t="str">
        <f>"عدد"</f>
        <v>عدد</v>
      </c>
      <c r="H2812" s="1">
        <v>1</v>
      </c>
      <c r="I2812" s="1">
        <v>8250000</v>
      </c>
      <c r="J2812" s="1">
        <v>0</v>
      </c>
      <c r="K2812" s="1">
        <v>0</v>
      </c>
      <c r="L2812" s="1">
        <v>0</v>
      </c>
      <c r="M2812" s="1">
        <v>0</v>
      </c>
      <c r="O2812" s="1">
        <v>97</v>
      </c>
      <c r="P2812" s="4">
        <f t="shared" si="129"/>
        <v>8250000</v>
      </c>
      <c r="Q2812" s="4">
        <f t="shared" si="130"/>
        <v>1</v>
      </c>
      <c r="R2812" s="4">
        <f t="shared" si="131"/>
        <v>8250000</v>
      </c>
    </row>
    <row r="2813" spans="1:18">
      <c r="A2813" s="1">
        <v>2</v>
      </c>
      <c r="B2813" s="1" t="str">
        <f>"قطعات و لوازم يدكي"</f>
        <v>قطعات و لوازم يدكي</v>
      </c>
      <c r="C2813" s="1">
        <v>205</v>
      </c>
      <c r="D2813" s="1" t="str">
        <f>"انبار قطعات و لوازم يدكي بندرعباس"</f>
        <v>انبار قطعات و لوازم يدكي بندرعباس</v>
      </c>
      <c r="E2813" s="1" t="str">
        <f>"1800000154"</f>
        <v>1800000154</v>
      </c>
      <c r="F2813" s="1" t="str">
        <f>"اورينگ 3-5 - 2-2-1.5"</f>
        <v>اورينگ 3-5 - 2-2-1.5</v>
      </c>
      <c r="G2813" s="1" t="str">
        <f>"جفت"</f>
        <v>جفت</v>
      </c>
      <c r="H2813" s="1">
        <v>4</v>
      </c>
      <c r="I2813" s="1">
        <v>2000</v>
      </c>
      <c r="J2813" s="1">
        <v>0</v>
      </c>
      <c r="K2813" s="1">
        <v>0</v>
      </c>
      <c r="L2813" s="1">
        <v>0</v>
      </c>
      <c r="M2813" s="1">
        <v>0</v>
      </c>
      <c r="O2813" s="1">
        <v>97</v>
      </c>
      <c r="P2813" s="4">
        <f t="shared" si="129"/>
        <v>2000</v>
      </c>
      <c r="Q2813" s="4">
        <f t="shared" si="130"/>
        <v>4</v>
      </c>
      <c r="R2813" s="4">
        <f t="shared" si="131"/>
        <v>500</v>
      </c>
    </row>
    <row r="2814" spans="1:18">
      <c r="A2814" s="1">
        <v>2</v>
      </c>
      <c r="B2814" s="1" t="str">
        <f>"قطعات و لوازم يدكي"</f>
        <v>قطعات و لوازم يدكي</v>
      </c>
      <c r="C2814" s="1">
        <v>205</v>
      </c>
      <c r="D2814" s="1" t="str">
        <f>"انبار قطعات و لوازم يدكي بندرعباس"</f>
        <v>انبار قطعات و لوازم يدكي بندرعباس</v>
      </c>
      <c r="E2814" s="1" t="str">
        <f>"1800000170"</f>
        <v>1800000170</v>
      </c>
      <c r="F2814" s="1" t="str">
        <f>"بريکر اشنايدر 400"</f>
        <v>بريکر اشنايدر 400</v>
      </c>
      <c r="G2814" s="1" t="str">
        <f>"عدد"</f>
        <v>عدد</v>
      </c>
      <c r="H2814" s="1">
        <v>1</v>
      </c>
      <c r="I2814" s="1">
        <v>2000000</v>
      </c>
      <c r="J2814" s="1">
        <v>0</v>
      </c>
      <c r="K2814" s="1">
        <v>0</v>
      </c>
      <c r="L2814" s="1">
        <v>0</v>
      </c>
      <c r="M2814" s="1">
        <v>0</v>
      </c>
      <c r="O2814" s="1">
        <v>97</v>
      </c>
      <c r="P2814" s="4">
        <f t="shared" si="129"/>
        <v>2000000</v>
      </c>
      <c r="Q2814" s="4">
        <f t="shared" si="130"/>
        <v>1</v>
      </c>
      <c r="R2814" s="4">
        <f t="shared" si="131"/>
        <v>2000000</v>
      </c>
    </row>
    <row r="2815" spans="1:18">
      <c r="A2815" s="1">
        <v>2</v>
      </c>
      <c r="B2815" s="1" t="str">
        <f>"قطعات و لوازم يدكي"</f>
        <v>قطعات و لوازم يدكي</v>
      </c>
      <c r="C2815" s="1">
        <v>205</v>
      </c>
      <c r="D2815" s="1" t="str">
        <f>"انبار قطعات و لوازم يدكي بندرعباس"</f>
        <v>انبار قطعات و لوازم يدكي بندرعباس</v>
      </c>
      <c r="E2815" s="1" t="str">
        <f>"1800000176"</f>
        <v>1800000176</v>
      </c>
      <c r="F2815" s="1" t="str">
        <f>"بريکر اشنايدر 50"</f>
        <v>بريکر اشنايدر 50</v>
      </c>
      <c r="G2815" s="1" t="str">
        <f>"عدد"</f>
        <v>عدد</v>
      </c>
      <c r="H2815" s="1">
        <v>1</v>
      </c>
      <c r="I2815" s="1">
        <v>500000</v>
      </c>
      <c r="J2815" s="1">
        <v>0</v>
      </c>
      <c r="K2815" s="1">
        <v>0</v>
      </c>
      <c r="L2815" s="1">
        <v>0</v>
      </c>
      <c r="M2815" s="1">
        <v>0</v>
      </c>
      <c r="O2815" s="1">
        <v>97</v>
      </c>
      <c r="P2815" s="4">
        <f t="shared" si="129"/>
        <v>500000</v>
      </c>
      <c r="Q2815" s="4">
        <f t="shared" si="130"/>
        <v>1</v>
      </c>
      <c r="R2815" s="4">
        <f t="shared" si="131"/>
        <v>500000</v>
      </c>
    </row>
    <row r="2816" spans="1:18" hidden="1">
      <c r="A2816" s="1">
        <v>2</v>
      </c>
      <c r="B2816" s="1" t="str">
        <f>"قطعات و لوازم يدكي"</f>
        <v>قطعات و لوازم يدكي</v>
      </c>
      <c r="C2816" s="1">
        <v>205</v>
      </c>
      <c r="D2816" s="1" t="str">
        <f>"انبار قطعات و لوازم يدكي بندرعباس"</f>
        <v>انبار قطعات و لوازم يدكي بندرعباس</v>
      </c>
      <c r="E2816" s="1" t="str">
        <f>"1800000180"</f>
        <v>1800000180</v>
      </c>
      <c r="F2816" s="1" t="str">
        <f>"بست شيلنگي 1/2"</f>
        <v>بست شيلنگي 1/2</v>
      </c>
      <c r="G2816" s="1" t="str">
        <f>"عدد"</f>
        <v>عدد</v>
      </c>
      <c r="H2816" s="1">
        <v>3</v>
      </c>
      <c r="I2816" s="1">
        <v>15000</v>
      </c>
      <c r="J2816" s="1">
        <v>0</v>
      </c>
      <c r="K2816" s="1">
        <v>0</v>
      </c>
      <c r="L2816" s="1">
        <v>3</v>
      </c>
      <c r="M2816" s="1">
        <v>15000</v>
      </c>
      <c r="O2816" s="1">
        <v>97</v>
      </c>
      <c r="P2816" s="1">
        <f t="shared" si="129"/>
        <v>0</v>
      </c>
      <c r="Q2816" s="1">
        <f t="shared" si="130"/>
        <v>0</v>
      </c>
      <c r="R2816" s="1" t="e">
        <f t="shared" si="131"/>
        <v>#DIV/0!</v>
      </c>
    </row>
    <row r="2817" spans="1:18">
      <c r="A2817" s="1">
        <v>2</v>
      </c>
      <c r="B2817" s="1" t="str">
        <f>"قطعات و لوازم يدكي"</f>
        <v>قطعات و لوازم يدكي</v>
      </c>
      <c r="C2817" s="1">
        <v>205</v>
      </c>
      <c r="D2817" s="1" t="str">
        <f>"انبار قطعات و لوازم يدكي بندرعباس"</f>
        <v>انبار قطعات و لوازم يدكي بندرعباس</v>
      </c>
      <c r="E2817" s="1" t="str">
        <f>"1800000200"</f>
        <v>1800000200</v>
      </c>
      <c r="F2817" s="1" t="str">
        <f>"بوشن تبديل 1/2*1-1"</f>
        <v>بوشن تبديل 1/2*1-1</v>
      </c>
      <c r="G2817" s="1" t="str">
        <f>"عدد"</f>
        <v>عدد</v>
      </c>
      <c r="H2817" s="1">
        <v>50</v>
      </c>
      <c r="I2817" s="1">
        <v>4000000</v>
      </c>
      <c r="J2817" s="1">
        <v>0</v>
      </c>
      <c r="K2817" s="1">
        <v>0</v>
      </c>
      <c r="L2817" s="1">
        <v>0</v>
      </c>
      <c r="M2817" s="1">
        <v>0</v>
      </c>
      <c r="O2817" s="1">
        <v>97</v>
      </c>
      <c r="P2817" s="4">
        <f t="shared" si="129"/>
        <v>4000000</v>
      </c>
      <c r="Q2817" s="4">
        <f t="shared" si="130"/>
        <v>50</v>
      </c>
      <c r="R2817" s="4">
        <f t="shared" si="131"/>
        <v>80000</v>
      </c>
    </row>
    <row r="2818" spans="1:18">
      <c r="A2818" s="1">
        <v>2</v>
      </c>
      <c r="B2818" s="1" t="str">
        <f>"قطعات و لوازم يدكي"</f>
        <v>قطعات و لوازم يدكي</v>
      </c>
      <c r="C2818" s="1">
        <v>205</v>
      </c>
      <c r="D2818" s="1" t="str">
        <f>"انبار قطعات و لوازم يدكي بندرعباس"</f>
        <v>انبار قطعات و لوازم يدكي بندرعباس</v>
      </c>
      <c r="E2818" s="1" t="str">
        <f>"1800000202"</f>
        <v>1800000202</v>
      </c>
      <c r="F2818" s="1" t="str">
        <f>"بوشن فلزي کاندويت"</f>
        <v>بوشن فلزي کاندويت</v>
      </c>
      <c r="G2818" s="1" t="str">
        <f>"عدد"</f>
        <v>عدد</v>
      </c>
      <c r="H2818" s="1">
        <v>36</v>
      </c>
      <c r="I2818" s="1">
        <v>1080000</v>
      </c>
      <c r="J2818" s="1">
        <v>0</v>
      </c>
      <c r="K2818" s="1">
        <v>0</v>
      </c>
      <c r="L2818" s="1">
        <v>1</v>
      </c>
      <c r="M2818" s="1">
        <v>30000</v>
      </c>
      <c r="O2818" s="1">
        <v>97</v>
      </c>
      <c r="P2818" s="4">
        <f t="shared" si="129"/>
        <v>1050000</v>
      </c>
      <c r="Q2818" s="4">
        <f t="shared" si="130"/>
        <v>35</v>
      </c>
      <c r="R2818" s="4">
        <f t="shared" si="131"/>
        <v>30000</v>
      </c>
    </row>
    <row r="2819" spans="1:18">
      <c r="A2819" s="1">
        <v>2</v>
      </c>
      <c r="B2819" s="1" t="str">
        <f>"قطعات و لوازم يدكي"</f>
        <v>قطعات و لوازم يدكي</v>
      </c>
      <c r="C2819" s="1">
        <v>205</v>
      </c>
      <c r="D2819" s="1" t="str">
        <f>"انبار قطعات و لوازم يدكي بندرعباس"</f>
        <v>انبار قطعات و لوازم يدكي بندرعباس</v>
      </c>
      <c r="E2819" s="1" t="str">
        <f>"1800000207"</f>
        <v>1800000207</v>
      </c>
      <c r="F2819" s="1" t="str">
        <f>"بوشن گلند1"</f>
        <v>بوشن گلند1</v>
      </c>
      <c r="G2819" s="1" t="str">
        <f>"عدد"</f>
        <v>عدد</v>
      </c>
      <c r="H2819" s="1">
        <v>20</v>
      </c>
      <c r="I2819" s="1">
        <v>1000000</v>
      </c>
      <c r="J2819" s="1">
        <v>0</v>
      </c>
      <c r="K2819" s="1">
        <v>0</v>
      </c>
      <c r="L2819" s="1">
        <v>0</v>
      </c>
      <c r="M2819" s="1">
        <v>0</v>
      </c>
      <c r="O2819" s="1">
        <v>97</v>
      </c>
      <c r="P2819" s="4">
        <f t="shared" ref="P2819:P2882" si="132">I2819+K2819-M2819</f>
        <v>1000000</v>
      </c>
      <c r="Q2819" s="4">
        <f t="shared" ref="Q2819:Q2882" si="133">H2819+J2819-L2819</f>
        <v>20</v>
      </c>
      <c r="R2819" s="4">
        <f t="shared" ref="R2819:R2882" si="134">P2819/Q2819</f>
        <v>50000</v>
      </c>
    </row>
    <row r="2820" spans="1:18">
      <c r="A2820" s="1">
        <v>2</v>
      </c>
      <c r="B2820" s="1" t="str">
        <f>"قطعات و لوازم يدكي"</f>
        <v>قطعات و لوازم يدكي</v>
      </c>
      <c r="C2820" s="1">
        <v>205</v>
      </c>
      <c r="D2820" s="1" t="str">
        <f>"انبار قطعات و لوازم يدكي بندرعباس"</f>
        <v>انبار قطعات و لوازم يدكي بندرعباس</v>
      </c>
      <c r="E2820" s="1" t="str">
        <f>"1800000222"</f>
        <v>1800000222</v>
      </c>
      <c r="F2820" s="1" t="str">
        <f>"پايه مغناطيسي ساعت انديکاتوري 60"</f>
        <v>پايه مغناطيسي ساعت انديکاتوري 60</v>
      </c>
      <c r="G2820" s="1" t="str">
        <f>"عدد"</f>
        <v>عدد</v>
      </c>
      <c r="H2820" s="1">
        <v>2</v>
      </c>
      <c r="I2820" s="1">
        <v>4000000</v>
      </c>
      <c r="J2820" s="1">
        <v>0</v>
      </c>
      <c r="K2820" s="1">
        <v>0</v>
      </c>
      <c r="L2820" s="1">
        <v>0</v>
      </c>
      <c r="M2820" s="1">
        <v>0</v>
      </c>
      <c r="O2820" s="1">
        <v>97</v>
      </c>
      <c r="P2820" s="4">
        <f t="shared" si="132"/>
        <v>4000000</v>
      </c>
      <c r="Q2820" s="4">
        <f t="shared" si="133"/>
        <v>2</v>
      </c>
      <c r="R2820" s="4">
        <f t="shared" si="134"/>
        <v>2000000</v>
      </c>
    </row>
    <row r="2821" spans="1:18">
      <c r="A2821" s="1">
        <v>2</v>
      </c>
      <c r="B2821" s="1" t="str">
        <f>"قطعات و لوازم يدكي"</f>
        <v>قطعات و لوازم يدكي</v>
      </c>
      <c r="C2821" s="1">
        <v>205</v>
      </c>
      <c r="D2821" s="1" t="str">
        <f>"انبار قطعات و لوازم يدكي بندرعباس"</f>
        <v>انبار قطعات و لوازم يدكي بندرعباس</v>
      </c>
      <c r="E2821" s="1" t="str">
        <f>"1800000229"</f>
        <v>1800000229</v>
      </c>
      <c r="F2821" s="1" t="str">
        <f>"پريز چدني باراني"</f>
        <v>پريز چدني باراني</v>
      </c>
      <c r="G2821" s="1" t="str">
        <f>"عدد"</f>
        <v>عدد</v>
      </c>
      <c r="H2821" s="1">
        <v>6</v>
      </c>
      <c r="I2821" s="1">
        <v>900000</v>
      </c>
      <c r="J2821" s="1">
        <v>0</v>
      </c>
      <c r="K2821" s="1">
        <v>0</v>
      </c>
      <c r="L2821" s="1">
        <v>3</v>
      </c>
      <c r="M2821" s="1">
        <v>450000</v>
      </c>
      <c r="O2821" s="1">
        <v>97</v>
      </c>
      <c r="P2821" s="4">
        <f t="shared" si="132"/>
        <v>450000</v>
      </c>
      <c r="Q2821" s="4">
        <f t="shared" si="133"/>
        <v>3</v>
      </c>
      <c r="R2821" s="4">
        <f t="shared" si="134"/>
        <v>150000</v>
      </c>
    </row>
    <row r="2822" spans="1:18">
      <c r="A2822" s="1">
        <v>2</v>
      </c>
      <c r="B2822" s="1" t="str">
        <f>"قطعات و لوازم يدكي"</f>
        <v>قطعات و لوازم يدكي</v>
      </c>
      <c r="C2822" s="1">
        <v>205</v>
      </c>
      <c r="D2822" s="1" t="str">
        <f>"انبار قطعات و لوازم يدكي بندرعباس"</f>
        <v>انبار قطعات و لوازم يدكي بندرعباس</v>
      </c>
      <c r="E2822" s="1" t="str">
        <f>"1800000232"</f>
        <v>1800000232</v>
      </c>
      <c r="F2822" s="1" t="str">
        <f>"پريز گلابي"</f>
        <v>پريز گلابي</v>
      </c>
      <c r="G2822" s="1" t="str">
        <f>"عدد"</f>
        <v>عدد</v>
      </c>
      <c r="H2822" s="1">
        <v>11</v>
      </c>
      <c r="I2822" s="1">
        <v>275000</v>
      </c>
      <c r="J2822" s="1">
        <v>0</v>
      </c>
      <c r="K2822" s="1">
        <v>0</v>
      </c>
      <c r="L2822" s="1">
        <v>8</v>
      </c>
      <c r="M2822" s="1">
        <v>200000</v>
      </c>
      <c r="O2822" s="1">
        <v>97</v>
      </c>
      <c r="P2822" s="4">
        <f t="shared" si="132"/>
        <v>75000</v>
      </c>
      <c r="Q2822" s="4">
        <f t="shared" si="133"/>
        <v>3</v>
      </c>
      <c r="R2822" s="4">
        <f t="shared" si="134"/>
        <v>25000</v>
      </c>
    </row>
    <row r="2823" spans="1:18">
      <c r="A2823" s="1">
        <v>2</v>
      </c>
      <c r="B2823" s="1" t="str">
        <f>"قطعات و لوازم يدكي"</f>
        <v>قطعات و لوازم يدكي</v>
      </c>
      <c r="C2823" s="1">
        <v>205</v>
      </c>
      <c r="D2823" s="1" t="str">
        <f>"انبار قطعات و لوازم يدكي بندرعباس"</f>
        <v>انبار قطعات و لوازم يدكي بندرعباس</v>
      </c>
      <c r="E2823" s="1" t="str">
        <f>"1800000234"</f>
        <v>1800000234</v>
      </c>
      <c r="F2823" s="1" t="str">
        <f>"پکينگ آب بندي"</f>
        <v>پکينگ آب بندي</v>
      </c>
      <c r="G2823" s="1" t="str">
        <f>"عدد"</f>
        <v>عدد</v>
      </c>
      <c r="H2823" s="1">
        <v>6</v>
      </c>
      <c r="I2823" s="1">
        <v>1200000</v>
      </c>
      <c r="J2823" s="1">
        <v>0</v>
      </c>
      <c r="K2823" s="1">
        <v>0</v>
      </c>
      <c r="L2823" s="1">
        <v>0</v>
      </c>
      <c r="M2823" s="1">
        <v>0</v>
      </c>
      <c r="O2823" s="1">
        <v>97</v>
      </c>
      <c r="P2823" s="4">
        <f t="shared" si="132"/>
        <v>1200000</v>
      </c>
      <c r="Q2823" s="4">
        <f t="shared" si="133"/>
        <v>6</v>
      </c>
      <c r="R2823" s="4">
        <f t="shared" si="134"/>
        <v>200000</v>
      </c>
    </row>
    <row r="2824" spans="1:18">
      <c r="A2824" s="1">
        <v>2</v>
      </c>
      <c r="B2824" s="1" t="str">
        <f>"قطعات و لوازم يدكي"</f>
        <v>قطعات و لوازم يدكي</v>
      </c>
      <c r="C2824" s="1">
        <v>205</v>
      </c>
      <c r="D2824" s="1" t="str">
        <f>"انبار قطعات و لوازم يدكي بندرعباس"</f>
        <v>انبار قطعات و لوازم يدكي بندرعباس</v>
      </c>
      <c r="E2824" s="1" t="str">
        <f>"1800000237"</f>
        <v>1800000237</v>
      </c>
      <c r="F2824" s="1" t="str">
        <f>"پمپ گازوئيل مشعل بويلر"</f>
        <v>پمپ گازوئيل مشعل بويلر</v>
      </c>
      <c r="G2824" s="1" t="str">
        <f>"عدد"</f>
        <v>عدد</v>
      </c>
      <c r="H2824" s="1">
        <v>1</v>
      </c>
      <c r="I2824" s="1">
        <v>10000000</v>
      </c>
      <c r="J2824" s="1">
        <v>0</v>
      </c>
      <c r="K2824" s="1">
        <v>0</v>
      </c>
      <c r="L2824" s="1">
        <v>0</v>
      </c>
      <c r="M2824" s="1">
        <v>0</v>
      </c>
      <c r="O2824" s="1">
        <v>97</v>
      </c>
      <c r="P2824" s="4">
        <f t="shared" si="132"/>
        <v>10000000</v>
      </c>
      <c r="Q2824" s="4">
        <f t="shared" si="133"/>
        <v>1</v>
      </c>
      <c r="R2824" s="4">
        <f t="shared" si="134"/>
        <v>10000000</v>
      </c>
    </row>
    <row r="2825" spans="1:18">
      <c r="A2825" s="1">
        <v>2</v>
      </c>
      <c r="B2825" s="1" t="str">
        <f>"قطعات و لوازم يدكي"</f>
        <v>قطعات و لوازم يدكي</v>
      </c>
      <c r="C2825" s="1">
        <v>205</v>
      </c>
      <c r="D2825" s="1" t="str">
        <f>"انبار قطعات و لوازم يدكي بندرعباس"</f>
        <v>انبار قطعات و لوازم يدكي بندرعباس</v>
      </c>
      <c r="E2825" s="1" t="str">
        <f>"1800000239"</f>
        <v>1800000239</v>
      </c>
      <c r="F2825" s="1" t="str">
        <f>"پودر ترميت کدولد"</f>
        <v>پودر ترميت کدولد</v>
      </c>
      <c r="G2825" s="1" t="str">
        <f>"عدد"</f>
        <v>عدد</v>
      </c>
      <c r="H2825" s="1">
        <v>10</v>
      </c>
      <c r="I2825" s="1">
        <v>400000</v>
      </c>
      <c r="J2825" s="1">
        <v>0</v>
      </c>
      <c r="K2825" s="1">
        <v>0</v>
      </c>
      <c r="L2825" s="1">
        <v>0</v>
      </c>
      <c r="M2825" s="1">
        <v>0</v>
      </c>
      <c r="O2825" s="1">
        <v>97</v>
      </c>
      <c r="P2825" s="4">
        <f t="shared" si="132"/>
        <v>400000</v>
      </c>
      <c r="Q2825" s="4">
        <f t="shared" si="133"/>
        <v>10</v>
      </c>
      <c r="R2825" s="4">
        <f t="shared" si="134"/>
        <v>40000</v>
      </c>
    </row>
    <row r="2826" spans="1:18">
      <c r="A2826" s="1">
        <v>2</v>
      </c>
      <c r="B2826" s="1" t="str">
        <f>"قطعات و لوازم يدكي"</f>
        <v>قطعات و لوازم يدكي</v>
      </c>
      <c r="C2826" s="1">
        <v>205</v>
      </c>
      <c r="D2826" s="1" t="str">
        <f>"انبار قطعات و لوازم يدكي بندرعباس"</f>
        <v>انبار قطعات و لوازم يدكي بندرعباس</v>
      </c>
      <c r="E2826" s="1" t="str">
        <f>"1800000246"</f>
        <v>1800000246</v>
      </c>
      <c r="F2826" s="1" t="str">
        <f>"پيچ 120*16"</f>
        <v>پيچ 120*16</v>
      </c>
      <c r="G2826" s="1" t="str">
        <f>"عدد"</f>
        <v>عدد</v>
      </c>
      <c r="H2826" s="1">
        <v>16</v>
      </c>
      <c r="I2826" s="1">
        <v>8000</v>
      </c>
      <c r="J2826" s="1">
        <v>0</v>
      </c>
      <c r="K2826" s="1">
        <v>0</v>
      </c>
      <c r="L2826" s="1">
        <v>11</v>
      </c>
      <c r="M2826" s="1">
        <v>5500</v>
      </c>
      <c r="O2826" s="1">
        <v>97</v>
      </c>
      <c r="P2826" s="4">
        <f t="shared" si="132"/>
        <v>2500</v>
      </c>
      <c r="Q2826" s="4">
        <f t="shared" si="133"/>
        <v>5</v>
      </c>
      <c r="R2826" s="4">
        <f t="shared" si="134"/>
        <v>500</v>
      </c>
    </row>
    <row r="2827" spans="1:18">
      <c r="A2827" s="1">
        <v>2</v>
      </c>
      <c r="B2827" s="1" t="str">
        <f>"قطعات و لوازم يدكي"</f>
        <v>قطعات و لوازم يدكي</v>
      </c>
      <c r="C2827" s="1">
        <v>205</v>
      </c>
      <c r="D2827" s="1" t="str">
        <f>"انبار قطعات و لوازم يدكي بندرعباس"</f>
        <v>انبار قطعات و لوازم يدكي بندرعباس</v>
      </c>
      <c r="E2827" s="1" t="str">
        <f>"1800000248"</f>
        <v>1800000248</v>
      </c>
      <c r="F2827" s="1" t="str">
        <f>"پيچ خودکار 14*4"</f>
        <v>پيچ خودکار 14*4</v>
      </c>
      <c r="G2827" s="1" t="str">
        <f>"عدد"</f>
        <v>عدد</v>
      </c>
      <c r="H2827" s="1">
        <v>20</v>
      </c>
      <c r="I2827" s="1">
        <v>10000</v>
      </c>
      <c r="J2827" s="1">
        <v>0</v>
      </c>
      <c r="K2827" s="1">
        <v>0</v>
      </c>
      <c r="L2827" s="1">
        <v>0</v>
      </c>
      <c r="M2827" s="1">
        <v>0</v>
      </c>
      <c r="O2827" s="1">
        <v>97</v>
      </c>
      <c r="P2827" s="4">
        <f t="shared" si="132"/>
        <v>10000</v>
      </c>
      <c r="Q2827" s="4">
        <f t="shared" si="133"/>
        <v>20</v>
      </c>
      <c r="R2827" s="4">
        <f t="shared" si="134"/>
        <v>500</v>
      </c>
    </row>
    <row r="2828" spans="1:18">
      <c r="A2828" s="1">
        <v>2</v>
      </c>
      <c r="B2828" s="1" t="str">
        <f>"قطعات و لوازم يدكي"</f>
        <v>قطعات و لوازم يدكي</v>
      </c>
      <c r="C2828" s="1">
        <v>205</v>
      </c>
      <c r="D2828" s="1" t="str">
        <f>"انبار قطعات و لوازم يدكي بندرعباس"</f>
        <v>انبار قطعات و لوازم يدكي بندرعباس</v>
      </c>
      <c r="E2828" s="1" t="str">
        <f>"1800000257"</f>
        <v>1800000257</v>
      </c>
      <c r="F2828" s="1" t="str">
        <f>"پيچ متري استيل 6"</f>
        <v>پيچ متري استيل 6</v>
      </c>
      <c r="G2828" s="1" t="str">
        <f>"سانتي متر"</f>
        <v>سانتي متر</v>
      </c>
      <c r="H2828" s="1">
        <v>70</v>
      </c>
      <c r="I2828" s="1">
        <v>21000</v>
      </c>
      <c r="J2828" s="1">
        <v>0</v>
      </c>
      <c r="K2828" s="1">
        <v>0</v>
      </c>
      <c r="L2828" s="1">
        <v>0</v>
      </c>
      <c r="M2828" s="1">
        <v>0</v>
      </c>
      <c r="O2828" s="1">
        <v>97</v>
      </c>
      <c r="P2828" s="4">
        <f t="shared" si="132"/>
        <v>21000</v>
      </c>
      <c r="Q2828" s="4">
        <f t="shared" si="133"/>
        <v>70</v>
      </c>
      <c r="R2828" s="4">
        <f t="shared" si="134"/>
        <v>300</v>
      </c>
    </row>
    <row r="2829" spans="1:18">
      <c r="A2829" s="1">
        <v>2</v>
      </c>
      <c r="B2829" s="1" t="str">
        <f>"قطعات و لوازم يدكي"</f>
        <v>قطعات و لوازم يدكي</v>
      </c>
      <c r="C2829" s="1">
        <v>205</v>
      </c>
      <c r="D2829" s="1" t="str">
        <f>"انبار قطعات و لوازم يدكي بندرعباس"</f>
        <v>انبار قطعات و لوازم يدكي بندرعباس</v>
      </c>
      <c r="E2829" s="1" t="str">
        <f>"1800000258"</f>
        <v>1800000258</v>
      </c>
      <c r="F2829" s="1" t="str">
        <f>"پيچ متري فولادي 14"</f>
        <v>پيچ متري فولادي 14</v>
      </c>
      <c r="G2829" s="1" t="str">
        <f>"شاخه"</f>
        <v>شاخه</v>
      </c>
      <c r="H2829" s="1">
        <v>3</v>
      </c>
      <c r="I2829" s="1">
        <v>300000</v>
      </c>
      <c r="J2829" s="1">
        <v>0</v>
      </c>
      <c r="K2829" s="1">
        <v>0</v>
      </c>
      <c r="L2829" s="1">
        <v>0</v>
      </c>
      <c r="M2829" s="1">
        <v>0</v>
      </c>
      <c r="O2829" s="1">
        <v>97</v>
      </c>
      <c r="P2829" s="4">
        <f t="shared" si="132"/>
        <v>300000</v>
      </c>
      <c r="Q2829" s="4">
        <f t="shared" si="133"/>
        <v>3</v>
      </c>
      <c r="R2829" s="4">
        <f t="shared" si="134"/>
        <v>100000</v>
      </c>
    </row>
    <row r="2830" spans="1:18">
      <c r="A2830" s="1">
        <v>2</v>
      </c>
      <c r="B2830" s="1" t="str">
        <f>"قطعات و لوازم يدكي"</f>
        <v>قطعات و لوازم يدكي</v>
      </c>
      <c r="C2830" s="1">
        <v>205</v>
      </c>
      <c r="D2830" s="1" t="str">
        <f>"انبار قطعات و لوازم يدكي بندرعباس"</f>
        <v>انبار قطعات و لوازم يدكي بندرعباس</v>
      </c>
      <c r="E2830" s="1" t="str">
        <f>"1800000262"</f>
        <v>1800000262</v>
      </c>
      <c r="F2830" s="1" t="str">
        <f>"پيچ متري فولادي 6"</f>
        <v>پيچ متري فولادي 6</v>
      </c>
      <c r="G2830" s="1" t="str">
        <f>"شاخه"</f>
        <v>شاخه</v>
      </c>
      <c r="H2830" s="1">
        <v>4</v>
      </c>
      <c r="I2830" s="1">
        <v>400000</v>
      </c>
      <c r="J2830" s="1">
        <v>0</v>
      </c>
      <c r="K2830" s="1">
        <v>0</v>
      </c>
      <c r="L2830" s="1">
        <v>1</v>
      </c>
      <c r="M2830" s="1">
        <v>100000</v>
      </c>
      <c r="O2830" s="1">
        <v>97</v>
      </c>
      <c r="P2830" s="4">
        <f t="shared" si="132"/>
        <v>300000</v>
      </c>
      <c r="Q2830" s="4">
        <f t="shared" si="133"/>
        <v>3</v>
      </c>
      <c r="R2830" s="4">
        <f t="shared" si="134"/>
        <v>100000</v>
      </c>
    </row>
    <row r="2831" spans="1:18" hidden="1">
      <c r="A2831" s="1">
        <v>2</v>
      </c>
      <c r="B2831" s="1" t="str">
        <f>"قطعات و لوازم يدكي"</f>
        <v>قطعات و لوازم يدكي</v>
      </c>
      <c r="C2831" s="1">
        <v>205</v>
      </c>
      <c r="D2831" s="1" t="str">
        <f>"انبار قطعات و لوازم يدكي بندرعباس"</f>
        <v>انبار قطعات و لوازم يدكي بندرعباس</v>
      </c>
      <c r="E2831" s="1" t="str">
        <f>"1800000286"</f>
        <v>1800000286</v>
      </c>
      <c r="F2831" s="1" t="str">
        <f>"ترموستات فنري"</f>
        <v>ترموستات فنري</v>
      </c>
      <c r="G2831" s="1" t="str">
        <f>"عدد"</f>
        <v>عدد</v>
      </c>
      <c r="H2831" s="1">
        <v>3</v>
      </c>
      <c r="I2831" s="1">
        <v>6600000</v>
      </c>
      <c r="J2831" s="1">
        <v>0</v>
      </c>
      <c r="K2831" s="1">
        <v>0</v>
      </c>
      <c r="L2831" s="1">
        <v>3</v>
      </c>
      <c r="M2831" s="1">
        <v>6600000</v>
      </c>
      <c r="O2831" s="1">
        <v>97</v>
      </c>
      <c r="P2831" s="1">
        <f t="shared" si="132"/>
        <v>0</v>
      </c>
      <c r="Q2831" s="1">
        <f t="shared" si="133"/>
        <v>0</v>
      </c>
      <c r="R2831" s="1" t="e">
        <f t="shared" si="134"/>
        <v>#DIV/0!</v>
      </c>
    </row>
    <row r="2832" spans="1:18">
      <c r="A2832" s="1">
        <v>2</v>
      </c>
      <c r="B2832" s="1" t="str">
        <f>"قطعات و لوازم يدكي"</f>
        <v>قطعات و لوازم يدكي</v>
      </c>
      <c r="C2832" s="1">
        <v>205</v>
      </c>
      <c r="D2832" s="1" t="str">
        <f>"انبار قطعات و لوازم يدكي بندرعباس"</f>
        <v>انبار قطعات و لوازم يدكي بندرعباس</v>
      </c>
      <c r="E2832" s="1" t="str">
        <f>"1800000290"</f>
        <v>1800000290</v>
      </c>
      <c r="F2832" s="1" t="str">
        <f>"ترمينال پلاستيکي برق 6"</f>
        <v>ترمينال پلاستيکي برق 6</v>
      </c>
      <c r="G2832" s="1" t="str">
        <f>"شاخه"</f>
        <v>شاخه</v>
      </c>
      <c r="H2832" s="1">
        <v>9</v>
      </c>
      <c r="I2832" s="1">
        <v>153000</v>
      </c>
      <c r="J2832" s="1">
        <v>0</v>
      </c>
      <c r="K2832" s="1">
        <v>0</v>
      </c>
      <c r="L2832" s="1">
        <v>0</v>
      </c>
      <c r="M2832" s="1">
        <v>0</v>
      </c>
      <c r="O2832" s="1">
        <v>97</v>
      </c>
      <c r="P2832" s="4">
        <f t="shared" si="132"/>
        <v>153000</v>
      </c>
      <c r="Q2832" s="4">
        <f t="shared" si="133"/>
        <v>9</v>
      </c>
      <c r="R2832" s="4">
        <f t="shared" si="134"/>
        <v>17000</v>
      </c>
    </row>
    <row r="2833" spans="1:18">
      <c r="A2833" s="1">
        <v>2</v>
      </c>
      <c r="B2833" s="1" t="str">
        <f>"قطعات و لوازم يدكي"</f>
        <v>قطعات و لوازم يدكي</v>
      </c>
      <c r="C2833" s="1">
        <v>205</v>
      </c>
      <c r="D2833" s="1" t="str">
        <f>"انبار قطعات و لوازم يدكي بندرعباس"</f>
        <v>انبار قطعات و لوازم يدكي بندرعباس</v>
      </c>
      <c r="E2833" s="1" t="str">
        <f>"1800000297"</f>
        <v>1800000297</v>
      </c>
      <c r="F2833" s="1" t="str">
        <f>"ترمينال کائوچويي ريلي 2.5"</f>
        <v>ترمينال کائوچويي ريلي 2.5</v>
      </c>
      <c r="G2833" s="1" t="str">
        <f>"عدد"</f>
        <v>عدد</v>
      </c>
      <c r="H2833" s="1">
        <v>15</v>
      </c>
      <c r="I2833" s="1">
        <v>75000</v>
      </c>
      <c r="J2833" s="1">
        <v>0</v>
      </c>
      <c r="K2833" s="1">
        <v>0</v>
      </c>
      <c r="L2833" s="1">
        <v>1</v>
      </c>
      <c r="M2833" s="1">
        <v>5000</v>
      </c>
      <c r="O2833" s="1">
        <v>97</v>
      </c>
      <c r="P2833" s="4">
        <f t="shared" si="132"/>
        <v>70000</v>
      </c>
      <c r="Q2833" s="4">
        <f t="shared" si="133"/>
        <v>14</v>
      </c>
      <c r="R2833" s="4">
        <f t="shared" si="134"/>
        <v>5000</v>
      </c>
    </row>
    <row r="2834" spans="1:18">
      <c r="A2834" s="1">
        <v>2</v>
      </c>
      <c r="B2834" s="1" t="str">
        <f>"قطعات و لوازم يدكي"</f>
        <v>قطعات و لوازم يدكي</v>
      </c>
      <c r="C2834" s="1">
        <v>205</v>
      </c>
      <c r="D2834" s="1" t="str">
        <f>"انبار قطعات و لوازم يدكي بندرعباس"</f>
        <v>انبار قطعات و لوازم يدكي بندرعباس</v>
      </c>
      <c r="E2834" s="1" t="str">
        <f>"1800000301"</f>
        <v>1800000301</v>
      </c>
      <c r="F2834" s="1" t="str">
        <f>"تمپرچر گيج ويکا 40"</f>
        <v>تمپرچر گيج ويکا 40</v>
      </c>
      <c r="G2834" s="1" t="str">
        <f>"عدد"</f>
        <v>عدد</v>
      </c>
      <c r="H2834" s="1">
        <v>8</v>
      </c>
      <c r="I2834" s="1">
        <v>178720000</v>
      </c>
      <c r="J2834" s="1">
        <v>0</v>
      </c>
      <c r="K2834" s="1">
        <v>0</v>
      </c>
      <c r="L2834" s="1">
        <v>0</v>
      </c>
      <c r="M2834" s="1">
        <v>0</v>
      </c>
      <c r="O2834" s="1">
        <v>97</v>
      </c>
      <c r="P2834" s="4">
        <f t="shared" si="132"/>
        <v>178720000</v>
      </c>
      <c r="Q2834" s="4">
        <f t="shared" si="133"/>
        <v>8</v>
      </c>
      <c r="R2834" s="4">
        <f t="shared" si="134"/>
        <v>22340000</v>
      </c>
    </row>
    <row r="2835" spans="1:18">
      <c r="A2835" s="1">
        <v>2</v>
      </c>
      <c r="B2835" s="1" t="str">
        <f>"قطعات و لوازم يدكي"</f>
        <v>قطعات و لوازم يدكي</v>
      </c>
      <c r="C2835" s="1">
        <v>205</v>
      </c>
      <c r="D2835" s="1" t="str">
        <f>"انبار قطعات و لوازم يدكي بندرعباس"</f>
        <v>انبار قطعات و لوازم يدكي بندرعباس</v>
      </c>
      <c r="E2835" s="1" t="str">
        <f>"1800000302"</f>
        <v>1800000302</v>
      </c>
      <c r="F2835" s="1" t="str">
        <f>"تمپرچر گيج ويکا"</f>
        <v>تمپرچر گيج ويکا</v>
      </c>
      <c r="G2835" s="1" t="str">
        <f>"عدد"</f>
        <v>عدد</v>
      </c>
      <c r="H2835" s="1">
        <v>6</v>
      </c>
      <c r="I2835" s="1">
        <v>134040000</v>
      </c>
      <c r="J2835" s="1">
        <v>0</v>
      </c>
      <c r="K2835" s="1">
        <v>0</v>
      </c>
      <c r="L2835" s="1">
        <v>0</v>
      </c>
      <c r="M2835" s="1">
        <v>0</v>
      </c>
      <c r="O2835" s="1">
        <v>97</v>
      </c>
      <c r="P2835" s="4">
        <f t="shared" si="132"/>
        <v>134040000</v>
      </c>
      <c r="Q2835" s="4">
        <f t="shared" si="133"/>
        <v>6</v>
      </c>
      <c r="R2835" s="4">
        <f t="shared" si="134"/>
        <v>22340000</v>
      </c>
    </row>
    <row r="2836" spans="1:18">
      <c r="A2836" s="1">
        <v>2</v>
      </c>
      <c r="B2836" s="1" t="str">
        <f>"قطعات و لوازم يدكي"</f>
        <v>قطعات و لوازم يدكي</v>
      </c>
      <c r="C2836" s="1">
        <v>205</v>
      </c>
      <c r="D2836" s="1" t="str">
        <f>"انبار قطعات و لوازم يدكي بندرعباس"</f>
        <v>انبار قطعات و لوازم يدكي بندرعباس</v>
      </c>
      <c r="E2836" s="1" t="str">
        <f>"1800000304"</f>
        <v>1800000304</v>
      </c>
      <c r="F2836" s="1" t="str">
        <f>"توپي شناور مخزن 1"</f>
        <v>توپي شناور مخزن 1</v>
      </c>
      <c r="G2836" s="1" t="str">
        <f>"عدد"</f>
        <v>عدد</v>
      </c>
      <c r="H2836" s="1">
        <v>1</v>
      </c>
      <c r="I2836" s="1">
        <v>300000</v>
      </c>
      <c r="J2836" s="1">
        <v>0</v>
      </c>
      <c r="K2836" s="1">
        <v>0</v>
      </c>
      <c r="L2836" s="1">
        <v>0</v>
      </c>
      <c r="M2836" s="1">
        <v>0</v>
      </c>
      <c r="O2836" s="1">
        <v>97</v>
      </c>
      <c r="P2836" s="4">
        <f t="shared" si="132"/>
        <v>300000</v>
      </c>
      <c r="Q2836" s="4">
        <f t="shared" si="133"/>
        <v>1</v>
      </c>
      <c r="R2836" s="4">
        <f t="shared" si="134"/>
        <v>300000</v>
      </c>
    </row>
    <row r="2837" spans="1:18">
      <c r="A2837" s="1">
        <v>2</v>
      </c>
      <c r="B2837" s="1" t="str">
        <f>"قطعات و لوازم يدكي"</f>
        <v>قطعات و لوازم يدكي</v>
      </c>
      <c r="C2837" s="1">
        <v>205</v>
      </c>
      <c r="D2837" s="1" t="str">
        <f>"انبار قطعات و لوازم يدكي بندرعباس"</f>
        <v>انبار قطعات و لوازم يدكي بندرعباس</v>
      </c>
      <c r="E2837" s="1" t="str">
        <f>"1800000327"</f>
        <v>1800000327</v>
      </c>
      <c r="F2837" s="1" t="str">
        <f>"چک ولو 4"</f>
        <v>چک ولو 4</v>
      </c>
      <c r="G2837" s="1" t="str">
        <f>"عدد"</f>
        <v>عدد</v>
      </c>
      <c r="H2837" s="1">
        <v>6</v>
      </c>
      <c r="I2837" s="1">
        <v>69120000</v>
      </c>
      <c r="J2837" s="1">
        <v>0</v>
      </c>
      <c r="K2837" s="1">
        <v>0</v>
      </c>
      <c r="L2837" s="1">
        <v>1</v>
      </c>
      <c r="M2837" s="1">
        <v>11520000</v>
      </c>
      <c r="O2837" s="1">
        <v>97</v>
      </c>
      <c r="P2837" s="4">
        <f t="shared" si="132"/>
        <v>57600000</v>
      </c>
      <c r="Q2837" s="4">
        <f t="shared" si="133"/>
        <v>5</v>
      </c>
      <c r="R2837" s="4">
        <f t="shared" si="134"/>
        <v>11520000</v>
      </c>
    </row>
    <row r="2838" spans="1:18">
      <c r="A2838" s="1">
        <v>2</v>
      </c>
      <c r="B2838" s="1" t="str">
        <f>"قطعات و لوازم يدكي"</f>
        <v>قطعات و لوازم يدكي</v>
      </c>
      <c r="C2838" s="1">
        <v>205</v>
      </c>
      <c r="D2838" s="1" t="str">
        <f>"انبار قطعات و لوازم يدكي بندرعباس"</f>
        <v>انبار قطعات و لوازم يدكي بندرعباس</v>
      </c>
      <c r="E2838" s="1" t="str">
        <f>"1800000339"</f>
        <v>1800000339</v>
      </c>
      <c r="F2838" s="1" t="str">
        <f>"دوشاخه گلابي"</f>
        <v>دوشاخه گلابي</v>
      </c>
      <c r="G2838" s="1" t="str">
        <f>"عدد"</f>
        <v>عدد</v>
      </c>
      <c r="H2838" s="1">
        <v>16</v>
      </c>
      <c r="I2838" s="1">
        <v>2400000</v>
      </c>
      <c r="J2838" s="1">
        <v>0</v>
      </c>
      <c r="K2838" s="1">
        <v>0</v>
      </c>
      <c r="L2838" s="1">
        <v>12</v>
      </c>
      <c r="M2838" s="1">
        <v>1800000</v>
      </c>
      <c r="O2838" s="1">
        <v>97</v>
      </c>
      <c r="P2838" s="4">
        <f t="shared" si="132"/>
        <v>600000</v>
      </c>
      <c r="Q2838" s="4">
        <f t="shared" si="133"/>
        <v>4</v>
      </c>
      <c r="R2838" s="4">
        <f t="shared" si="134"/>
        <v>150000</v>
      </c>
    </row>
    <row r="2839" spans="1:18">
      <c r="A2839" s="1">
        <v>2</v>
      </c>
      <c r="B2839" s="1" t="str">
        <f>"قطعات و لوازم يدكي"</f>
        <v>قطعات و لوازم يدكي</v>
      </c>
      <c r="C2839" s="1">
        <v>205</v>
      </c>
      <c r="D2839" s="1" t="str">
        <f>"انبار قطعات و لوازم يدكي بندرعباس"</f>
        <v>انبار قطعات و لوازم يدكي بندرعباس</v>
      </c>
      <c r="E2839" s="1" t="str">
        <f>"1800000359"</f>
        <v>1800000359</v>
      </c>
      <c r="F2839" s="1" t="str">
        <f>"رله مشعل گازوئيل"</f>
        <v>رله مشعل گازوئيل</v>
      </c>
      <c r="G2839" s="1" t="str">
        <f>"عدد"</f>
        <v>عدد</v>
      </c>
      <c r="H2839" s="1">
        <v>4</v>
      </c>
      <c r="I2839" s="1">
        <v>1400000</v>
      </c>
      <c r="J2839" s="1">
        <v>1</v>
      </c>
      <c r="K2839" s="1">
        <v>1250000</v>
      </c>
      <c r="L2839" s="1">
        <v>0</v>
      </c>
      <c r="M2839" s="1">
        <v>0</v>
      </c>
      <c r="O2839" s="1">
        <v>97</v>
      </c>
      <c r="P2839" s="4">
        <f t="shared" si="132"/>
        <v>2650000</v>
      </c>
      <c r="Q2839" s="4">
        <f t="shared" si="133"/>
        <v>5</v>
      </c>
      <c r="R2839" s="4">
        <f t="shared" si="134"/>
        <v>530000</v>
      </c>
    </row>
    <row r="2840" spans="1:18">
      <c r="A2840" s="1">
        <v>2</v>
      </c>
      <c r="B2840" s="1" t="str">
        <f>"قطعات و لوازم يدكي"</f>
        <v>قطعات و لوازم يدكي</v>
      </c>
      <c r="C2840" s="1">
        <v>205</v>
      </c>
      <c r="D2840" s="1" t="str">
        <f>"انبار قطعات و لوازم يدكي بندرعباس"</f>
        <v>انبار قطعات و لوازم يدكي بندرعباس</v>
      </c>
      <c r="E2840" s="1" t="str">
        <f>"1800000376"</f>
        <v>1800000376</v>
      </c>
      <c r="F2840" s="1" t="str">
        <f>"ولدولت 1/2*1-4"</f>
        <v>ولدولت 1/2*1-4</v>
      </c>
      <c r="G2840" s="1" t="str">
        <f>"عدد"</f>
        <v>عدد</v>
      </c>
      <c r="H2840" s="1">
        <v>5</v>
      </c>
      <c r="I2840" s="1">
        <v>1837190</v>
      </c>
      <c r="J2840" s="1">
        <v>0</v>
      </c>
      <c r="K2840" s="1">
        <v>0</v>
      </c>
      <c r="L2840" s="1">
        <v>0</v>
      </c>
      <c r="M2840" s="1">
        <v>0</v>
      </c>
      <c r="O2840" s="1">
        <v>97</v>
      </c>
      <c r="P2840" s="4">
        <f t="shared" si="132"/>
        <v>1837190</v>
      </c>
      <c r="Q2840" s="4">
        <f t="shared" si="133"/>
        <v>5</v>
      </c>
      <c r="R2840" s="4">
        <f t="shared" si="134"/>
        <v>367438</v>
      </c>
    </row>
    <row r="2841" spans="1:18">
      <c r="A2841" s="1">
        <v>2</v>
      </c>
      <c r="B2841" s="1" t="str">
        <f>"قطعات و لوازم يدكي"</f>
        <v>قطعات و لوازم يدكي</v>
      </c>
      <c r="C2841" s="1">
        <v>205</v>
      </c>
      <c r="D2841" s="1" t="str">
        <f>"انبار قطعات و لوازم يدكي بندرعباس"</f>
        <v>انبار قطعات و لوازم يدكي بندرعباس</v>
      </c>
      <c r="E2841" s="1" t="str">
        <f>"1800000378"</f>
        <v>1800000378</v>
      </c>
      <c r="F2841" s="1" t="str">
        <f>"ولدولت 2-1"</f>
        <v>ولدولت 2-1</v>
      </c>
      <c r="G2841" s="1" t="str">
        <f>"عدد"</f>
        <v>عدد</v>
      </c>
      <c r="H2841" s="1">
        <v>2</v>
      </c>
      <c r="I2841" s="1">
        <v>205332</v>
      </c>
      <c r="J2841" s="1">
        <v>0</v>
      </c>
      <c r="K2841" s="1">
        <v>0</v>
      </c>
      <c r="L2841" s="1">
        <v>0</v>
      </c>
      <c r="M2841" s="1">
        <v>0</v>
      </c>
      <c r="O2841" s="1">
        <v>97</v>
      </c>
      <c r="P2841" s="4">
        <f t="shared" si="132"/>
        <v>205332</v>
      </c>
      <c r="Q2841" s="4">
        <f t="shared" si="133"/>
        <v>2</v>
      </c>
      <c r="R2841" s="4">
        <f t="shared" si="134"/>
        <v>102666</v>
      </c>
    </row>
    <row r="2842" spans="1:18">
      <c r="A2842" s="1">
        <v>2</v>
      </c>
      <c r="B2842" s="1" t="str">
        <f>"قطعات و لوازم يدكي"</f>
        <v>قطعات و لوازم يدكي</v>
      </c>
      <c r="C2842" s="1">
        <v>205</v>
      </c>
      <c r="D2842" s="1" t="str">
        <f>"انبار قطعات و لوازم يدكي بندرعباس"</f>
        <v>انبار قطعات و لوازم يدكي بندرعباس</v>
      </c>
      <c r="E2842" s="1" t="str">
        <f>"1800000381"</f>
        <v>1800000381</v>
      </c>
      <c r="F2842" s="1" t="str">
        <f>"ولدولت 1/2-2"</f>
        <v>ولدولت 1/2-2</v>
      </c>
      <c r="G2842" s="1" t="str">
        <f>"عدد"</f>
        <v>عدد</v>
      </c>
      <c r="H2842" s="1">
        <v>48</v>
      </c>
      <c r="I2842" s="1">
        <v>17637024</v>
      </c>
      <c r="J2842" s="1">
        <v>0</v>
      </c>
      <c r="K2842" s="1">
        <v>0</v>
      </c>
      <c r="L2842" s="1">
        <v>0</v>
      </c>
      <c r="M2842" s="1">
        <v>0</v>
      </c>
      <c r="O2842" s="1">
        <v>97</v>
      </c>
      <c r="P2842" s="4">
        <f t="shared" si="132"/>
        <v>17637024</v>
      </c>
      <c r="Q2842" s="4">
        <f t="shared" si="133"/>
        <v>48</v>
      </c>
      <c r="R2842" s="4">
        <f t="shared" si="134"/>
        <v>367438</v>
      </c>
    </row>
    <row r="2843" spans="1:18" hidden="1">
      <c r="A2843" s="1">
        <v>2</v>
      </c>
      <c r="B2843" s="1" t="str">
        <f>"قطعات و لوازم يدكي"</f>
        <v>قطعات و لوازم يدكي</v>
      </c>
      <c r="C2843" s="1">
        <v>205</v>
      </c>
      <c r="D2843" s="1" t="str">
        <f>"انبار قطعات و لوازم يدكي بندرعباس"</f>
        <v>انبار قطعات و لوازم يدكي بندرعباس</v>
      </c>
      <c r="E2843" s="1" t="str">
        <f>"1800000382"</f>
        <v>1800000382</v>
      </c>
      <c r="F2843" s="1" t="str">
        <f>"ورق پکينگ نازک"</f>
        <v>ورق پکينگ نازک</v>
      </c>
      <c r="G2843" s="1" t="str">
        <f>"متر"</f>
        <v>متر</v>
      </c>
      <c r="H2843" s="1">
        <v>2</v>
      </c>
      <c r="I2843" s="1">
        <v>100000</v>
      </c>
      <c r="J2843" s="1">
        <v>0</v>
      </c>
      <c r="K2843" s="1">
        <v>0</v>
      </c>
      <c r="L2843" s="1">
        <v>2</v>
      </c>
      <c r="M2843" s="1">
        <v>100000</v>
      </c>
      <c r="O2843" s="1">
        <v>97</v>
      </c>
      <c r="P2843" s="1">
        <f t="shared" si="132"/>
        <v>0</v>
      </c>
      <c r="Q2843" s="1">
        <f t="shared" si="133"/>
        <v>0</v>
      </c>
      <c r="R2843" s="1" t="e">
        <f t="shared" si="134"/>
        <v>#DIV/0!</v>
      </c>
    </row>
    <row r="2844" spans="1:18" hidden="1">
      <c r="A2844" s="1">
        <v>2</v>
      </c>
      <c r="B2844" s="1" t="str">
        <f>"قطعات و لوازم يدكي"</f>
        <v>قطعات و لوازم يدكي</v>
      </c>
      <c r="C2844" s="1">
        <v>205</v>
      </c>
      <c r="D2844" s="1" t="str">
        <f>"انبار قطعات و لوازم يدكي بندرعباس"</f>
        <v>انبار قطعات و لوازم يدكي بندرعباس</v>
      </c>
      <c r="E2844" s="1" t="str">
        <f>"1800000384"</f>
        <v>1800000384</v>
      </c>
      <c r="F2844" s="1" t="str">
        <f>"زانو ساکتولد کربن استيل 3/4"</f>
        <v>زانو ساکتولد کربن استيل 3/4</v>
      </c>
      <c r="G2844" s="1" t="str">
        <f>"عدد"</f>
        <v>عدد</v>
      </c>
      <c r="H2844" s="1">
        <v>20</v>
      </c>
      <c r="I2844" s="1">
        <v>3900000</v>
      </c>
      <c r="J2844" s="1">
        <v>0</v>
      </c>
      <c r="K2844" s="1">
        <v>0</v>
      </c>
      <c r="L2844" s="1">
        <v>20</v>
      </c>
      <c r="M2844" s="1">
        <v>3900000</v>
      </c>
      <c r="O2844" s="1">
        <v>97</v>
      </c>
      <c r="P2844" s="1">
        <f t="shared" si="132"/>
        <v>0</v>
      </c>
      <c r="Q2844" s="1">
        <f t="shared" si="133"/>
        <v>0</v>
      </c>
      <c r="R2844" s="1" t="e">
        <f t="shared" si="134"/>
        <v>#DIV/0!</v>
      </c>
    </row>
    <row r="2845" spans="1:18">
      <c r="A2845" s="1">
        <v>2</v>
      </c>
      <c r="B2845" s="1" t="str">
        <f>"قطعات و لوازم يدكي"</f>
        <v>قطعات و لوازم يدكي</v>
      </c>
      <c r="C2845" s="1">
        <v>205</v>
      </c>
      <c r="D2845" s="1" t="str">
        <f>"انبار قطعات و لوازم يدكي بندرعباس"</f>
        <v>انبار قطعات و لوازم يدكي بندرعباس</v>
      </c>
      <c r="E2845" s="1" t="str">
        <f>"1800000395"</f>
        <v>1800000395</v>
      </c>
      <c r="F2845" s="1" t="str">
        <f>"سر سيم 6"</f>
        <v>سر سيم 6</v>
      </c>
      <c r="G2845" s="1" t="str">
        <f>"عدد"</f>
        <v>عدد</v>
      </c>
      <c r="H2845" s="1">
        <v>50</v>
      </c>
      <c r="I2845" s="1">
        <v>250000</v>
      </c>
      <c r="J2845" s="1">
        <v>0</v>
      </c>
      <c r="K2845" s="1">
        <v>0</v>
      </c>
      <c r="L2845" s="1">
        <v>22</v>
      </c>
      <c r="M2845" s="1">
        <v>110000</v>
      </c>
      <c r="O2845" s="1">
        <v>97</v>
      </c>
      <c r="P2845" s="4">
        <f t="shared" si="132"/>
        <v>140000</v>
      </c>
      <c r="Q2845" s="4">
        <f t="shared" si="133"/>
        <v>28</v>
      </c>
      <c r="R2845" s="4">
        <f t="shared" si="134"/>
        <v>5000</v>
      </c>
    </row>
    <row r="2846" spans="1:18" hidden="1">
      <c r="A2846" s="1">
        <v>2</v>
      </c>
      <c r="B2846" s="1" t="str">
        <f>"قطعات و لوازم يدكي"</f>
        <v>قطعات و لوازم يدكي</v>
      </c>
      <c r="C2846" s="1">
        <v>205</v>
      </c>
      <c r="D2846" s="1" t="str">
        <f>"انبار قطعات و لوازم يدكي بندرعباس"</f>
        <v>انبار قطعات و لوازم يدكي بندرعباس</v>
      </c>
      <c r="E2846" s="1" t="str">
        <f>"1800000406"</f>
        <v>1800000406</v>
      </c>
      <c r="F2846" s="1" t="str">
        <f>"سه راه گالوانيزه 1"</f>
        <v>سه راه گالوانيزه 1</v>
      </c>
      <c r="G2846" s="1" t="str">
        <f>"عدد"</f>
        <v>عدد</v>
      </c>
      <c r="H2846" s="1">
        <v>0</v>
      </c>
      <c r="I2846" s="1">
        <v>0</v>
      </c>
      <c r="J2846" s="1">
        <v>0</v>
      </c>
      <c r="K2846" s="1">
        <v>0</v>
      </c>
      <c r="L2846" s="1">
        <v>0</v>
      </c>
      <c r="M2846" s="1">
        <v>0</v>
      </c>
      <c r="O2846" s="1">
        <v>97</v>
      </c>
      <c r="P2846" s="1">
        <f t="shared" si="132"/>
        <v>0</v>
      </c>
      <c r="Q2846" s="1">
        <f t="shared" si="133"/>
        <v>0</v>
      </c>
      <c r="R2846" s="1" t="e">
        <f t="shared" si="134"/>
        <v>#DIV/0!</v>
      </c>
    </row>
    <row r="2847" spans="1:18">
      <c r="A2847" s="1">
        <v>2</v>
      </c>
      <c r="B2847" s="1" t="str">
        <f>"قطعات و لوازم يدكي"</f>
        <v>قطعات و لوازم يدكي</v>
      </c>
      <c r="C2847" s="1">
        <v>205</v>
      </c>
      <c r="D2847" s="1" t="str">
        <f>"انبار قطعات و لوازم يدكي بندرعباس"</f>
        <v>انبار قطعات و لوازم يدكي بندرعباس</v>
      </c>
      <c r="E2847" s="1" t="str">
        <f>"1800000410"</f>
        <v>1800000410</v>
      </c>
      <c r="F2847" s="1" t="str">
        <f>"سه راه قطره اي"</f>
        <v>سه راه قطره اي</v>
      </c>
      <c r="G2847" s="1" t="str">
        <f>"عدد"</f>
        <v>عدد</v>
      </c>
      <c r="H2847" s="1">
        <v>0</v>
      </c>
      <c r="I2847" s="1">
        <v>0</v>
      </c>
      <c r="J2847" s="1">
        <v>20</v>
      </c>
      <c r="K2847" s="1">
        <v>36000</v>
      </c>
      <c r="L2847" s="1">
        <v>3</v>
      </c>
      <c r="M2847" s="1">
        <v>5400</v>
      </c>
      <c r="O2847" s="1">
        <v>97</v>
      </c>
      <c r="P2847" s="4">
        <f t="shared" si="132"/>
        <v>30600</v>
      </c>
      <c r="Q2847" s="4">
        <f t="shared" si="133"/>
        <v>17</v>
      </c>
      <c r="R2847" s="4">
        <f t="shared" si="134"/>
        <v>1800</v>
      </c>
    </row>
    <row r="2848" spans="1:18">
      <c r="A2848" s="1">
        <v>2</v>
      </c>
      <c r="B2848" s="1" t="str">
        <f>"قطعات و لوازم يدكي"</f>
        <v>قطعات و لوازم يدكي</v>
      </c>
      <c r="C2848" s="1">
        <v>205</v>
      </c>
      <c r="D2848" s="1" t="str">
        <f>"انبار قطعات و لوازم يدكي بندرعباس"</f>
        <v>انبار قطعات و لوازم يدكي بندرعباس</v>
      </c>
      <c r="E2848" s="1" t="str">
        <f>"1800000416"</f>
        <v>1800000416</v>
      </c>
      <c r="F2848" s="1" t="str">
        <f>"سيفون لوپ 3/4"</f>
        <v>سيفون لوپ 3/4</v>
      </c>
      <c r="G2848" s="1" t="str">
        <f>"عدد"</f>
        <v>عدد</v>
      </c>
      <c r="H2848" s="1">
        <v>3</v>
      </c>
      <c r="I2848" s="1">
        <v>600000</v>
      </c>
      <c r="J2848" s="1">
        <v>0</v>
      </c>
      <c r="K2848" s="1">
        <v>0</v>
      </c>
      <c r="L2848" s="1">
        <v>0</v>
      </c>
      <c r="M2848" s="1">
        <v>0</v>
      </c>
      <c r="O2848" s="1">
        <v>97</v>
      </c>
      <c r="P2848" s="4">
        <f t="shared" si="132"/>
        <v>600000</v>
      </c>
      <c r="Q2848" s="4">
        <f t="shared" si="133"/>
        <v>3</v>
      </c>
      <c r="R2848" s="4">
        <f t="shared" si="134"/>
        <v>200000</v>
      </c>
    </row>
    <row r="2849" spans="1:18">
      <c r="A2849" s="1">
        <v>2</v>
      </c>
      <c r="B2849" s="1" t="str">
        <f>"قطعات و لوازم يدكي"</f>
        <v>قطعات و لوازم يدكي</v>
      </c>
      <c r="C2849" s="1">
        <v>205</v>
      </c>
      <c r="D2849" s="1" t="str">
        <f>"انبار قطعات و لوازم يدكي بندرعباس"</f>
        <v>انبار قطعات و لوازم يدكي بندرعباس</v>
      </c>
      <c r="E2849" s="1" t="str">
        <f>"1800000427"</f>
        <v>1800000427</v>
      </c>
      <c r="F2849" s="1" t="str">
        <f>"شاسي استارت استپ اشنايدر"</f>
        <v>شاسي استارت استپ اشنايدر</v>
      </c>
      <c r="G2849" s="1" t="str">
        <f>"عدد"</f>
        <v>عدد</v>
      </c>
      <c r="H2849" s="1">
        <v>1</v>
      </c>
      <c r="I2849" s="1">
        <v>190000</v>
      </c>
      <c r="J2849" s="1">
        <v>0</v>
      </c>
      <c r="K2849" s="1">
        <v>0</v>
      </c>
      <c r="L2849" s="1">
        <v>0</v>
      </c>
      <c r="M2849" s="1">
        <v>0</v>
      </c>
      <c r="O2849" s="1">
        <v>97</v>
      </c>
      <c r="P2849" s="4">
        <f t="shared" si="132"/>
        <v>190000</v>
      </c>
      <c r="Q2849" s="4">
        <f t="shared" si="133"/>
        <v>1</v>
      </c>
      <c r="R2849" s="4">
        <f t="shared" si="134"/>
        <v>190000</v>
      </c>
    </row>
    <row r="2850" spans="1:18">
      <c r="A2850" s="1">
        <v>2</v>
      </c>
      <c r="B2850" s="1" t="str">
        <f>"قطعات و لوازم يدكي"</f>
        <v>قطعات و لوازم يدكي</v>
      </c>
      <c r="C2850" s="1">
        <v>205</v>
      </c>
      <c r="D2850" s="1" t="str">
        <f>"انبار قطعات و لوازم يدكي بندرعباس"</f>
        <v>انبار قطعات و لوازم يدكي بندرعباس</v>
      </c>
      <c r="E2850" s="1" t="str">
        <f>"1800000450"</f>
        <v>1800000450</v>
      </c>
      <c r="F2850" s="1" t="str">
        <f>"شيلنگ فشار قوي دو سر پرس 80"</f>
        <v>شيلنگ فشار قوي دو سر پرس 80</v>
      </c>
      <c r="G2850" s="1" t="str">
        <f>"عدد"</f>
        <v>عدد</v>
      </c>
      <c r="H2850" s="1">
        <v>5</v>
      </c>
      <c r="I2850" s="1">
        <v>4000000</v>
      </c>
      <c r="J2850" s="1">
        <v>0</v>
      </c>
      <c r="K2850" s="1">
        <v>0</v>
      </c>
      <c r="L2850" s="1">
        <v>2</v>
      </c>
      <c r="M2850" s="1">
        <v>1600000</v>
      </c>
      <c r="O2850" s="1">
        <v>97</v>
      </c>
      <c r="P2850" s="4">
        <f t="shared" si="132"/>
        <v>2400000</v>
      </c>
      <c r="Q2850" s="4">
        <f t="shared" si="133"/>
        <v>3</v>
      </c>
      <c r="R2850" s="4">
        <f t="shared" si="134"/>
        <v>800000</v>
      </c>
    </row>
    <row r="2851" spans="1:18">
      <c r="A2851" s="1">
        <v>2</v>
      </c>
      <c r="B2851" s="1" t="str">
        <f>"قطعات و لوازم يدكي"</f>
        <v>قطعات و لوازم يدكي</v>
      </c>
      <c r="C2851" s="1">
        <v>205</v>
      </c>
      <c r="D2851" s="1" t="str">
        <f>"انبار قطعات و لوازم يدكي بندرعباس"</f>
        <v>انبار قطعات و لوازم يدكي بندرعباس</v>
      </c>
      <c r="E2851" s="1" t="str">
        <f>"1800000455"</f>
        <v>1800000455</v>
      </c>
      <c r="F2851" s="1" t="str">
        <f>"صفحه سنگ ساب ميني 6"</f>
        <v>صفحه سنگ ساب ميني 6</v>
      </c>
      <c r="G2851" s="1" t="str">
        <f>"عدد"</f>
        <v>عدد</v>
      </c>
      <c r="H2851" s="1">
        <v>3</v>
      </c>
      <c r="I2851" s="1">
        <v>60000</v>
      </c>
      <c r="J2851" s="1">
        <v>0</v>
      </c>
      <c r="K2851" s="1">
        <v>0</v>
      </c>
      <c r="L2851" s="1">
        <v>1</v>
      </c>
      <c r="M2851" s="1">
        <v>20000</v>
      </c>
      <c r="O2851" s="1">
        <v>97</v>
      </c>
      <c r="P2851" s="4">
        <f t="shared" si="132"/>
        <v>40000</v>
      </c>
      <c r="Q2851" s="4">
        <f t="shared" si="133"/>
        <v>2</v>
      </c>
      <c r="R2851" s="4">
        <f t="shared" si="134"/>
        <v>20000</v>
      </c>
    </row>
    <row r="2852" spans="1:18">
      <c r="A2852" s="1">
        <v>2</v>
      </c>
      <c r="B2852" s="1" t="str">
        <f>"قطعات و لوازم يدكي"</f>
        <v>قطعات و لوازم يدكي</v>
      </c>
      <c r="C2852" s="1">
        <v>205</v>
      </c>
      <c r="D2852" s="1" t="str">
        <f>"انبار قطعات و لوازم يدكي بندرعباس"</f>
        <v>انبار قطعات و لوازم يدكي بندرعباس</v>
      </c>
      <c r="E2852" s="1" t="str">
        <f>"1800000461"</f>
        <v>1800000461</v>
      </c>
      <c r="F2852" s="1" t="str">
        <f>"فاشت پلاستيکي 25*4/8"</f>
        <v>فاشت پلاستيکي 25*4/8</v>
      </c>
      <c r="G2852" s="1" t="str">
        <f>"عدد"</f>
        <v>عدد</v>
      </c>
      <c r="H2852" s="1">
        <v>50</v>
      </c>
      <c r="I2852" s="1">
        <v>100000</v>
      </c>
      <c r="J2852" s="1">
        <v>0</v>
      </c>
      <c r="K2852" s="1">
        <v>0</v>
      </c>
      <c r="L2852" s="1">
        <v>5</v>
      </c>
      <c r="M2852" s="1">
        <v>10000</v>
      </c>
      <c r="O2852" s="1">
        <v>97</v>
      </c>
      <c r="P2852" s="4">
        <f t="shared" si="132"/>
        <v>90000</v>
      </c>
      <c r="Q2852" s="4">
        <f t="shared" si="133"/>
        <v>45</v>
      </c>
      <c r="R2852" s="4">
        <f t="shared" si="134"/>
        <v>2000</v>
      </c>
    </row>
    <row r="2853" spans="1:18">
      <c r="A2853" s="1">
        <v>2</v>
      </c>
      <c r="B2853" s="1" t="str">
        <f>"قطعات و لوازم يدكي"</f>
        <v>قطعات و لوازم يدكي</v>
      </c>
      <c r="C2853" s="1">
        <v>205</v>
      </c>
      <c r="D2853" s="1" t="str">
        <f>"انبار قطعات و لوازم يدكي بندرعباس"</f>
        <v>انبار قطعات و لوازم يدكي بندرعباس</v>
      </c>
      <c r="E2853" s="1" t="str">
        <f>"1800000473"</f>
        <v>1800000473</v>
      </c>
      <c r="F2853" s="1" t="str">
        <f>"فنر مکانيکال سيل پمپ"</f>
        <v>فنر مکانيکال سيل پمپ</v>
      </c>
      <c r="G2853" s="1" t="str">
        <f>"عدد"</f>
        <v>عدد</v>
      </c>
      <c r="H2853" s="1">
        <v>100</v>
      </c>
      <c r="I2853" s="1">
        <v>75000000</v>
      </c>
      <c r="J2853" s="1">
        <v>0</v>
      </c>
      <c r="K2853" s="1">
        <v>0</v>
      </c>
      <c r="L2853" s="1">
        <v>60</v>
      </c>
      <c r="M2853" s="1">
        <v>45000000</v>
      </c>
      <c r="O2853" s="1">
        <v>97</v>
      </c>
      <c r="P2853" s="4">
        <f t="shared" si="132"/>
        <v>30000000</v>
      </c>
      <c r="Q2853" s="4">
        <f t="shared" si="133"/>
        <v>40</v>
      </c>
      <c r="R2853" s="4">
        <f t="shared" si="134"/>
        <v>750000</v>
      </c>
    </row>
    <row r="2854" spans="1:18">
      <c r="A2854" s="1">
        <v>2</v>
      </c>
      <c r="B2854" s="1" t="str">
        <f>"قطعات و لوازم يدكي"</f>
        <v>قطعات و لوازم يدكي</v>
      </c>
      <c r="C2854" s="1">
        <v>205</v>
      </c>
      <c r="D2854" s="1" t="str">
        <f>"انبار قطعات و لوازم يدكي بندرعباس"</f>
        <v>انبار قطعات و لوازم يدكي بندرعباس</v>
      </c>
      <c r="E2854" s="1" t="str">
        <f>"1800000490"</f>
        <v>1800000490</v>
      </c>
      <c r="F2854" s="1" t="str">
        <f>"فيوز مينياتور تکفاز 4"</f>
        <v>فيوز مينياتور تکفاز 4</v>
      </c>
      <c r="G2854" s="1" t="str">
        <f>"عدد"</f>
        <v>عدد</v>
      </c>
      <c r="H2854" s="1">
        <v>8</v>
      </c>
      <c r="I2854" s="1">
        <v>1600000</v>
      </c>
      <c r="J2854" s="1">
        <v>0</v>
      </c>
      <c r="K2854" s="1">
        <v>0</v>
      </c>
      <c r="L2854" s="1">
        <v>0</v>
      </c>
      <c r="M2854" s="1">
        <v>0</v>
      </c>
      <c r="O2854" s="1">
        <v>97</v>
      </c>
      <c r="P2854" s="4">
        <f t="shared" si="132"/>
        <v>1600000</v>
      </c>
      <c r="Q2854" s="4">
        <f t="shared" si="133"/>
        <v>8</v>
      </c>
      <c r="R2854" s="4">
        <f t="shared" si="134"/>
        <v>200000</v>
      </c>
    </row>
    <row r="2855" spans="1:18" hidden="1">
      <c r="A2855" s="1">
        <v>2</v>
      </c>
      <c r="B2855" s="1" t="str">
        <f>"قطعات و لوازم يدكي"</f>
        <v>قطعات و لوازم يدكي</v>
      </c>
      <c r="C2855" s="1">
        <v>205</v>
      </c>
      <c r="D2855" s="1" t="str">
        <f>"انبار قطعات و لوازم يدكي بندرعباس"</f>
        <v>انبار قطعات و لوازم يدكي بندرعباس</v>
      </c>
      <c r="E2855" s="1" t="str">
        <f>"1800000497"</f>
        <v>1800000497</v>
      </c>
      <c r="F2855" s="1" t="str">
        <f>"فيوز مينياتور سه فاز 10"</f>
        <v>فيوز مينياتور سه فاز 10</v>
      </c>
      <c r="G2855" s="1" t="str">
        <f>"عدد"</f>
        <v>عدد</v>
      </c>
      <c r="H2855" s="1">
        <v>1</v>
      </c>
      <c r="I2855" s="1">
        <v>850000</v>
      </c>
      <c r="J2855" s="1">
        <v>0</v>
      </c>
      <c r="K2855" s="1">
        <v>0</v>
      </c>
      <c r="L2855" s="1">
        <v>1</v>
      </c>
      <c r="M2855" s="1">
        <v>850000</v>
      </c>
      <c r="O2855" s="1">
        <v>97</v>
      </c>
      <c r="P2855" s="1">
        <f t="shared" si="132"/>
        <v>0</v>
      </c>
      <c r="Q2855" s="1">
        <f t="shared" si="133"/>
        <v>0</v>
      </c>
      <c r="R2855" s="1" t="e">
        <f t="shared" si="134"/>
        <v>#DIV/0!</v>
      </c>
    </row>
    <row r="2856" spans="1:18">
      <c r="A2856" s="1">
        <v>2</v>
      </c>
      <c r="B2856" s="1" t="str">
        <f>"قطعات و لوازم يدكي"</f>
        <v>قطعات و لوازم يدكي</v>
      </c>
      <c r="C2856" s="1">
        <v>205</v>
      </c>
      <c r="D2856" s="1" t="str">
        <f>"انبار قطعات و لوازم يدكي بندرعباس"</f>
        <v>انبار قطعات و لوازم يدكي بندرعباس</v>
      </c>
      <c r="E2856" s="1" t="str">
        <f>"1800000503"</f>
        <v>1800000503</v>
      </c>
      <c r="F2856" s="1" t="str">
        <f>"قوطي کليد تک پل روکار"</f>
        <v>قوطي کليد تک پل روکار</v>
      </c>
      <c r="G2856" s="1" t="str">
        <f>"عدد"</f>
        <v>عدد</v>
      </c>
      <c r="H2856" s="1">
        <v>2</v>
      </c>
      <c r="I2856" s="1">
        <v>50000</v>
      </c>
      <c r="J2856" s="1">
        <v>0</v>
      </c>
      <c r="K2856" s="1">
        <v>0</v>
      </c>
      <c r="L2856" s="1">
        <v>0</v>
      </c>
      <c r="M2856" s="1">
        <v>0</v>
      </c>
      <c r="O2856" s="1">
        <v>97</v>
      </c>
      <c r="P2856" s="4">
        <f t="shared" si="132"/>
        <v>50000</v>
      </c>
      <c r="Q2856" s="4">
        <f t="shared" si="133"/>
        <v>2</v>
      </c>
      <c r="R2856" s="4">
        <f t="shared" si="134"/>
        <v>25000</v>
      </c>
    </row>
    <row r="2857" spans="1:18">
      <c r="A2857" s="1">
        <v>2</v>
      </c>
      <c r="B2857" s="1" t="str">
        <f>"قطعات و لوازم يدكي"</f>
        <v>قطعات و لوازم يدكي</v>
      </c>
      <c r="C2857" s="1">
        <v>205</v>
      </c>
      <c r="D2857" s="1" t="str">
        <f>"انبار قطعات و لوازم يدكي بندرعباس"</f>
        <v>انبار قطعات و لوازم يدكي بندرعباس</v>
      </c>
      <c r="E2857" s="1" t="str">
        <f>"1800000534"</f>
        <v>1800000534</v>
      </c>
      <c r="F2857" s="1" t="str">
        <f>"کلمپ ارت برنجي 70"</f>
        <v>کلمپ ارت برنجي 70</v>
      </c>
      <c r="G2857" s="1" t="str">
        <f>"عدد"</f>
        <v>عدد</v>
      </c>
      <c r="H2857" s="1">
        <v>27</v>
      </c>
      <c r="I2857" s="1">
        <v>2160000</v>
      </c>
      <c r="J2857" s="1">
        <v>0</v>
      </c>
      <c r="K2857" s="1">
        <v>0</v>
      </c>
      <c r="L2857" s="1">
        <v>0</v>
      </c>
      <c r="M2857" s="1">
        <v>0</v>
      </c>
      <c r="O2857" s="1">
        <v>97</v>
      </c>
      <c r="P2857" s="4">
        <f t="shared" si="132"/>
        <v>2160000</v>
      </c>
      <c r="Q2857" s="4">
        <f t="shared" si="133"/>
        <v>27</v>
      </c>
      <c r="R2857" s="4">
        <f t="shared" si="134"/>
        <v>80000</v>
      </c>
    </row>
    <row r="2858" spans="1:18">
      <c r="A2858" s="1">
        <v>2</v>
      </c>
      <c r="B2858" s="1" t="str">
        <f>"قطعات و لوازم يدكي"</f>
        <v>قطعات و لوازم يدكي</v>
      </c>
      <c r="C2858" s="1">
        <v>205</v>
      </c>
      <c r="D2858" s="1" t="str">
        <f>"انبار قطعات و لوازم يدكي بندرعباس"</f>
        <v>انبار قطعات و لوازم يدكي بندرعباس</v>
      </c>
      <c r="E2858" s="1" t="str">
        <f>"1800000562"</f>
        <v>1800000562</v>
      </c>
      <c r="F2858" s="1" t="str">
        <f>"کيت بريکر شانت اشنايدر"</f>
        <v>کيت بريکر شانت اشنايدر</v>
      </c>
      <c r="G2858" s="1" t="str">
        <f>"عدد"</f>
        <v>عدد</v>
      </c>
      <c r="H2858" s="1">
        <v>2</v>
      </c>
      <c r="I2858" s="1">
        <v>7000000</v>
      </c>
      <c r="J2858" s="1">
        <v>0</v>
      </c>
      <c r="K2858" s="1">
        <v>0</v>
      </c>
      <c r="L2858" s="1">
        <v>0</v>
      </c>
      <c r="M2858" s="1">
        <v>0</v>
      </c>
      <c r="O2858" s="1">
        <v>97</v>
      </c>
      <c r="P2858" s="4">
        <f t="shared" si="132"/>
        <v>7000000</v>
      </c>
      <c r="Q2858" s="4">
        <f t="shared" si="133"/>
        <v>2</v>
      </c>
      <c r="R2858" s="4">
        <f t="shared" si="134"/>
        <v>3500000</v>
      </c>
    </row>
    <row r="2859" spans="1:18">
      <c r="A2859" s="1">
        <v>2</v>
      </c>
      <c r="B2859" s="1" t="str">
        <f>"قطعات و لوازم يدكي"</f>
        <v>قطعات و لوازم يدكي</v>
      </c>
      <c r="C2859" s="1">
        <v>205</v>
      </c>
      <c r="D2859" s="1" t="str">
        <f>"انبار قطعات و لوازم يدكي بندرعباس"</f>
        <v>انبار قطعات و لوازم يدكي بندرعباس</v>
      </c>
      <c r="E2859" s="1" t="str">
        <f>"1800000563"</f>
        <v>1800000563</v>
      </c>
      <c r="F2859" s="1" t="str">
        <f>"گريس ليتيومي نسوز"</f>
        <v>گريس ليتيومي نسوز</v>
      </c>
      <c r="G2859" s="1" t="str">
        <f>"كيلوگرم"</f>
        <v>كيلوگرم</v>
      </c>
      <c r="H2859" s="1">
        <v>30</v>
      </c>
      <c r="I2859" s="1">
        <v>16800000</v>
      </c>
      <c r="J2859" s="1">
        <v>0</v>
      </c>
      <c r="K2859" s="1">
        <v>0</v>
      </c>
      <c r="L2859" s="1">
        <v>9</v>
      </c>
      <c r="M2859" s="1">
        <v>5040000</v>
      </c>
      <c r="O2859" s="1">
        <v>97</v>
      </c>
      <c r="P2859" s="4">
        <f t="shared" si="132"/>
        <v>11760000</v>
      </c>
      <c r="Q2859" s="4">
        <f t="shared" si="133"/>
        <v>21</v>
      </c>
      <c r="R2859" s="4">
        <f t="shared" si="134"/>
        <v>560000</v>
      </c>
    </row>
    <row r="2860" spans="1:18">
      <c r="A2860" s="1">
        <v>2</v>
      </c>
      <c r="B2860" s="1" t="str">
        <f>"قطعات و لوازم يدكي"</f>
        <v>قطعات و لوازم يدكي</v>
      </c>
      <c r="C2860" s="1">
        <v>205</v>
      </c>
      <c r="D2860" s="1" t="str">
        <f>"انبار قطعات و لوازم يدكي بندرعباس"</f>
        <v>انبار قطعات و لوازم يدكي بندرعباس</v>
      </c>
      <c r="E2860" s="1" t="str">
        <f>"1800000571"</f>
        <v>1800000571</v>
      </c>
      <c r="F2860" s="1" t="str">
        <f>"گسکت فلزي 1/2*2"</f>
        <v>گسکت فلزي 1/2*2</v>
      </c>
      <c r="G2860" s="1" t="str">
        <f>"عدد"</f>
        <v>عدد</v>
      </c>
      <c r="H2860" s="1">
        <v>84</v>
      </c>
      <c r="I2860" s="1">
        <v>7224000</v>
      </c>
      <c r="J2860" s="1">
        <v>0</v>
      </c>
      <c r="K2860" s="1">
        <v>0</v>
      </c>
      <c r="L2860" s="1">
        <v>0</v>
      </c>
      <c r="M2860" s="1">
        <v>0</v>
      </c>
      <c r="O2860" s="1">
        <v>97</v>
      </c>
      <c r="P2860" s="4">
        <f t="shared" si="132"/>
        <v>7224000</v>
      </c>
      <c r="Q2860" s="4">
        <f t="shared" si="133"/>
        <v>84</v>
      </c>
      <c r="R2860" s="4">
        <f t="shared" si="134"/>
        <v>86000</v>
      </c>
    </row>
    <row r="2861" spans="1:18">
      <c r="A2861" s="1">
        <v>2</v>
      </c>
      <c r="B2861" s="1" t="str">
        <f>"قطعات و لوازم يدكي"</f>
        <v>قطعات و لوازم يدكي</v>
      </c>
      <c r="C2861" s="1">
        <v>205</v>
      </c>
      <c r="D2861" s="1" t="str">
        <f>"انبار قطعات و لوازم يدكي بندرعباس"</f>
        <v>انبار قطعات و لوازم يدكي بندرعباس</v>
      </c>
      <c r="E2861" s="1" t="str">
        <f>"1800000585"</f>
        <v>1800000585</v>
      </c>
      <c r="F2861" s="1" t="str">
        <f>"گسکت کاغذي 14"</f>
        <v>گسکت کاغذي 14</v>
      </c>
      <c r="G2861" s="1" t="str">
        <f>"عدد"</f>
        <v>عدد</v>
      </c>
      <c r="H2861" s="1">
        <v>20</v>
      </c>
      <c r="I2861" s="1">
        <v>14900000</v>
      </c>
      <c r="J2861" s="1">
        <v>0</v>
      </c>
      <c r="K2861" s="1">
        <v>0</v>
      </c>
      <c r="L2861" s="1">
        <v>3</v>
      </c>
      <c r="M2861" s="1">
        <v>2235000</v>
      </c>
      <c r="O2861" s="1">
        <v>97</v>
      </c>
      <c r="P2861" s="4">
        <f t="shared" si="132"/>
        <v>12665000</v>
      </c>
      <c r="Q2861" s="4">
        <f t="shared" si="133"/>
        <v>17</v>
      </c>
      <c r="R2861" s="4">
        <f t="shared" si="134"/>
        <v>745000</v>
      </c>
    </row>
    <row r="2862" spans="1:18">
      <c r="A2862" s="1">
        <v>2</v>
      </c>
      <c r="B2862" s="1" t="str">
        <f>"قطعات و لوازم يدكي"</f>
        <v>قطعات و لوازم يدكي</v>
      </c>
      <c r="C2862" s="1">
        <v>205</v>
      </c>
      <c r="D2862" s="1" t="str">
        <f>"انبار قطعات و لوازم يدكي بندرعباس"</f>
        <v>انبار قطعات و لوازم يدكي بندرعباس</v>
      </c>
      <c r="E2862" s="1" t="str">
        <f>"1800000587"</f>
        <v>1800000587</v>
      </c>
      <c r="F2862" s="1" t="str">
        <f>"گسکت کاغذي 24"</f>
        <v>گسکت کاغذي 24</v>
      </c>
      <c r="G2862" s="1" t="str">
        <f>"عدد"</f>
        <v>عدد</v>
      </c>
      <c r="H2862" s="1">
        <v>12</v>
      </c>
      <c r="I2862" s="1">
        <v>3200000</v>
      </c>
      <c r="J2862" s="1">
        <v>0</v>
      </c>
      <c r="K2862" s="1">
        <v>0</v>
      </c>
      <c r="L2862" s="1">
        <v>1</v>
      </c>
      <c r="M2862" s="1">
        <v>266667</v>
      </c>
      <c r="O2862" s="1">
        <v>97</v>
      </c>
      <c r="P2862" s="4">
        <f t="shared" si="132"/>
        <v>2933333</v>
      </c>
      <c r="Q2862" s="4">
        <f t="shared" si="133"/>
        <v>11</v>
      </c>
      <c r="R2862" s="4">
        <f t="shared" si="134"/>
        <v>266666.63636363635</v>
      </c>
    </row>
    <row r="2863" spans="1:18">
      <c r="A2863" s="1">
        <v>2</v>
      </c>
      <c r="B2863" s="1" t="str">
        <f>"قطعات و لوازم يدكي"</f>
        <v>قطعات و لوازم يدكي</v>
      </c>
      <c r="C2863" s="1">
        <v>205</v>
      </c>
      <c r="D2863" s="1" t="str">
        <f>"انبار قطعات و لوازم يدكي بندرعباس"</f>
        <v>انبار قطعات و لوازم يدكي بندرعباس</v>
      </c>
      <c r="E2863" s="1" t="str">
        <f>"1800000596"</f>
        <v>1800000596</v>
      </c>
      <c r="F2863" s="1" t="str">
        <f>"گلند دوپيچ فلزي 21"</f>
        <v>گلند دوپيچ فلزي 21</v>
      </c>
      <c r="G2863" s="1" t="str">
        <f>"عدد"</f>
        <v>عدد</v>
      </c>
      <c r="H2863" s="1">
        <v>42</v>
      </c>
      <c r="I2863" s="1">
        <v>9660000</v>
      </c>
      <c r="J2863" s="1">
        <v>0</v>
      </c>
      <c r="K2863" s="1">
        <v>0</v>
      </c>
      <c r="L2863" s="1">
        <v>0</v>
      </c>
      <c r="M2863" s="1">
        <v>0</v>
      </c>
      <c r="O2863" s="1">
        <v>97</v>
      </c>
      <c r="P2863" s="4">
        <f t="shared" si="132"/>
        <v>9660000</v>
      </c>
      <c r="Q2863" s="4">
        <f t="shared" si="133"/>
        <v>42</v>
      </c>
      <c r="R2863" s="4">
        <f t="shared" si="134"/>
        <v>230000</v>
      </c>
    </row>
    <row r="2864" spans="1:18">
      <c r="A2864" s="1">
        <v>2</v>
      </c>
      <c r="B2864" s="1" t="str">
        <f>"قطعات و لوازم يدكي"</f>
        <v>قطعات و لوازم يدكي</v>
      </c>
      <c r="C2864" s="1">
        <v>205</v>
      </c>
      <c r="D2864" s="1" t="str">
        <f>"انبار قطعات و لوازم يدكي بندرعباس"</f>
        <v>انبار قطعات و لوازم يدكي بندرعباس</v>
      </c>
      <c r="E2864" s="1" t="str">
        <f>"1800000618"</f>
        <v>1800000618</v>
      </c>
      <c r="F2864" s="1" t="str">
        <f>"لامپ کم مصرف آفتابي"</f>
        <v>لامپ کم مصرف آفتابي</v>
      </c>
      <c r="G2864" s="1" t="str">
        <f>"عدد"</f>
        <v>عدد</v>
      </c>
      <c r="H2864" s="1">
        <v>24</v>
      </c>
      <c r="I2864" s="1">
        <v>1200000</v>
      </c>
      <c r="J2864" s="1">
        <v>0</v>
      </c>
      <c r="K2864" s="1">
        <v>0</v>
      </c>
      <c r="L2864" s="1">
        <v>9</v>
      </c>
      <c r="M2864" s="1">
        <v>450000</v>
      </c>
      <c r="O2864" s="1">
        <v>97</v>
      </c>
      <c r="P2864" s="4">
        <f t="shared" si="132"/>
        <v>750000</v>
      </c>
      <c r="Q2864" s="4">
        <f t="shared" si="133"/>
        <v>15</v>
      </c>
      <c r="R2864" s="4">
        <f t="shared" si="134"/>
        <v>50000</v>
      </c>
    </row>
    <row r="2865" spans="1:18">
      <c r="A2865" s="1">
        <v>2</v>
      </c>
      <c r="B2865" s="1" t="str">
        <f>"قطعات و لوازم يدكي"</f>
        <v>قطعات و لوازم يدكي</v>
      </c>
      <c r="C2865" s="1">
        <v>205</v>
      </c>
      <c r="D2865" s="1" t="str">
        <f>"انبار قطعات و لوازم يدكي بندرعباس"</f>
        <v>انبار قطعات و لوازم يدكي بندرعباس</v>
      </c>
      <c r="E2865" s="1" t="str">
        <f>"1800000624"</f>
        <v>1800000624</v>
      </c>
      <c r="F2865" s="1" t="str">
        <f>"لوله 1/2*2"</f>
        <v>لوله 1/2*2</v>
      </c>
      <c r="G2865" s="1" t="str">
        <f>"متر"</f>
        <v>متر</v>
      </c>
      <c r="H2865" s="1">
        <v>54</v>
      </c>
      <c r="I2865" s="1">
        <v>13813200</v>
      </c>
      <c r="J2865" s="1">
        <v>0</v>
      </c>
      <c r="K2865" s="1">
        <v>0</v>
      </c>
      <c r="L2865" s="1">
        <v>24</v>
      </c>
      <c r="M2865" s="1">
        <v>6139200</v>
      </c>
      <c r="O2865" s="1">
        <v>97</v>
      </c>
      <c r="P2865" s="4">
        <f t="shared" si="132"/>
        <v>7674000</v>
      </c>
      <c r="Q2865" s="4">
        <f t="shared" si="133"/>
        <v>30</v>
      </c>
      <c r="R2865" s="4">
        <f t="shared" si="134"/>
        <v>255800</v>
      </c>
    </row>
    <row r="2866" spans="1:18" hidden="1">
      <c r="A2866" s="1">
        <v>2</v>
      </c>
      <c r="B2866" s="1" t="str">
        <f>"قطعات و لوازم يدكي"</f>
        <v>قطعات و لوازم يدكي</v>
      </c>
      <c r="C2866" s="1">
        <v>205</v>
      </c>
      <c r="D2866" s="1" t="str">
        <f>"انبار قطعات و لوازم يدكي بندرعباس"</f>
        <v>انبار قطعات و لوازم يدكي بندرعباس</v>
      </c>
      <c r="E2866" s="1" t="str">
        <f>"1800000628"</f>
        <v>1800000628</v>
      </c>
      <c r="F2866" s="1" t="str">
        <f>"لوله 8"</f>
        <v>لوله 8</v>
      </c>
      <c r="G2866" s="1" t="str">
        <f>"متر"</f>
        <v>متر</v>
      </c>
      <c r="H2866" s="1">
        <v>20</v>
      </c>
      <c r="I2866" s="1">
        <v>25400000</v>
      </c>
      <c r="J2866" s="1">
        <v>0</v>
      </c>
      <c r="K2866" s="1">
        <v>0</v>
      </c>
      <c r="L2866" s="1">
        <v>20</v>
      </c>
      <c r="M2866" s="1">
        <v>25400000</v>
      </c>
      <c r="O2866" s="1">
        <v>97</v>
      </c>
      <c r="P2866" s="1">
        <f t="shared" si="132"/>
        <v>0</v>
      </c>
      <c r="Q2866" s="1">
        <f t="shared" si="133"/>
        <v>0</v>
      </c>
      <c r="R2866" s="1" t="e">
        <f t="shared" si="134"/>
        <v>#DIV/0!</v>
      </c>
    </row>
    <row r="2867" spans="1:18">
      <c r="A2867" s="1">
        <v>2</v>
      </c>
      <c r="B2867" s="1" t="str">
        <f>"قطعات و لوازم يدكي"</f>
        <v>قطعات و لوازم يدكي</v>
      </c>
      <c r="C2867" s="1">
        <v>205</v>
      </c>
      <c r="D2867" s="1" t="str">
        <f>"انبار قطعات و لوازم يدكي بندرعباس"</f>
        <v>انبار قطعات و لوازم يدكي بندرعباس</v>
      </c>
      <c r="E2867" s="1" t="str">
        <f>"1800000629"</f>
        <v>1800000629</v>
      </c>
      <c r="F2867" s="1" t="str">
        <f>"لوله 10"</f>
        <v>لوله 10</v>
      </c>
      <c r="G2867" s="1" t="str">
        <f>"متر"</f>
        <v>متر</v>
      </c>
      <c r="H2867" s="1">
        <v>47</v>
      </c>
      <c r="I2867" s="1">
        <v>86997000</v>
      </c>
      <c r="J2867" s="1">
        <v>0</v>
      </c>
      <c r="K2867" s="1">
        <v>0</v>
      </c>
      <c r="L2867" s="1">
        <v>0</v>
      </c>
      <c r="M2867" s="1">
        <v>0</v>
      </c>
      <c r="O2867" s="1">
        <v>97</v>
      </c>
      <c r="P2867" s="4">
        <f t="shared" si="132"/>
        <v>86997000</v>
      </c>
      <c r="Q2867" s="4">
        <f t="shared" si="133"/>
        <v>47</v>
      </c>
      <c r="R2867" s="4">
        <f t="shared" si="134"/>
        <v>1851000</v>
      </c>
    </row>
    <row r="2868" spans="1:18">
      <c r="A2868" s="1">
        <v>2</v>
      </c>
      <c r="B2868" s="1" t="str">
        <f>"قطعات و لوازم يدكي"</f>
        <v>قطعات و لوازم يدكي</v>
      </c>
      <c r="C2868" s="1">
        <v>205</v>
      </c>
      <c r="D2868" s="1" t="str">
        <f>"انبار قطعات و لوازم يدكي بندرعباس"</f>
        <v>انبار قطعات و لوازم يدكي بندرعباس</v>
      </c>
      <c r="E2868" s="1" t="str">
        <f>"1800000647"</f>
        <v>1800000647</v>
      </c>
      <c r="F2868" s="1" t="str">
        <f>"لوله و اتصالات 4 اينچ"</f>
        <v>لوله و اتصالات 4 اينچ</v>
      </c>
      <c r="G2868" s="1" t="str">
        <f>"عدد"</f>
        <v>عدد</v>
      </c>
      <c r="H2868" s="1">
        <v>3</v>
      </c>
      <c r="I2868" s="1">
        <v>1200000</v>
      </c>
      <c r="J2868" s="1">
        <v>0</v>
      </c>
      <c r="K2868" s="1">
        <v>0</v>
      </c>
      <c r="L2868" s="1">
        <v>0</v>
      </c>
      <c r="M2868" s="1">
        <v>0</v>
      </c>
      <c r="O2868" s="1">
        <v>97</v>
      </c>
      <c r="P2868" s="4">
        <f t="shared" si="132"/>
        <v>1200000</v>
      </c>
      <c r="Q2868" s="4">
        <f t="shared" si="133"/>
        <v>3</v>
      </c>
      <c r="R2868" s="4">
        <f t="shared" si="134"/>
        <v>400000</v>
      </c>
    </row>
    <row r="2869" spans="1:18">
      <c r="A2869" s="1">
        <v>2</v>
      </c>
      <c r="B2869" s="1" t="str">
        <f>"قطعات و لوازم يدكي"</f>
        <v>قطعات و لوازم يدكي</v>
      </c>
      <c r="C2869" s="1">
        <v>205</v>
      </c>
      <c r="D2869" s="1" t="str">
        <f>"انبار قطعات و لوازم يدكي بندرعباس"</f>
        <v>انبار قطعات و لوازم يدكي بندرعباس</v>
      </c>
      <c r="E2869" s="1" t="str">
        <f>"1800000648"</f>
        <v>1800000648</v>
      </c>
      <c r="F2869" s="1" t="str">
        <f>"لوله و اتصالات"</f>
        <v>لوله و اتصالات</v>
      </c>
      <c r="G2869" s="1" t="str">
        <f>"عدد"</f>
        <v>عدد</v>
      </c>
      <c r="H2869" s="1">
        <v>1</v>
      </c>
      <c r="I2869" s="1">
        <v>60000</v>
      </c>
      <c r="J2869" s="1">
        <v>0</v>
      </c>
      <c r="K2869" s="1">
        <v>0</v>
      </c>
      <c r="L2869" s="1">
        <v>0</v>
      </c>
      <c r="M2869" s="1">
        <v>0</v>
      </c>
      <c r="O2869" s="1">
        <v>97</v>
      </c>
      <c r="P2869" s="4">
        <f t="shared" si="132"/>
        <v>60000</v>
      </c>
      <c r="Q2869" s="4">
        <f t="shared" si="133"/>
        <v>1</v>
      </c>
      <c r="R2869" s="4">
        <f t="shared" si="134"/>
        <v>60000</v>
      </c>
    </row>
    <row r="2870" spans="1:18">
      <c r="A2870" s="1">
        <v>2</v>
      </c>
      <c r="B2870" s="1" t="str">
        <f>"قطعات و لوازم يدكي"</f>
        <v>قطعات و لوازم يدكي</v>
      </c>
      <c r="C2870" s="1">
        <v>205</v>
      </c>
      <c r="D2870" s="1" t="str">
        <f>"انبار قطعات و لوازم يدكي بندرعباس"</f>
        <v>انبار قطعات و لوازم يدكي بندرعباس</v>
      </c>
      <c r="E2870" s="1" t="str">
        <f>"1800000672"</f>
        <v>1800000672</v>
      </c>
      <c r="F2870" s="1" t="str">
        <f>"مکانيکال سيل 106"</f>
        <v>مکانيکال سيل 106</v>
      </c>
      <c r="G2870" s="1" t="str">
        <f>"ST"</f>
        <v>ST</v>
      </c>
      <c r="H2870" s="1">
        <v>1</v>
      </c>
      <c r="I2870" s="1">
        <v>96936000</v>
      </c>
      <c r="J2870" s="1">
        <v>0</v>
      </c>
      <c r="K2870" s="1">
        <v>0</v>
      </c>
      <c r="L2870" s="1">
        <v>0</v>
      </c>
      <c r="M2870" s="1">
        <v>0</v>
      </c>
      <c r="O2870" s="1">
        <v>97</v>
      </c>
      <c r="P2870" s="4">
        <f t="shared" si="132"/>
        <v>96936000</v>
      </c>
      <c r="Q2870" s="4">
        <f t="shared" si="133"/>
        <v>1</v>
      </c>
      <c r="R2870" s="4">
        <f t="shared" si="134"/>
        <v>96936000</v>
      </c>
    </row>
    <row r="2871" spans="1:18" hidden="1">
      <c r="A2871" s="1">
        <v>2</v>
      </c>
      <c r="B2871" s="1" t="str">
        <f>"قطعات و لوازم يدكي"</f>
        <v>قطعات و لوازم يدكي</v>
      </c>
      <c r="C2871" s="1">
        <v>205</v>
      </c>
      <c r="D2871" s="1" t="str">
        <f>"انبار قطعات و لوازم يدكي بندرعباس"</f>
        <v>انبار قطعات و لوازم يدكي بندرعباس</v>
      </c>
      <c r="E2871" s="1" t="str">
        <f>"1800000674"</f>
        <v>1800000674</v>
      </c>
      <c r="F2871" s="1" t="str">
        <f>"نوار مشعل بويلر"</f>
        <v>نوار مشعل بويلر</v>
      </c>
      <c r="G2871" s="1" t="str">
        <f>"عدد"</f>
        <v>عدد</v>
      </c>
      <c r="H2871" s="1">
        <v>5</v>
      </c>
      <c r="I2871" s="1">
        <v>2900000</v>
      </c>
      <c r="J2871" s="1">
        <v>0</v>
      </c>
      <c r="K2871" s="1">
        <v>0</v>
      </c>
      <c r="L2871" s="1">
        <v>5</v>
      </c>
      <c r="M2871" s="1">
        <v>2900000</v>
      </c>
      <c r="O2871" s="1">
        <v>97</v>
      </c>
      <c r="P2871" s="1">
        <f t="shared" si="132"/>
        <v>0</v>
      </c>
      <c r="Q2871" s="1">
        <f t="shared" si="133"/>
        <v>0</v>
      </c>
      <c r="R2871" s="1" t="e">
        <f t="shared" si="134"/>
        <v>#DIV/0!</v>
      </c>
    </row>
    <row r="2872" spans="1:18">
      <c r="A2872" s="1">
        <v>2</v>
      </c>
      <c r="B2872" s="1" t="str">
        <f>"قطعات و لوازم يدكي"</f>
        <v>قطعات و لوازم يدكي</v>
      </c>
      <c r="C2872" s="1">
        <v>205</v>
      </c>
      <c r="D2872" s="1" t="str">
        <f>"انبار قطعات و لوازم يدكي بندرعباس"</f>
        <v>انبار قطعات و لوازم يدكي بندرعباس</v>
      </c>
      <c r="E2872" s="1" t="str">
        <f>"1800000680"</f>
        <v>1800000680</v>
      </c>
      <c r="F2872" s="1" t="str">
        <f>"هيت شيرينگ 120*1"</f>
        <v>هيت شيرينگ 120*1</v>
      </c>
      <c r="G2872" s="1" t="str">
        <f>"متر"</f>
        <v>متر</v>
      </c>
      <c r="H2872" s="1">
        <v>20</v>
      </c>
      <c r="I2872" s="1">
        <v>2000000</v>
      </c>
      <c r="J2872" s="1">
        <v>0</v>
      </c>
      <c r="K2872" s="1">
        <v>0</v>
      </c>
      <c r="L2872" s="1">
        <v>0</v>
      </c>
      <c r="M2872" s="1">
        <v>0</v>
      </c>
      <c r="O2872" s="1">
        <v>97</v>
      </c>
      <c r="P2872" s="4">
        <f t="shared" si="132"/>
        <v>2000000</v>
      </c>
      <c r="Q2872" s="4">
        <f t="shared" si="133"/>
        <v>20</v>
      </c>
      <c r="R2872" s="4">
        <f t="shared" si="134"/>
        <v>100000</v>
      </c>
    </row>
    <row r="2873" spans="1:18">
      <c r="A2873" s="1">
        <v>2</v>
      </c>
      <c r="B2873" s="1" t="str">
        <f>"قطعات و لوازم يدكي"</f>
        <v>قطعات و لوازم يدكي</v>
      </c>
      <c r="C2873" s="1">
        <v>205</v>
      </c>
      <c r="D2873" s="1" t="str">
        <f>"انبار قطعات و لوازم يدكي بندرعباس"</f>
        <v>انبار قطعات و لوازم يدكي بندرعباس</v>
      </c>
      <c r="E2873" s="1" t="str">
        <f>"1800000682"</f>
        <v>1800000682</v>
      </c>
      <c r="F2873" s="1" t="str">
        <f>"هيتر مخزن روزانه مازوت4"</f>
        <v>هيتر مخزن روزانه مازوت4</v>
      </c>
      <c r="G2873" s="1" t="str">
        <f>"عدد"</f>
        <v>عدد</v>
      </c>
      <c r="H2873" s="1">
        <v>2</v>
      </c>
      <c r="I2873" s="1">
        <v>28800000</v>
      </c>
      <c r="J2873" s="1">
        <v>0</v>
      </c>
      <c r="K2873" s="1">
        <v>0</v>
      </c>
      <c r="L2873" s="1">
        <v>1</v>
      </c>
      <c r="M2873" s="1">
        <v>14400000</v>
      </c>
      <c r="O2873" s="1">
        <v>97</v>
      </c>
      <c r="P2873" s="4">
        <f t="shared" si="132"/>
        <v>14400000</v>
      </c>
      <c r="Q2873" s="4">
        <f t="shared" si="133"/>
        <v>1</v>
      </c>
      <c r="R2873" s="4">
        <f t="shared" si="134"/>
        <v>14400000</v>
      </c>
    </row>
    <row r="2874" spans="1:18">
      <c r="A2874" s="1">
        <v>2</v>
      </c>
      <c r="B2874" s="1" t="str">
        <f>"قطعات و لوازم يدكي"</f>
        <v>قطعات و لوازم يدكي</v>
      </c>
      <c r="C2874" s="1">
        <v>205</v>
      </c>
      <c r="D2874" s="1" t="str">
        <f>"انبار قطعات و لوازم يدكي بندرعباس"</f>
        <v>انبار قطعات و لوازم يدكي بندرعباس</v>
      </c>
      <c r="E2874" s="1" t="str">
        <f>"1800000697"</f>
        <v>1800000697</v>
      </c>
      <c r="F2874" s="1" t="str">
        <f>"shaft collar - 116"</f>
        <v>shaft collar - 116</v>
      </c>
      <c r="G2874" s="1" t="str">
        <f>"عدد"</f>
        <v>عدد</v>
      </c>
      <c r="H2874" s="1">
        <v>3</v>
      </c>
      <c r="I2874" s="1">
        <v>127237110</v>
      </c>
      <c r="J2874" s="1">
        <v>0</v>
      </c>
      <c r="K2874" s="1">
        <v>0</v>
      </c>
      <c r="L2874" s="1">
        <v>0</v>
      </c>
      <c r="M2874" s="1">
        <v>0</v>
      </c>
      <c r="O2874" s="1">
        <v>97</v>
      </c>
      <c r="P2874" s="4">
        <f t="shared" si="132"/>
        <v>127237110</v>
      </c>
      <c r="Q2874" s="4">
        <f t="shared" si="133"/>
        <v>3</v>
      </c>
      <c r="R2874" s="4">
        <f t="shared" si="134"/>
        <v>42412370</v>
      </c>
    </row>
    <row r="2875" spans="1:18">
      <c r="A2875" s="1">
        <v>2</v>
      </c>
      <c r="B2875" s="1" t="str">
        <f>"قطعات و لوازم يدكي"</f>
        <v>قطعات و لوازم يدكي</v>
      </c>
      <c r="C2875" s="1">
        <v>205</v>
      </c>
      <c r="D2875" s="1" t="str">
        <f>"انبار قطعات و لوازم يدكي بندرعباس"</f>
        <v>انبار قطعات و لوازم يدكي بندرعباس</v>
      </c>
      <c r="E2875" s="1" t="str">
        <f>"1800000698"</f>
        <v>1800000698</v>
      </c>
      <c r="F2875" s="1" t="str">
        <f>"bearing bush-116"</f>
        <v>bearing bush-116</v>
      </c>
      <c r="G2875" s="1" t="str">
        <f>"عدد"</f>
        <v>عدد</v>
      </c>
      <c r="H2875" s="1">
        <v>8</v>
      </c>
      <c r="I2875" s="1">
        <v>413531200</v>
      </c>
      <c r="J2875" s="1">
        <v>0</v>
      </c>
      <c r="K2875" s="1">
        <v>0</v>
      </c>
      <c r="L2875" s="1">
        <v>0</v>
      </c>
      <c r="M2875" s="1">
        <v>0</v>
      </c>
      <c r="O2875" s="1">
        <v>97</v>
      </c>
      <c r="P2875" s="4">
        <f t="shared" si="132"/>
        <v>413531200</v>
      </c>
      <c r="Q2875" s="4">
        <f t="shared" si="133"/>
        <v>8</v>
      </c>
      <c r="R2875" s="4">
        <f t="shared" si="134"/>
        <v>51691400</v>
      </c>
    </row>
    <row r="2876" spans="1:18">
      <c r="A2876" s="1">
        <v>2</v>
      </c>
      <c r="B2876" s="1" t="str">
        <f>"قطعات و لوازم يدكي"</f>
        <v>قطعات و لوازم يدكي</v>
      </c>
      <c r="C2876" s="1">
        <v>205</v>
      </c>
      <c r="D2876" s="1" t="str">
        <f>"انبار قطعات و لوازم يدكي بندرعباس"</f>
        <v>انبار قطعات و لوازم يدكي بندرعباس</v>
      </c>
      <c r="E2876" s="1" t="str">
        <f>"1800000702"</f>
        <v>1800000702</v>
      </c>
      <c r="F2876" s="1" t="str">
        <f>"bearing bush-106"</f>
        <v>bearing bush-106</v>
      </c>
      <c r="G2876" s="1" t="str">
        <f>"عدد"</f>
        <v>عدد</v>
      </c>
      <c r="H2876" s="1">
        <v>1</v>
      </c>
      <c r="I2876" s="1">
        <v>44785090</v>
      </c>
      <c r="J2876" s="1">
        <v>0</v>
      </c>
      <c r="K2876" s="1">
        <v>0</v>
      </c>
      <c r="L2876" s="1">
        <v>0</v>
      </c>
      <c r="M2876" s="1">
        <v>0</v>
      </c>
      <c r="O2876" s="1">
        <v>97</v>
      </c>
      <c r="P2876" s="4">
        <f t="shared" si="132"/>
        <v>44785090</v>
      </c>
      <c r="Q2876" s="4">
        <f t="shared" si="133"/>
        <v>1</v>
      </c>
      <c r="R2876" s="4">
        <f t="shared" si="134"/>
        <v>44785090</v>
      </c>
    </row>
    <row r="2877" spans="1:18" hidden="1">
      <c r="A2877" s="1">
        <v>2</v>
      </c>
      <c r="B2877" s="1" t="str">
        <f>"قطعات و لوازم يدكي"</f>
        <v>قطعات و لوازم يدكي</v>
      </c>
      <c r="C2877" s="1">
        <v>205</v>
      </c>
      <c r="D2877" s="1" t="str">
        <f>"انبار قطعات و لوازم يدكي بندرعباس"</f>
        <v>انبار قطعات و لوازم يدكي بندرعباس</v>
      </c>
      <c r="E2877" s="1" t="str">
        <f>"1800000713"</f>
        <v>1800000713</v>
      </c>
      <c r="F2877" s="1" t="str">
        <f>"گسکت 13 مانيسمان"</f>
        <v>گسکت 13 مانيسمان</v>
      </c>
      <c r="G2877" s="1" t="str">
        <f>"عدد"</f>
        <v>عدد</v>
      </c>
      <c r="H2877" s="1">
        <v>15</v>
      </c>
      <c r="I2877" s="1">
        <v>3000000</v>
      </c>
      <c r="J2877" s="1">
        <v>0</v>
      </c>
      <c r="K2877" s="1">
        <v>0</v>
      </c>
      <c r="L2877" s="1">
        <v>15</v>
      </c>
      <c r="M2877" s="1">
        <v>3000000</v>
      </c>
      <c r="O2877" s="1">
        <v>97</v>
      </c>
      <c r="P2877" s="1">
        <f t="shared" si="132"/>
        <v>0</v>
      </c>
      <c r="Q2877" s="1">
        <f t="shared" si="133"/>
        <v>0</v>
      </c>
      <c r="R2877" s="1" t="e">
        <f t="shared" si="134"/>
        <v>#DIV/0!</v>
      </c>
    </row>
    <row r="2878" spans="1:18">
      <c r="A2878" s="1">
        <v>2</v>
      </c>
      <c r="B2878" s="1" t="str">
        <f>"قطعات و لوازم يدكي"</f>
        <v>قطعات و لوازم يدكي</v>
      </c>
      <c r="C2878" s="1">
        <v>205</v>
      </c>
      <c r="D2878" s="1" t="str">
        <f>"انبار قطعات و لوازم يدكي بندرعباس"</f>
        <v>انبار قطعات و لوازم يدكي بندرعباس</v>
      </c>
      <c r="E2878" s="1" t="str">
        <f>"1800000728"</f>
        <v>1800000728</v>
      </c>
      <c r="F2878" s="1" t="str">
        <f>"فيوز گچي 2"</f>
        <v>فيوز گچي 2</v>
      </c>
      <c r="G2878" s="1" t="str">
        <f>"عدد"</f>
        <v>عدد</v>
      </c>
      <c r="H2878" s="1">
        <v>13</v>
      </c>
      <c r="I2878" s="1">
        <v>409500</v>
      </c>
      <c r="J2878" s="1">
        <v>0</v>
      </c>
      <c r="K2878" s="1">
        <v>0</v>
      </c>
      <c r="L2878" s="1">
        <v>0</v>
      </c>
      <c r="M2878" s="1">
        <v>0</v>
      </c>
      <c r="O2878" s="1">
        <v>97</v>
      </c>
      <c r="P2878" s="4">
        <f t="shared" si="132"/>
        <v>409500</v>
      </c>
      <c r="Q2878" s="4">
        <f t="shared" si="133"/>
        <v>13</v>
      </c>
      <c r="R2878" s="4">
        <f t="shared" si="134"/>
        <v>31500</v>
      </c>
    </row>
    <row r="2879" spans="1:18" hidden="1">
      <c r="A2879" s="1">
        <v>2</v>
      </c>
      <c r="B2879" s="1" t="str">
        <f>"قطعات و لوازم يدكي"</f>
        <v>قطعات و لوازم يدكي</v>
      </c>
      <c r="C2879" s="1">
        <v>205</v>
      </c>
      <c r="D2879" s="1" t="str">
        <f>"انبار قطعات و لوازم يدكي بندرعباس"</f>
        <v>انبار قطعات و لوازم يدكي بندرعباس</v>
      </c>
      <c r="E2879" s="1" t="str">
        <f>"1800000753"</f>
        <v>1800000753</v>
      </c>
      <c r="F2879" s="1" t="str">
        <f>"پارچه تنظيف دم قيچي"</f>
        <v>پارچه تنظيف دم قيچي</v>
      </c>
      <c r="G2879" s="1" t="str">
        <f>"كيلوگرم"</f>
        <v>كيلوگرم</v>
      </c>
      <c r="H2879" s="1">
        <v>0</v>
      </c>
      <c r="I2879" s="1">
        <v>0</v>
      </c>
      <c r="J2879" s="1">
        <v>42</v>
      </c>
      <c r="K2879" s="1">
        <v>2650000</v>
      </c>
      <c r="L2879" s="1">
        <v>42</v>
      </c>
      <c r="M2879" s="1">
        <v>2650000</v>
      </c>
      <c r="O2879" s="1">
        <v>97</v>
      </c>
      <c r="P2879" s="1">
        <f t="shared" si="132"/>
        <v>0</v>
      </c>
      <c r="Q2879" s="1">
        <f t="shared" si="133"/>
        <v>0</v>
      </c>
      <c r="R2879" s="1" t="e">
        <f t="shared" si="134"/>
        <v>#DIV/0!</v>
      </c>
    </row>
    <row r="2880" spans="1:18">
      <c r="A2880" s="1">
        <v>2</v>
      </c>
      <c r="B2880" s="1" t="str">
        <f>"قطعات و لوازم يدكي"</f>
        <v>قطعات و لوازم يدكي</v>
      </c>
      <c r="C2880" s="1">
        <v>205</v>
      </c>
      <c r="D2880" s="1" t="str">
        <f>"انبار قطعات و لوازم يدكي بندرعباس"</f>
        <v>انبار قطعات و لوازم يدكي بندرعباس</v>
      </c>
      <c r="E2880" s="1" t="str">
        <f>"1800000754"</f>
        <v>1800000754</v>
      </c>
      <c r="F2880" s="1" t="str">
        <f>"پيچ و رول پلاک 6"</f>
        <v>پيچ و رول پلاک 6</v>
      </c>
      <c r="G2880" s="1" t="str">
        <f>"بسته"</f>
        <v>بسته</v>
      </c>
      <c r="H2880" s="1">
        <v>0</v>
      </c>
      <c r="I2880" s="1">
        <v>0</v>
      </c>
      <c r="J2880" s="1">
        <v>1</v>
      </c>
      <c r="K2880" s="1">
        <v>120000</v>
      </c>
      <c r="L2880" s="1">
        <v>0</v>
      </c>
      <c r="M2880" s="1">
        <v>0</v>
      </c>
      <c r="O2880" s="1">
        <v>97</v>
      </c>
      <c r="P2880" s="4">
        <f t="shared" si="132"/>
        <v>120000</v>
      </c>
      <c r="Q2880" s="4">
        <f t="shared" si="133"/>
        <v>1</v>
      </c>
      <c r="R2880" s="4">
        <f t="shared" si="134"/>
        <v>120000</v>
      </c>
    </row>
    <row r="2881" spans="1:18">
      <c r="A2881" s="1">
        <v>2</v>
      </c>
      <c r="B2881" s="1" t="str">
        <f>"قطعات و لوازم يدكي"</f>
        <v>قطعات و لوازم يدكي</v>
      </c>
      <c r="C2881" s="1">
        <v>205</v>
      </c>
      <c r="D2881" s="1" t="str">
        <f>"انبار قطعات و لوازم يدكي بندرعباس"</f>
        <v>انبار قطعات و لوازم يدكي بندرعباس</v>
      </c>
      <c r="E2881" s="1" t="str">
        <f>"1800000759"</f>
        <v>1800000759</v>
      </c>
      <c r="F2881" s="1" t="str">
        <f>"رنگ روغني مشکي"</f>
        <v>رنگ روغني مشکي</v>
      </c>
      <c r="G2881" s="1" t="str">
        <f>"كيلوگرم"</f>
        <v>كيلوگرم</v>
      </c>
      <c r="H2881" s="1">
        <v>0</v>
      </c>
      <c r="I2881" s="1">
        <v>0</v>
      </c>
      <c r="J2881" s="1">
        <v>1</v>
      </c>
      <c r="K2881" s="1">
        <v>170000</v>
      </c>
      <c r="L2881" s="1">
        <v>0</v>
      </c>
      <c r="M2881" s="1">
        <v>0</v>
      </c>
      <c r="O2881" s="1">
        <v>97</v>
      </c>
      <c r="P2881" s="4">
        <f t="shared" si="132"/>
        <v>170000</v>
      </c>
      <c r="Q2881" s="4">
        <f t="shared" si="133"/>
        <v>1</v>
      </c>
      <c r="R2881" s="4">
        <f t="shared" si="134"/>
        <v>170000</v>
      </c>
    </row>
    <row r="2882" spans="1:18">
      <c r="A2882" s="1">
        <v>2</v>
      </c>
      <c r="B2882" s="1" t="str">
        <f>"قطعات و لوازم يدكي"</f>
        <v>قطعات و لوازم يدكي</v>
      </c>
      <c r="C2882" s="1">
        <v>205</v>
      </c>
      <c r="D2882" s="1" t="str">
        <f>"انبار قطعات و لوازم يدكي بندرعباس"</f>
        <v>انبار قطعات و لوازم يدكي بندرعباس</v>
      </c>
      <c r="E2882" s="1" t="str">
        <f>"1800000778"</f>
        <v>1800000778</v>
      </c>
      <c r="F2882" s="1" t="str">
        <f>"کابل تک رشته اي"</f>
        <v>کابل تک رشته اي</v>
      </c>
      <c r="G2882" s="1" t="str">
        <f>"متر"</f>
        <v>متر</v>
      </c>
      <c r="H2882" s="1">
        <v>0</v>
      </c>
      <c r="I2882" s="1">
        <v>0</v>
      </c>
      <c r="J2882" s="1">
        <v>10</v>
      </c>
      <c r="K2882" s="1">
        <v>950000</v>
      </c>
      <c r="L2882" s="1">
        <v>0</v>
      </c>
      <c r="M2882" s="1">
        <v>0</v>
      </c>
      <c r="O2882" s="1">
        <v>97</v>
      </c>
      <c r="P2882" s="4">
        <f t="shared" si="132"/>
        <v>950000</v>
      </c>
      <c r="Q2882" s="4">
        <f t="shared" si="133"/>
        <v>10</v>
      </c>
      <c r="R2882" s="4">
        <f t="shared" si="134"/>
        <v>95000</v>
      </c>
    </row>
    <row r="2883" spans="1:18" hidden="1">
      <c r="A2883" s="1">
        <v>2</v>
      </c>
      <c r="B2883" s="1" t="str">
        <f>"قطعات و لوازم يدكي"</f>
        <v>قطعات و لوازم يدكي</v>
      </c>
      <c r="C2883" s="1">
        <v>205</v>
      </c>
      <c r="D2883" s="1" t="str">
        <f>"انبار قطعات و لوازم يدكي بندرعباس"</f>
        <v>انبار قطعات و لوازم يدكي بندرعباس</v>
      </c>
      <c r="E2883" s="1" t="str">
        <f>"1800000783"</f>
        <v>1800000783</v>
      </c>
      <c r="F2883" s="1" t="str">
        <f>"گسکت اسپيرال"</f>
        <v>گسکت اسپيرال</v>
      </c>
      <c r="G2883" s="1" t="str">
        <f>"عدد"</f>
        <v>عدد</v>
      </c>
      <c r="H2883" s="1">
        <v>0</v>
      </c>
      <c r="I2883" s="1">
        <v>0</v>
      </c>
      <c r="J2883" s="1">
        <v>10</v>
      </c>
      <c r="K2883" s="1">
        <v>580000</v>
      </c>
      <c r="L2883" s="1">
        <v>10</v>
      </c>
      <c r="M2883" s="1">
        <v>580000</v>
      </c>
      <c r="O2883" s="1">
        <v>97</v>
      </c>
      <c r="P2883" s="1">
        <f t="shared" ref="P2883:P2946" si="135">I2883+K2883-M2883</f>
        <v>0</v>
      </c>
      <c r="Q2883" s="1">
        <f t="shared" ref="Q2883:Q2946" si="136">H2883+J2883-L2883</f>
        <v>0</v>
      </c>
      <c r="R2883" s="1" t="e">
        <f t="shared" ref="R2883:R2946" si="137">P2883/Q2883</f>
        <v>#DIV/0!</v>
      </c>
    </row>
    <row r="2884" spans="1:18" hidden="1">
      <c r="A2884" s="1">
        <v>2</v>
      </c>
      <c r="B2884" s="1" t="str">
        <f>"قطعات و لوازم يدكي"</f>
        <v>قطعات و لوازم يدكي</v>
      </c>
      <c r="C2884" s="1">
        <v>205</v>
      </c>
      <c r="D2884" s="1" t="str">
        <f>"انبار قطعات و لوازم يدكي بندرعباس"</f>
        <v>انبار قطعات و لوازم يدكي بندرعباس</v>
      </c>
      <c r="E2884" s="1" t="str">
        <f>"1800000789"</f>
        <v>1800000789</v>
      </c>
      <c r="F2884" s="1" t="str">
        <f>"لوله بخاري 6"</f>
        <v>لوله بخاري 6</v>
      </c>
      <c r="G2884" s="1" t="str">
        <f>"متر"</f>
        <v>متر</v>
      </c>
      <c r="H2884" s="1">
        <v>0</v>
      </c>
      <c r="I2884" s="1">
        <v>0</v>
      </c>
      <c r="J2884" s="1">
        <v>10</v>
      </c>
      <c r="K2884" s="1">
        <v>3500000</v>
      </c>
      <c r="L2884" s="1">
        <v>10</v>
      </c>
      <c r="M2884" s="1">
        <v>3500000</v>
      </c>
      <c r="O2884" s="1">
        <v>97</v>
      </c>
      <c r="P2884" s="1">
        <f t="shared" si="135"/>
        <v>0</v>
      </c>
      <c r="Q2884" s="1">
        <f t="shared" si="136"/>
        <v>0</v>
      </c>
      <c r="R2884" s="1" t="e">
        <f t="shared" si="137"/>
        <v>#DIV/0!</v>
      </c>
    </row>
    <row r="2885" spans="1:18">
      <c r="A2885" s="1">
        <v>2</v>
      </c>
      <c r="B2885" s="1" t="str">
        <f>"قطعات و لوازم يدكي"</f>
        <v>قطعات و لوازم يدكي</v>
      </c>
      <c r="C2885" s="1">
        <v>205</v>
      </c>
      <c r="D2885" s="1" t="str">
        <f>"انبار قطعات و لوازم يدكي بندرعباس"</f>
        <v>انبار قطعات و لوازم يدكي بندرعباس</v>
      </c>
      <c r="E2885" s="1" t="str">
        <f>"1800000798"</f>
        <v>1800000798</v>
      </c>
      <c r="F2885" s="1" t="str">
        <f>"توپي 9 سانت"</f>
        <v>توپي 9 سانت</v>
      </c>
      <c r="G2885" s="1" t="str">
        <f>"عدد"</f>
        <v>عدد</v>
      </c>
      <c r="H2885" s="1">
        <v>0</v>
      </c>
      <c r="I2885" s="1">
        <v>0</v>
      </c>
      <c r="J2885" s="1">
        <v>1</v>
      </c>
      <c r="K2885" s="1">
        <v>750000</v>
      </c>
      <c r="L2885" s="1">
        <v>0</v>
      </c>
      <c r="M2885" s="1">
        <v>0</v>
      </c>
      <c r="O2885" s="1">
        <v>97</v>
      </c>
      <c r="P2885" s="4">
        <f t="shared" si="135"/>
        <v>750000</v>
      </c>
      <c r="Q2885" s="4">
        <f t="shared" si="136"/>
        <v>1</v>
      </c>
      <c r="R2885" s="4">
        <f t="shared" si="137"/>
        <v>750000</v>
      </c>
    </row>
    <row r="2886" spans="1:18">
      <c r="A2886" s="1">
        <v>2</v>
      </c>
      <c r="B2886" s="1" t="str">
        <f>"قطعات و لوازم يدكي"</f>
        <v>قطعات و لوازم يدكي</v>
      </c>
      <c r="C2886" s="1">
        <v>205</v>
      </c>
      <c r="D2886" s="1" t="str">
        <f>"انبار قطعات و لوازم يدكي بندرعباس"</f>
        <v>انبار قطعات و لوازم يدكي بندرعباس</v>
      </c>
      <c r="E2886" s="1" t="str">
        <f>"1800000800"</f>
        <v>1800000800</v>
      </c>
      <c r="F2886" s="1" t="str">
        <f>"بوشن لبه دار 4"</f>
        <v>بوشن لبه دار 4</v>
      </c>
      <c r="G2886" s="1" t="str">
        <f>"عدد"</f>
        <v>عدد</v>
      </c>
      <c r="H2886" s="1">
        <v>0</v>
      </c>
      <c r="I2886" s="1">
        <v>0</v>
      </c>
      <c r="J2886" s="1">
        <v>10</v>
      </c>
      <c r="K2886" s="1">
        <v>3700000</v>
      </c>
      <c r="L2886" s="1">
        <v>7</v>
      </c>
      <c r="M2886" s="1">
        <v>2590000</v>
      </c>
      <c r="O2886" s="1">
        <v>97</v>
      </c>
      <c r="P2886" s="4">
        <f t="shared" si="135"/>
        <v>1110000</v>
      </c>
      <c r="Q2886" s="4">
        <f t="shared" si="136"/>
        <v>3</v>
      </c>
      <c r="R2886" s="4">
        <f t="shared" si="137"/>
        <v>370000</v>
      </c>
    </row>
    <row r="2887" spans="1:18">
      <c r="A2887" s="1">
        <v>2</v>
      </c>
      <c r="B2887" s="1" t="str">
        <f>"قطعات و لوازم يدكي"</f>
        <v>قطعات و لوازم يدكي</v>
      </c>
      <c r="C2887" s="1">
        <v>205</v>
      </c>
      <c r="D2887" s="1" t="str">
        <f>"انبار قطعات و لوازم يدكي بندرعباس"</f>
        <v>انبار قطعات و لوازم يدكي بندرعباس</v>
      </c>
      <c r="E2887" s="1" t="str">
        <f>"1800000804"</f>
        <v>1800000804</v>
      </c>
      <c r="F2887" s="1" t="str">
        <f>"فيوز مينياتوري تک فاز 25"</f>
        <v>فيوز مينياتوري تک فاز 25</v>
      </c>
      <c r="G2887" s="1" t="str">
        <f>"عدد"</f>
        <v>عدد</v>
      </c>
      <c r="H2887" s="1">
        <v>0</v>
      </c>
      <c r="I2887" s="1">
        <v>0</v>
      </c>
      <c r="J2887" s="1">
        <v>5</v>
      </c>
      <c r="K2887" s="1">
        <v>1100000</v>
      </c>
      <c r="L2887" s="1">
        <v>2</v>
      </c>
      <c r="M2887" s="1">
        <v>440000</v>
      </c>
      <c r="O2887" s="1">
        <v>97</v>
      </c>
      <c r="P2887" s="4">
        <f t="shared" si="135"/>
        <v>660000</v>
      </c>
      <c r="Q2887" s="4">
        <f t="shared" si="136"/>
        <v>3</v>
      </c>
      <c r="R2887" s="4">
        <f t="shared" si="137"/>
        <v>220000</v>
      </c>
    </row>
    <row r="2888" spans="1:18">
      <c r="A2888" s="1">
        <v>2</v>
      </c>
      <c r="B2888" s="1" t="str">
        <f>"قطعات و لوازم يدكي"</f>
        <v>قطعات و لوازم يدكي</v>
      </c>
      <c r="C2888" s="1">
        <v>205</v>
      </c>
      <c r="D2888" s="1" t="str">
        <f>"انبار قطعات و لوازم يدكي بندرعباس"</f>
        <v>انبار قطعات و لوازم يدكي بندرعباس</v>
      </c>
      <c r="E2888" s="1" t="str">
        <f>"1800000819"</f>
        <v>1800000819</v>
      </c>
      <c r="F2888" s="1" t="str">
        <f>"توري لوزي ضخيم"</f>
        <v>توري لوزي ضخيم</v>
      </c>
      <c r="G2888" s="1" t="str">
        <f>"رول"</f>
        <v>رول</v>
      </c>
      <c r="H2888" s="1">
        <v>0</v>
      </c>
      <c r="I2888" s="1">
        <v>0</v>
      </c>
      <c r="J2888" s="1">
        <v>1</v>
      </c>
      <c r="K2888" s="1">
        <v>4500000</v>
      </c>
      <c r="L2888" s="1">
        <v>0</v>
      </c>
      <c r="M2888" s="1">
        <v>0</v>
      </c>
      <c r="O2888" s="1">
        <v>97</v>
      </c>
      <c r="P2888" s="4">
        <f t="shared" si="135"/>
        <v>4500000</v>
      </c>
      <c r="Q2888" s="4">
        <f t="shared" si="136"/>
        <v>1</v>
      </c>
      <c r="R2888" s="4">
        <f t="shared" si="137"/>
        <v>4500000</v>
      </c>
    </row>
    <row r="2889" spans="1:18" hidden="1">
      <c r="A2889" s="1">
        <v>2</v>
      </c>
      <c r="B2889" s="1" t="str">
        <f>"قطعات و لوازم يدكي"</f>
        <v>قطعات و لوازم يدكي</v>
      </c>
      <c r="C2889" s="1">
        <v>205</v>
      </c>
      <c r="D2889" s="1" t="str">
        <f>"انبار قطعات و لوازم يدكي بندرعباس"</f>
        <v>انبار قطعات و لوازم يدكي بندرعباس</v>
      </c>
      <c r="E2889" s="1" t="str">
        <f>"1800000864"</f>
        <v>1800000864</v>
      </c>
      <c r="F2889" s="1" t="str">
        <f>"آسان پوشش"</f>
        <v>آسان پوشش</v>
      </c>
      <c r="G2889" s="1" t="str">
        <f>"عدد"</f>
        <v>عدد</v>
      </c>
      <c r="H2889" s="1">
        <v>0</v>
      </c>
      <c r="I2889" s="1">
        <v>0</v>
      </c>
      <c r="J2889" s="1">
        <v>2</v>
      </c>
      <c r="K2889" s="1">
        <v>150000</v>
      </c>
      <c r="L2889" s="1">
        <v>2</v>
      </c>
      <c r="M2889" s="1">
        <v>150000</v>
      </c>
      <c r="O2889" s="1">
        <v>97</v>
      </c>
      <c r="P2889" s="1">
        <f t="shared" si="135"/>
        <v>0</v>
      </c>
      <c r="Q2889" s="1">
        <f t="shared" si="136"/>
        <v>0</v>
      </c>
      <c r="R2889" s="1" t="e">
        <f t="shared" si="137"/>
        <v>#DIV/0!</v>
      </c>
    </row>
    <row r="2890" spans="1:18">
      <c r="A2890" s="1">
        <v>2</v>
      </c>
      <c r="B2890" s="1" t="str">
        <f>"قطعات و لوازم يدكي"</f>
        <v>قطعات و لوازم يدكي</v>
      </c>
      <c r="C2890" s="1">
        <v>205</v>
      </c>
      <c r="D2890" s="1" t="str">
        <f>"انبار قطعات و لوازم يدكي بندرعباس"</f>
        <v>انبار قطعات و لوازم يدكي بندرعباس</v>
      </c>
      <c r="E2890" s="1" t="str">
        <f>"1800000866"</f>
        <v>1800000866</v>
      </c>
      <c r="F2890" s="1" t="str">
        <f>"سمباده"</f>
        <v>سمباده</v>
      </c>
      <c r="G2890" s="1" t="str">
        <f>"برگ"</f>
        <v>برگ</v>
      </c>
      <c r="H2890" s="1">
        <v>0</v>
      </c>
      <c r="I2890" s="1">
        <v>0</v>
      </c>
      <c r="J2890" s="1">
        <v>9</v>
      </c>
      <c r="K2890" s="1">
        <v>550000</v>
      </c>
      <c r="L2890" s="1">
        <v>2</v>
      </c>
      <c r="M2890" s="1">
        <v>150000</v>
      </c>
      <c r="O2890" s="1">
        <v>97</v>
      </c>
      <c r="P2890" s="4">
        <f t="shared" si="135"/>
        <v>400000</v>
      </c>
      <c r="Q2890" s="4">
        <f t="shared" si="136"/>
        <v>7</v>
      </c>
      <c r="R2890" s="4">
        <f t="shared" si="137"/>
        <v>57142.857142857145</v>
      </c>
    </row>
    <row r="2891" spans="1:18">
      <c r="A2891" s="1">
        <v>2</v>
      </c>
      <c r="B2891" s="1" t="str">
        <f>"قطعات و لوازم يدكي"</f>
        <v>قطعات و لوازم يدكي</v>
      </c>
      <c r="C2891" s="1">
        <v>205</v>
      </c>
      <c r="D2891" s="1" t="str">
        <f>"انبار قطعات و لوازم يدكي بندرعباس"</f>
        <v>انبار قطعات و لوازم يدكي بندرعباس</v>
      </c>
      <c r="E2891" s="1" t="str">
        <f>"1800000868"</f>
        <v>1800000868</v>
      </c>
      <c r="F2891" s="1" t="str">
        <f>"لامپ خياري 250 وات"</f>
        <v>لامپ خياري 250 وات</v>
      </c>
      <c r="G2891" s="1" t="str">
        <f>"عدد"</f>
        <v>عدد</v>
      </c>
      <c r="H2891" s="1">
        <v>0</v>
      </c>
      <c r="I2891" s="1">
        <v>0</v>
      </c>
      <c r="J2891" s="1">
        <v>19</v>
      </c>
      <c r="K2891" s="1">
        <v>7543000</v>
      </c>
      <c r="L2891" s="1">
        <v>5</v>
      </c>
      <c r="M2891" s="1">
        <v>1985000</v>
      </c>
      <c r="O2891" s="1">
        <v>97</v>
      </c>
      <c r="P2891" s="4">
        <f t="shared" si="135"/>
        <v>5558000</v>
      </c>
      <c r="Q2891" s="4">
        <f t="shared" si="136"/>
        <v>14</v>
      </c>
      <c r="R2891" s="4">
        <f t="shared" si="137"/>
        <v>397000</v>
      </c>
    </row>
    <row r="2892" spans="1:18">
      <c r="A2892" s="1">
        <v>2</v>
      </c>
      <c r="B2892" s="1" t="str">
        <f>"قطعات و لوازم يدكي"</f>
        <v>قطعات و لوازم يدكي</v>
      </c>
      <c r="C2892" s="1">
        <v>205</v>
      </c>
      <c r="D2892" s="1" t="str">
        <f>"انبار قطعات و لوازم يدكي بندرعباس"</f>
        <v>انبار قطعات و لوازم يدكي بندرعباس</v>
      </c>
      <c r="E2892" s="1" t="str">
        <f>"1800000894"</f>
        <v>1800000894</v>
      </c>
      <c r="F2892" s="1" t="s">
        <v>166</v>
      </c>
      <c r="G2892" s="1" t="str">
        <f>"ST"</f>
        <v>ST</v>
      </c>
      <c r="H2892" s="1">
        <v>0</v>
      </c>
      <c r="I2892" s="1">
        <v>0</v>
      </c>
      <c r="J2892" s="1">
        <v>4</v>
      </c>
      <c r="K2892" s="1">
        <v>17143360</v>
      </c>
      <c r="L2892" s="1">
        <v>0</v>
      </c>
      <c r="M2892" s="1">
        <v>0</v>
      </c>
      <c r="O2892" s="1">
        <v>97</v>
      </c>
      <c r="P2892" s="4">
        <f t="shared" si="135"/>
        <v>17143360</v>
      </c>
      <c r="Q2892" s="4">
        <f t="shared" si="136"/>
        <v>4</v>
      </c>
      <c r="R2892" s="4">
        <f t="shared" si="137"/>
        <v>4285840</v>
      </c>
    </row>
    <row r="2893" spans="1:18">
      <c r="A2893" s="1">
        <v>2</v>
      </c>
      <c r="B2893" s="1" t="str">
        <f>"قطعات و لوازم يدكي"</f>
        <v>قطعات و لوازم يدكي</v>
      </c>
      <c r="C2893" s="1">
        <v>205</v>
      </c>
      <c r="D2893" s="1" t="str">
        <f>"انبار قطعات و لوازم يدكي بندرعباس"</f>
        <v>انبار قطعات و لوازم يدكي بندرعباس</v>
      </c>
      <c r="E2893" s="1" t="str">
        <f>"1800000895"</f>
        <v>1800000895</v>
      </c>
      <c r="F2893" s="1" t="s">
        <v>167</v>
      </c>
      <c r="G2893" s="1" t="str">
        <f>"ST"</f>
        <v>ST</v>
      </c>
      <c r="H2893" s="1">
        <v>0</v>
      </c>
      <c r="I2893" s="1">
        <v>0</v>
      </c>
      <c r="J2893" s="1">
        <v>1</v>
      </c>
      <c r="K2893" s="1">
        <v>6069440</v>
      </c>
      <c r="L2893" s="1">
        <v>0</v>
      </c>
      <c r="M2893" s="1">
        <v>0</v>
      </c>
      <c r="O2893" s="1">
        <v>97</v>
      </c>
      <c r="P2893" s="4">
        <f t="shared" si="135"/>
        <v>6069440</v>
      </c>
      <c r="Q2893" s="4">
        <f t="shared" si="136"/>
        <v>1</v>
      </c>
      <c r="R2893" s="4">
        <f t="shared" si="137"/>
        <v>6069440</v>
      </c>
    </row>
    <row r="2894" spans="1:18">
      <c r="A2894" s="1">
        <v>2</v>
      </c>
      <c r="B2894" s="1" t="str">
        <f>"قطعات و لوازم يدكي"</f>
        <v>قطعات و لوازم يدكي</v>
      </c>
      <c r="C2894" s="1">
        <v>205</v>
      </c>
      <c r="D2894" s="1" t="str">
        <f>"انبار قطعات و لوازم يدكي بندرعباس"</f>
        <v>انبار قطعات و لوازم يدكي بندرعباس</v>
      </c>
      <c r="E2894" s="1" t="str">
        <f>"1800000897"</f>
        <v>1800000897</v>
      </c>
      <c r="F2894" s="1" t="s">
        <v>168</v>
      </c>
      <c r="G2894" s="1" t="str">
        <f>"ST"</f>
        <v>ST</v>
      </c>
      <c r="H2894" s="1">
        <v>0</v>
      </c>
      <c r="I2894" s="1">
        <v>0</v>
      </c>
      <c r="J2894" s="1">
        <v>2</v>
      </c>
      <c r="K2894" s="1">
        <v>2515968</v>
      </c>
      <c r="L2894" s="1">
        <v>0</v>
      </c>
      <c r="M2894" s="1">
        <v>0</v>
      </c>
      <c r="O2894" s="1">
        <v>97</v>
      </c>
      <c r="P2894" s="4">
        <f t="shared" si="135"/>
        <v>2515968</v>
      </c>
      <c r="Q2894" s="4">
        <f t="shared" si="136"/>
        <v>2</v>
      </c>
      <c r="R2894" s="4">
        <f t="shared" si="137"/>
        <v>1257984</v>
      </c>
    </row>
    <row r="2895" spans="1:18">
      <c r="A2895" s="1">
        <v>2</v>
      </c>
      <c r="B2895" s="1" t="str">
        <f>"قطعات و لوازم يدكي"</f>
        <v>قطعات و لوازم يدكي</v>
      </c>
      <c r="C2895" s="1">
        <v>205</v>
      </c>
      <c r="D2895" s="1" t="str">
        <f>"انبار قطعات و لوازم يدكي بندرعباس"</f>
        <v>انبار قطعات و لوازم يدكي بندرعباس</v>
      </c>
      <c r="E2895" s="1" t="str">
        <f>"1800000899"</f>
        <v>1800000899</v>
      </c>
      <c r="F2895" s="1" t="s">
        <v>169</v>
      </c>
      <c r="G2895" s="1" t="str">
        <f>"ST"</f>
        <v>ST</v>
      </c>
      <c r="H2895" s="1">
        <v>0</v>
      </c>
      <c r="I2895" s="1">
        <v>0</v>
      </c>
      <c r="J2895" s="1">
        <v>2</v>
      </c>
      <c r="K2895" s="1">
        <v>7729540</v>
      </c>
      <c r="L2895" s="1">
        <v>0</v>
      </c>
      <c r="M2895" s="1">
        <v>0</v>
      </c>
      <c r="O2895" s="1">
        <v>97</v>
      </c>
      <c r="P2895" s="4">
        <f t="shared" si="135"/>
        <v>7729540</v>
      </c>
      <c r="Q2895" s="4">
        <f t="shared" si="136"/>
        <v>2</v>
      </c>
      <c r="R2895" s="4">
        <f t="shared" si="137"/>
        <v>3864770</v>
      </c>
    </row>
    <row r="2896" spans="1:18" hidden="1">
      <c r="A2896" s="1">
        <v>2</v>
      </c>
      <c r="B2896" s="1" t="str">
        <f>"قطعات و لوازم يدكي"</f>
        <v>قطعات و لوازم يدكي</v>
      </c>
      <c r="C2896" s="1">
        <v>205</v>
      </c>
      <c r="D2896" s="1" t="str">
        <f>"انبار قطعات و لوازم يدكي بندرعباس"</f>
        <v>انبار قطعات و لوازم يدكي بندرعباس</v>
      </c>
      <c r="E2896" s="1" t="str">
        <f>"1800000934"</f>
        <v>1800000934</v>
      </c>
      <c r="F2896" s="1" t="str">
        <f>"توري باد نما"</f>
        <v>توري باد نما</v>
      </c>
      <c r="G2896" s="1" t="str">
        <f>"عدد"</f>
        <v>عدد</v>
      </c>
      <c r="H2896" s="1">
        <v>0</v>
      </c>
      <c r="I2896" s="1">
        <v>0</v>
      </c>
      <c r="J2896" s="1">
        <v>1</v>
      </c>
      <c r="K2896" s="1">
        <v>1800000</v>
      </c>
      <c r="L2896" s="1">
        <v>1</v>
      </c>
      <c r="M2896" s="1">
        <v>1800000</v>
      </c>
      <c r="O2896" s="1">
        <v>97</v>
      </c>
      <c r="P2896" s="1">
        <f t="shared" si="135"/>
        <v>0</v>
      </c>
      <c r="Q2896" s="1">
        <f t="shared" si="136"/>
        <v>0</v>
      </c>
      <c r="R2896" s="1" t="e">
        <f t="shared" si="137"/>
        <v>#DIV/0!</v>
      </c>
    </row>
    <row r="2897" spans="1:18">
      <c r="A2897" s="1">
        <v>2</v>
      </c>
      <c r="B2897" s="1" t="str">
        <f>"قطعات و لوازم يدكي"</f>
        <v>قطعات و لوازم يدكي</v>
      </c>
      <c r="C2897" s="1">
        <v>205</v>
      </c>
      <c r="D2897" s="1" t="str">
        <f>"انبار قطعات و لوازم يدكي بندرعباس"</f>
        <v>انبار قطعات و لوازم يدكي بندرعباس</v>
      </c>
      <c r="E2897" s="1" t="str">
        <f>"1900000026"</f>
        <v>1900000026</v>
      </c>
      <c r="F2897" s="1" t="str">
        <f>"جارو محوطه"</f>
        <v>جارو محوطه</v>
      </c>
      <c r="G2897" s="1" t="str">
        <f>"عدد"</f>
        <v>عدد</v>
      </c>
      <c r="H2897" s="1">
        <v>0</v>
      </c>
      <c r="I2897" s="1">
        <v>0</v>
      </c>
      <c r="J2897" s="1">
        <v>2</v>
      </c>
      <c r="K2897" s="1">
        <v>340000</v>
      </c>
      <c r="L2897" s="1">
        <v>0</v>
      </c>
      <c r="M2897" s="1">
        <v>0</v>
      </c>
      <c r="O2897" s="1">
        <v>97</v>
      </c>
      <c r="P2897" s="4">
        <f t="shared" si="135"/>
        <v>340000</v>
      </c>
      <c r="Q2897" s="4">
        <f t="shared" si="136"/>
        <v>2</v>
      </c>
      <c r="R2897" s="4">
        <f t="shared" si="137"/>
        <v>170000</v>
      </c>
    </row>
    <row r="2898" spans="1:18">
      <c r="A2898" s="1">
        <v>2</v>
      </c>
      <c r="B2898" s="1" t="str">
        <f>"قطعات و لوازم يدكي"</f>
        <v>قطعات و لوازم يدكي</v>
      </c>
      <c r="C2898" s="1">
        <v>205</v>
      </c>
      <c r="D2898" s="1" t="str">
        <f>"انبار قطعات و لوازم يدكي بندرعباس"</f>
        <v>انبار قطعات و لوازم يدكي بندرعباس</v>
      </c>
      <c r="E2898" s="1" t="str">
        <f>"1900000040"</f>
        <v>1900000040</v>
      </c>
      <c r="F2898" s="1" t="str">
        <f>"تيوپ چرخ فرغون"</f>
        <v>تيوپ چرخ فرغون</v>
      </c>
      <c r="G2898" s="1" t="str">
        <f>"عدد"</f>
        <v>عدد</v>
      </c>
      <c r="H2898" s="1">
        <v>0</v>
      </c>
      <c r="I2898" s="1">
        <v>0</v>
      </c>
      <c r="J2898" s="1">
        <v>4</v>
      </c>
      <c r="K2898" s="1">
        <v>760000</v>
      </c>
      <c r="L2898" s="1">
        <v>1</v>
      </c>
      <c r="M2898" s="1">
        <v>190000</v>
      </c>
      <c r="O2898" s="1">
        <v>97</v>
      </c>
      <c r="P2898" s="4">
        <f t="shared" si="135"/>
        <v>570000</v>
      </c>
      <c r="Q2898" s="4">
        <f t="shared" si="136"/>
        <v>3</v>
      </c>
      <c r="R2898" s="4">
        <f t="shared" si="137"/>
        <v>190000</v>
      </c>
    </row>
    <row r="2899" spans="1:18">
      <c r="A2899" s="1">
        <v>2</v>
      </c>
      <c r="B2899" s="1" t="str">
        <f>"قطعات و لوازم يدكي"</f>
        <v>قطعات و لوازم يدكي</v>
      </c>
      <c r="C2899" s="1">
        <v>205</v>
      </c>
      <c r="D2899" s="1" t="str">
        <f>"انبار قطعات و لوازم يدكي بندرعباس"</f>
        <v>انبار قطعات و لوازم يدكي بندرعباس</v>
      </c>
      <c r="E2899" s="1" t="str">
        <f>"8553101002"</f>
        <v>8553101002</v>
      </c>
      <c r="F2899" s="1" t="str">
        <f>"نوار تفلون"</f>
        <v>نوار تفلون</v>
      </c>
      <c r="G2899" s="1" t="str">
        <f>"عدد"</f>
        <v>عدد</v>
      </c>
      <c r="H2899" s="1">
        <v>56</v>
      </c>
      <c r="I2899" s="1">
        <v>280000</v>
      </c>
      <c r="J2899" s="1">
        <v>100</v>
      </c>
      <c r="K2899" s="1">
        <v>700000</v>
      </c>
      <c r="L2899" s="1">
        <v>70</v>
      </c>
      <c r="M2899" s="1">
        <v>426259</v>
      </c>
      <c r="O2899" s="1">
        <v>97</v>
      </c>
      <c r="P2899" s="4">
        <f t="shared" si="135"/>
        <v>553741</v>
      </c>
      <c r="Q2899" s="4">
        <f t="shared" si="136"/>
        <v>86</v>
      </c>
      <c r="R2899" s="4">
        <f t="shared" si="137"/>
        <v>6438.8488372093025</v>
      </c>
    </row>
    <row r="2900" spans="1:18" hidden="1">
      <c r="A2900" s="1">
        <v>3</v>
      </c>
      <c r="B2900" s="1" t="str">
        <f>"انواع ورق"</f>
        <v>انواع ورق</v>
      </c>
      <c r="C2900" s="1">
        <v>108</v>
      </c>
      <c r="D2900" s="1" t="str">
        <f>"انبار بشکه ساخته شده"</f>
        <v>انبار بشکه ساخته شده</v>
      </c>
      <c r="E2900" s="1" t="str">
        <f>"0000000096"</f>
        <v>0000000096</v>
      </c>
      <c r="F2900" s="1" t="str">
        <f>"درب بشكه با قطر 10 سانتيمتر"</f>
        <v>درب بشكه با قطر 10 سانتيمتر</v>
      </c>
      <c r="G2900" s="1" t="str">
        <f>"كيلوگرم"</f>
        <v>كيلوگرم</v>
      </c>
      <c r="H2900" s="1">
        <v>0</v>
      </c>
      <c r="I2900" s="1">
        <v>0</v>
      </c>
      <c r="J2900" s="1">
        <v>4880</v>
      </c>
      <c r="K2900" s="1">
        <v>156254257</v>
      </c>
      <c r="L2900" s="1">
        <v>4880</v>
      </c>
      <c r="M2900" s="1">
        <v>156254257</v>
      </c>
      <c r="O2900" s="1">
        <v>97</v>
      </c>
      <c r="P2900" s="1">
        <f t="shared" si="135"/>
        <v>0</v>
      </c>
      <c r="Q2900" s="1">
        <f t="shared" si="136"/>
        <v>0</v>
      </c>
      <c r="R2900" s="1" t="e">
        <f t="shared" si="137"/>
        <v>#DIV/0!</v>
      </c>
    </row>
    <row r="2901" spans="1:18">
      <c r="A2901" s="1">
        <v>2</v>
      </c>
      <c r="B2901" s="1" t="str">
        <f>"قطعات و لوازم يدكي"</f>
        <v>قطعات و لوازم يدكي</v>
      </c>
      <c r="C2901" s="1">
        <v>120</v>
      </c>
      <c r="D2901" s="1" t="str">
        <f>"انبار قطعات و لوازم يدكي بشکه سازي اصفهان"</f>
        <v>انبار قطعات و لوازم يدكي بشکه سازي اصفهان</v>
      </c>
      <c r="E2901" s="1" t="str">
        <f>"4211700026"</f>
        <v>4211700026</v>
      </c>
      <c r="F2901" s="1" t="str">
        <f>"پدال بادي پنوماتيکي"</f>
        <v>پدال بادي پنوماتيکي</v>
      </c>
      <c r="G2901" s="1" t="str">
        <f>"عدد"</f>
        <v>عدد</v>
      </c>
      <c r="H2901" s="1">
        <v>0</v>
      </c>
      <c r="I2901" s="1">
        <v>0</v>
      </c>
      <c r="J2901" s="1">
        <v>1</v>
      </c>
      <c r="K2901" s="1">
        <v>300000</v>
      </c>
      <c r="L2901" s="1">
        <v>0</v>
      </c>
      <c r="M2901" s="1">
        <v>0</v>
      </c>
      <c r="O2901" s="1">
        <v>97</v>
      </c>
      <c r="P2901" s="4">
        <f t="shared" si="135"/>
        <v>300000</v>
      </c>
      <c r="Q2901" s="4">
        <f t="shared" si="136"/>
        <v>1</v>
      </c>
      <c r="R2901" s="4">
        <f t="shared" si="137"/>
        <v>300000</v>
      </c>
    </row>
    <row r="2902" spans="1:18">
      <c r="A2902" s="1">
        <v>2</v>
      </c>
      <c r="B2902" s="1" t="str">
        <f>"قطعات و لوازم يدكي"</f>
        <v>قطعات و لوازم يدكي</v>
      </c>
      <c r="C2902" s="1">
        <v>120</v>
      </c>
      <c r="D2902" s="1" t="str">
        <f>"انبار قطعات و لوازم يدكي بشکه سازي اصفهان"</f>
        <v>انبار قطعات و لوازم يدكي بشکه سازي اصفهان</v>
      </c>
      <c r="E2902" s="1" t="str">
        <f>"4211700035"</f>
        <v>4211700035</v>
      </c>
      <c r="F2902" s="1" t="str">
        <f>"فنر 10 سانتي فولادي"</f>
        <v>فنر 10 سانتي فولادي</v>
      </c>
      <c r="G2902" s="1" t="str">
        <f>"عدد"</f>
        <v>عدد</v>
      </c>
      <c r="H2902" s="1">
        <v>0</v>
      </c>
      <c r="I2902" s="1">
        <v>0</v>
      </c>
      <c r="J2902" s="1">
        <v>24</v>
      </c>
      <c r="K2902" s="1">
        <v>3000000</v>
      </c>
      <c r="L2902" s="1">
        <v>0</v>
      </c>
      <c r="M2902" s="1">
        <v>0</v>
      </c>
      <c r="O2902" s="1">
        <v>97</v>
      </c>
      <c r="P2902" s="4">
        <f t="shared" si="135"/>
        <v>3000000</v>
      </c>
      <c r="Q2902" s="4">
        <f t="shared" si="136"/>
        <v>24</v>
      </c>
      <c r="R2902" s="4">
        <f t="shared" si="137"/>
        <v>125000</v>
      </c>
    </row>
    <row r="2903" spans="1:18">
      <c r="A2903" s="1">
        <v>2</v>
      </c>
      <c r="B2903" s="1" t="str">
        <f>"قطعات و لوازم يدكي"</f>
        <v>قطعات و لوازم يدكي</v>
      </c>
      <c r="C2903" s="1">
        <v>120</v>
      </c>
      <c r="D2903" s="1" t="str">
        <f>"انبار قطعات و لوازم يدكي بشکه سازي اصفهان"</f>
        <v>انبار قطعات و لوازم يدكي بشکه سازي اصفهان</v>
      </c>
      <c r="E2903" s="1" t="str">
        <f>"4211700036"</f>
        <v>4211700036</v>
      </c>
      <c r="F2903" s="1" t="str">
        <f>"روبنده قالب"</f>
        <v>روبنده قالب</v>
      </c>
      <c r="G2903" s="1" t="str">
        <f>"عدد"</f>
        <v>عدد</v>
      </c>
      <c r="H2903" s="1">
        <v>0</v>
      </c>
      <c r="I2903" s="1">
        <v>0</v>
      </c>
      <c r="J2903" s="1">
        <v>4</v>
      </c>
      <c r="K2903" s="1">
        <v>800000</v>
      </c>
      <c r="L2903" s="1">
        <v>0</v>
      </c>
      <c r="M2903" s="1">
        <v>0</v>
      </c>
      <c r="O2903" s="1">
        <v>97</v>
      </c>
      <c r="P2903" s="4">
        <f t="shared" si="135"/>
        <v>800000</v>
      </c>
      <c r="Q2903" s="4">
        <f t="shared" si="136"/>
        <v>4</v>
      </c>
      <c r="R2903" s="4">
        <f t="shared" si="137"/>
        <v>200000</v>
      </c>
    </row>
    <row r="2904" spans="1:18">
      <c r="A2904" s="1">
        <v>2</v>
      </c>
      <c r="B2904" s="1" t="str">
        <f>"قطعات و لوازم يدكي"</f>
        <v>قطعات و لوازم يدكي</v>
      </c>
      <c r="C2904" s="1">
        <v>120</v>
      </c>
      <c r="D2904" s="1" t="str">
        <f>"انبار قطعات و لوازم يدكي بشکه سازي اصفهان"</f>
        <v>انبار قطعات و لوازم يدكي بشکه سازي اصفهان</v>
      </c>
      <c r="E2904" s="1" t="str">
        <f>"4211700040"</f>
        <v>4211700040</v>
      </c>
      <c r="F2904" s="1" t="str">
        <f>"ضرب گير قالب"</f>
        <v>ضرب گير قالب</v>
      </c>
      <c r="G2904" s="1" t="str">
        <f>"عدد"</f>
        <v>عدد</v>
      </c>
      <c r="H2904" s="1">
        <v>0</v>
      </c>
      <c r="I2904" s="1">
        <v>0</v>
      </c>
      <c r="J2904" s="1">
        <v>7</v>
      </c>
      <c r="K2904" s="1">
        <v>140000</v>
      </c>
      <c r="L2904" s="1">
        <v>0</v>
      </c>
      <c r="M2904" s="1">
        <v>0</v>
      </c>
      <c r="O2904" s="1">
        <v>97</v>
      </c>
      <c r="P2904" s="4">
        <f t="shared" si="135"/>
        <v>140000</v>
      </c>
      <c r="Q2904" s="4">
        <f t="shared" si="136"/>
        <v>7</v>
      </c>
      <c r="R2904" s="4">
        <f t="shared" si="137"/>
        <v>20000</v>
      </c>
    </row>
    <row r="2905" spans="1:18">
      <c r="A2905" s="1">
        <v>2</v>
      </c>
      <c r="B2905" s="1" t="str">
        <f>"قطعات و لوازم يدكي"</f>
        <v>قطعات و لوازم يدكي</v>
      </c>
      <c r="C2905" s="1">
        <v>120</v>
      </c>
      <c r="D2905" s="1" t="str">
        <f>"انبار قطعات و لوازم يدكي بشکه سازي اصفهان"</f>
        <v>انبار قطعات و لوازم يدكي بشکه سازي اصفهان</v>
      </c>
      <c r="E2905" s="1" t="str">
        <f>"4211700045"</f>
        <v>4211700045</v>
      </c>
      <c r="F2905" s="1" t="str">
        <f>"بلبيرينگ 6212"</f>
        <v>بلبيرينگ 6212</v>
      </c>
      <c r="G2905" s="1" t="str">
        <f>"عدد"</f>
        <v>عدد</v>
      </c>
      <c r="H2905" s="1">
        <v>0</v>
      </c>
      <c r="I2905" s="1">
        <v>0</v>
      </c>
      <c r="J2905" s="1">
        <v>3</v>
      </c>
      <c r="K2905" s="1">
        <v>750000</v>
      </c>
      <c r="L2905" s="1">
        <v>0</v>
      </c>
      <c r="M2905" s="1">
        <v>0</v>
      </c>
      <c r="O2905" s="1">
        <v>97</v>
      </c>
      <c r="P2905" s="4">
        <f t="shared" si="135"/>
        <v>750000</v>
      </c>
      <c r="Q2905" s="4">
        <f t="shared" si="136"/>
        <v>3</v>
      </c>
      <c r="R2905" s="4">
        <f t="shared" si="137"/>
        <v>250000</v>
      </c>
    </row>
    <row r="2906" spans="1:18">
      <c r="A2906" s="1">
        <v>2</v>
      </c>
      <c r="B2906" s="1" t="str">
        <f>"قطعات و لوازم يدكي"</f>
        <v>قطعات و لوازم يدكي</v>
      </c>
      <c r="C2906" s="1">
        <v>120</v>
      </c>
      <c r="D2906" s="1" t="str">
        <f>"انبار قطعات و لوازم يدكي بشکه سازي اصفهان"</f>
        <v>انبار قطعات و لوازم يدكي بشکه سازي اصفهان</v>
      </c>
      <c r="E2906" s="1" t="str">
        <f>"4211700051"</f>
        <v>4211700051</v>
      </c>
      <c r="F2906" s="1" t="str">
        <f>"بلبيرينگ zz 6305"</f>
        <v>بلبيرينگ zz 6305</v>
      </c>
      <c r="G2906" s="1" t="str">
        <f>"عدد"</f>
        <v>عدد</v>
      </c>
      <c r="H2906" s="1">
        <v>0</v>
      </c>
      <c r="I2906" s="1">
        <v>0</v>
      </c>
      <c r="J2906" s="1">
        <v>9</v>
      </c>
      <c r="K2906" s="1">
        <v>1215000</v>
      </c>
      <c r="L2906" s="1">
        <v>0</v>
      </c>
      <c r="M2906" s="1">
        <v>0</v>
      </c>
      <c r="O2906" s="1">
        <v>97</v>
      </c>
      <c r="P2906" s="4">
        <f t="shared" si="135"/>
        <v>1215000</v>
      </c>
      <c r="Q2906" s="4">
        <f t="shared" si="136"/>
        <v>9</v>
      </c>
      <c r="R2906" s="4">
        <f t="shared" si="137"/>
        <v>135000</v>
      </c>
    </row>
    <row r="2907" spans="1:18">
      <c r="A2907" s="1">
        <v>2</v>
      </c>
      <c r="B2907" s="1" t="str">
        <f>"قطعات و لوازم يدكي"</f>
        <v>قطعات و لوازم يدكي</v>
      </c>
      <c r="C2907" s="1">
        <v>120</v>
      </c>
      <c r="D2907" s="1" t="str">
        <f>"انبار قطعات و لوازم يدكي بشکه سازي اصفهان"</f>
        <v>انبار قطعات و لوازم يدكي بشکه سازي اصفهان</v>
      </c>
      <c r="E2907" s="1" t="str">
        <f>"4211700059"</f>
        <v>4211700059</v>
      </c>
      <c r="F2907" s="1" t="str">
        <f>"بلبيرينگ 32211."</f>
        <v>بلبيرينگ 32211.</v>
      </c>
      <c r="G2907" s="1" t="str">
        <f>"عدد"</f>
        <v>عدد</v>
      </c>
      <c r="H2907" s="1">
        <v>0</v>
      </c>
      <c r="I2907" s="1">
        <v>0</v>
      </c>
      <c r="J2907" s="1">
        <v>6</v>
      </c>
      <c r="K2907" s="1">
        <v>2280000</v>
      </c>
      <c r="L2907" s="1">
        <v>0</v>
      </c>
      <c r="M2907" s="1">
        <v>0</v>
      </c>
      <c r="O2907" s="1">
        <v>97</v>
      </c>
      <c r="P2907" s="4">
        <f t="shared" si="135"/>
        <v>2280000</v>
      </c>
      <c r="Q2907" s="4">
        <f t="shared" si="136"/>
        <v>6</v>
      </c>
      <c r="R2907" s="4">
        <f t="shared" si="137"/>
        <v>380000</v>
      </c>
    </row>
    <row r="2908" spans="1:18" hidden="1">
      <c r="A2908" s="1">
        <v>2</v>
      </c>
      <c r="B2908" s="1" t="str">
        <f>"قطعات و لوازم يدكي"</f>
        <v>قطعات و لوازم يدكي</v>
      </c>
      <c r="C2908" s="1">
        <v>120</v>
      </c>
      <c r="D2908" s="1" t="str">
        <f>"انبار قطعات و لوازم يدكي بشکه سازي اصفهان"</f>
        <v>انبار قطعات و لوازم يدكي بشکه سازي اصفهان</v>
      </c>
      <c r="E2908" s="1" t="str">
        <f>"4211700068"</f>
        <v>4211700068</v>
      </c>
      <c r="F2908" s="1" t="str">
        <f>"بلبيرينگ 6203"</f>
        <v>بلبيرينگ 6203</v>
      </c>
      <c r="G2908" s="1" t="str">
        <f>"عدد"</f>
        <v>عدد</v>
      </c>
      <c r="H2908" s="1">
        <v>0</v>
      </c>
      <c r="I2908" s="1">
        <v>0</v>
      </c>
      <c r="J2908" s="1">
        <v>1</v>
      </c>
      <c r="K2908" s="1">
        <v>200000</v>
      </c>
      <c r="L2908" s="1">
        <v>1</v>
      </c>
      <c r="M2908" s="1">
        <v>200000</v>
      </c>
      <c r="O2908" s="1">
        <v>97</v>
      </c>
      <c r="P2908" s="1">
        <f t="shared" si="135"/>
        <v>0</v>
      </c>
      <c r="Q2908" s="1">
        <f t="shared" si="136"/>
        <v>0</v>
      </c>
      <c r="R2908" s="1" t="e">
        <f t="shared" si="137"/>
        <v>#DIV/0!</v>
      </c>
    </row>
    <row r="2909" spans="1:18">
      <c r="A2909" s="1">
        <v>2</v>
      </c>
      <c r="B2909" s="1" t="str">
        <f>"قطعات و لوازم يدكي"</f>
        <v>قطعات و لوازم يدكي</v>
      </c>
      <c r="C2909" s="1">
        <v>120</v>
      </c>
      <c r="D2909" s="1" t="str">
        <f>"انبار قطعات و لوازم يدكي بشکه سازي اصفهان"</f>
        <v>انبار قطعات و لوازم يدكي بشکه سازي اصفهان</v>
      </c>
      <c r="E2909" s="1" t="str">
        <f>"4211700079"</f>
        <v>4211700079</v>
      </c>
      <c r="F2909" s="1" t="str">
        <f>"گيره کابل جرثقيل 15 تن"</f>
        <v>گيره کابل جرثقيل 15 تن</v>
      </c>
      <c r="G2909" s="1" t="str">
        <f>"عدد"</f>
        <v>عدد</v>
      </c>
      <c r="H2909" s="1">
        <v>0</v>
      </c>
      <c r="I2909" s="1">
        <v>0</v>
      </c>
      <c r="J2909" s="1">
        <v>40</v>
      </c>
      <c r="K2909" s="1">
        <v>6000000</v>
      </c>
      <c r="L2909" s="1">
        <v>0</v>
      </c>
      <c r="M2909" s="1">
        <v>0</v>
      </c>
      <c r="O2909" s="1">
        <v>97</v>
      </c>
      <c r="P2909" s="4">
        <f t="shared" si="135"/>
        <v>6000000</v>
      </c>
      <c r="Q2909" s="4">
        <f t="shared" si="136"/>
        <v>40</v>
      </c>
      <c r="R2909" s="4">
        <f t="shared" si="137"/>
        <v>150000</v>
      </c>
    </row>
    <row r="2910" spans="1:18">
      <c r="A2910" s="1">
        <v>2</v>
      </c>
      <c r="B2910" s="1" t="str">
        <f>"قطعات و لوازم يدكي"</f>
        <v>قطعات و لوازم يدكي</v>
      </c>
      <c r="C2910" s="1">
        <v>120</v>
      </c>
      <c r="D2910" s="1" t="str">
        <f>"انبار قطعات و لوازم يدكي بشکه سازي اصفهان"</f>
        <v>انبار قطعات و لوازم يدكي بشکه سازي اصفهان</v>
      </c>
      <c r="E2910" s="1" t="str">
        <f>"4211700094"</f>
        <v>4211700094</v>
      </c>
      <c r="F2910" s="1" t="str">
        <f>"ترموستات تراکتور"</f>
        <v>ترموستات تراکتور</v>
      </c>
      <c r="G2910" s="1" t="str">
        <f>"عدد"</f>
        <v>عدد</v>
      </c>
      <c r="H2910" s="1">
        <v>0</v>
      </c>
      <c r="I2910" s="1">
        <v>0</v>
      </c>
      <c r="J2910" s="1">
        <v>2</v>
      </c>
      <c r="K2910" s="1">
        <v>260000</v>
      </c>
      <c r="L2910" s="1">
        <v>0</v>
      </c>
      <c r="M2910" s="1">
        <v>0</v>
      </c>
      <c r="O2910" s="1">
        <v>97</v>
      </c>
      <c r="P2910" s="4">
        <f t="shared" si="135"/>
        <v>260000</v>
      </c>
      <c r="Q2910" s="4">
        <f t="shared" si="136"/>
        <v>2</v>
      </c>
      <c r="R2910" s="4">
        <f t="shared" si="137"/>
        <v>130000</v>
      </c>
    </row>
    <row r="2911" spans="1:18">
      <c r="A2911" s="1">
        <v>2</v>
      </c>
      <c r="B2911" s="1" t="str">
        <f>"قطعات و لوازم يدكي"</f>
        <v>قطعات و لوازم يدكي</v>
      </c>
      <c r="C2911" s="1">
        <v>120</v>
      </c>
      <c r="D2911" s="1" t="str">
        <f>"انبار قطعات و لوازم يدكي بشکه سازي اصفهان"</f>
        <v>انبار قطعات و لوازم يدكي بشکه سازي اصفهان</v>
      </c>
      <c r="E2911" s="1" t="str">
        <f>"4211700097"</f>
        <v>4211700097</v>
      </c>
      <c r="F2911" s="1" t="str">
        <f>"رگلاتور گاز"</f>
        <v>رگلاتور گاز</v>
      </c>
      <c r="G2911" s="1" t="str">
        <f>"عدد"</f>
        <v>عدد</v>
      </c>
      <c r="H2911" s="1">
        <v>0</v>
      </c>
      <c r="I2911" s="1">
        <v>0</v>
      </c>
      <c r="J2911" s="1">
        <v>2</v>
      </c>
      <c r="K2911" s="1">
        <v>140000</v>
      </c>
      <c r="L2911" s="1">
        <v>0</v>
      </c>
      <c r="M2911" s="1">
        <v>0</v>
      </c>
      <c r="O2911" s="1">
        <v>97</v>
      </c>
      <c r="P2911" s="4">
        <f t="shared" si="135"/>
        <v>140000</v>
      </c>
      <c r="Q2911" s="4">
        <f t="shared" si="136"/>
        <v>2</v>
      </c>
      <c r="R2911" s="4">
        <f t="shared" si="137"/>
        <v>70000</v>
      </c>
    </row>
    <row r="2912" spans="1:18">
      <c r="A2912" s="1">
        <v>2</v>
      </c>
      <c r="B2912" s="1" t="str">
        <f>"قطعات و لوازم يدكي"</f>
        <v>قطعات و لوازم يدكي</v>
      </c>
      <c r="C2912" s="1">
        <v>120</v>
      </c>
      <c r="D2912" s="1" t="str">
        <f>"انبار قطعات و لوازم يدكي بشکه سازي اصفهان"</f>
        <v>انبار قطعات و لوازم يدكي بشکه سازي اصفهان</v>
      </c>
      <c r="E2912" s="1" t="str">
        <f>"4211700122"</f>
        <v>4211700122</v>
      </c>
      <c r="F2912" s="1" t="str">
        <f>"تسمه AX 44"</f>
        <v>تسمه AX 44</v>
      </c>
      <c r="G2912" s="1" t="str">
        <f>"عدد"</f>
        <v>عدد</v>
      </c>
      <c r="H2912" s="1">
        <v>0</v>
      </c>
      <c r="I2912" s="1">
        <v>0</v>
      </c>
      <c r="J2912" s="1">
        <v>7</v>
      </c>
      <c r="K2912" s="1">
        <v>1670000</v>
      </c>
      <c r="L2912" s="1">
        <v>0</v>
      </c>
      <c r="M2912" s="1">
        <v>0</v>
      </c>
      <c r="O2912" s="1">
        <v>97</v>
      </c>
      <c r="P2912" s="4">
        <f t="shared" si="135"/>
        <v>1670000</v>
      </c>
      <c r="Q2912" s="4">
        <f t="shared" si="136"/>
        <v>7</v>
      </c>
      <c r="R2912" s="4">
        <f t="shared" si="137"/>
        <v>238571.42857142858</v>
      </c>
    </row>
    <row r="2913" spans="1:18">
      <c r="A2913" s="1">
        <v>2</v>
      </c>
      <c r="B2913" s="1" t="str">
        <f>"قطعات و لوازم يدكي"</f>
        <v>قطعات و لوازم يدكي</v>
      </c>
      <c r="C2913" s="1">
        <v>120</v>
      </c>
      <c r="D2913" s="1" t="str">
        <f>"انبار قطعات و لوازم يدكي بشکه سازي اصفهان"</f>
        <v>انبار قطعات و لوازم يدكي بشکه سازي اصفهان</v>
      </c>
      <c r="E2913" s="1" t="str">
        <f>"4211700129"</f>
        <v>4211700129</v>
      </c>
      <c r="F2913" s="1" t="str">
        <f>"تسمه B42"</f>
        <v>تسمه B42</v>
      </c>
      <c r="G2913" s="1" t="str">
        <f>"عدد"</f>
        <v>عدد</v>
      </c>
      <c r="H2913" s="1">
        <v>0</v>
      </c>
      <c r="I2913" s="1">
        <v>0</v>
      </c>
      <c r="J2913" s="1">
        <v>13</v>
      </c>
      <c r="K2913" s="1">
        <v>2080000</v>
      </c>
      <c r="L2913" s="1">
        <v>0</v>
      </c>
      <c r="M2913" s="1">
        <v>0</v>
      </c>
      <c r="O2913" s="1">
        <v>97</v>
      </c>
      <c r="P2913" s="4">
        <f t="shared" si="135"/>
        <v>2080000</v>
      </c>
      <c r="Q2913" s="4">
        <f t="shared" si="136"/>
        <v>13</v>
      </c>
      <c r="R2913" s="4">
        <f t="shared" si="137"/>
        <v>160000</v>
      </c>
    </row>
    <row r="2914" spans="1:18">
      <c r="A2914" s="1">
        <v>2</v>
      </c>
      <c r="B2914" s="1" t="str">
        <f>"قطعات و لوازم يدكي"</f>
        <v>قطعات و لوازم يدكي</v>
      </c>
      <c r="C2914" s="1">
        <v>120</v>
      </c>
      <c r="D2914" s="1" t="str">
        <f>"انبار قطعات و لوازم يدكي بشکه سازي اصفهان"</f>
        <v>انبار قطعات و لوازم يدكي بشکه سازي اصفهان</v>
      </c>
      <c r="E2914" s="1" t="str">
        <f>"4211700159"</f>
        <v>4211700159</v>
      </c>
      <c r="F2914" s="1" t="str">
        <f>"بلبرينگ 30310"</f>
        <v>بلبرينگ 30310</v>
      </c>
      <c r="G2914" s="1" t="str">
        <f>"عدد"</f>
        <v>عدد</v>
      </c>
      <c r="H2914" s="1">
        <v>0</v>
      </c>
      <c r="I2914" s="1">
        <v>0</v>
      </c>
      <c r="J2914" s="1">
        <v>4</v>
      </c>
      <c r="K2914" s="1">
        <v>1280000</v>
      </c>
      <c r="L2914" s="1">
        <v>0</v>
      </c>
      <c r="M2914" s="1">
        <v>0</v>
      </c>
      <c r="O2914" s="1">
        <v>97</v>
      </c>
      <c r="P2914" s="4">
        <f t="shared" si="135"/>
        <v>1280000</v>
      </c>
      <c r="Q2914" s="4">
        <f t="shared" si="136"/>
        <v>4</v>
      </c>
      <c r="R2914" s="4">
        <f t="shared" si="137"/>
        <v>320000</v>
      </c>
    </row>
    <row r="2915" spans="1:18">
      <c r="A2915" s="1">
        <v>2</v>
      </c>
      <c r="B2915" s="1" t="str">
        <f>"قطعات و لوازم يدكي"</f>
        <v>قطعات و لوازم يدكي</v>
      </c>
      <c r="C2915" s="1">
        <v>120</v>
      </c>
      <c r="D2915" s="1" t="str">
        <f>"انبار قطعات و لوازم يدكي بشکه سازي اصفهان"</f>
        <v>انبار قطعات و لوازم يدكي بشکه سازي اصفهان</v>
      </c>
      <c r="E2915" s="1" t="str">
        <f>"4211700165"</f>
        <v>4211700165</v>
      </c>
      <c r="F2915" s="1" t="str">
        <f>"زغال دريل دستي"</f>
        <v>زغال دريل دستي</v>
      </c>
      <c r="G2915" s="1" t="str">
        <f>"جفت"</f>
        <v>جفت</v>
      </c>
      <c r="H2915" s="1">
        <v>0</v>
      </c>
      <c r="I2915" s="1">
        <v>0</v>
      </c>
      <c r="J2915" s="1">
        <v>6</v>
      </c>
      <c r="K2915" s="1">
        <v>600000</v>
      </c>
      <c r="L2915" s="1">
        <v>1</v>
      </c>
      <c r="M2915" s="1">
        <v>100000</v>
      </c>
      <c r="O2915" s="1">
        <v>97</v>
      </c>
      <c r="P2915" s="4">
        <f t="shared" si="135"/>
        <v>500000</v>
      </c>
      <c r="Q2915" s="4">
        <f t="shared" si="136"/>
        <v>5</v>
      </c>
      <c r="R2915" s="4">
        <f t="shared" si="137"/>
        <v>100000</v>
      </c>
    </row>
    <row r="2916" spans="1:18">
      <c r="A2916" s="1">
        <v>2</v>
      </c>
      <c r="B2916" s="1" t="str">
        <f>"قطعات و لوازم يدكي"</f>
        <v>قطعات و لوازم يدكي</v>
      </c>
      <c r="C2916" s="1">
        <v>120</v>
      </c>
      <c r="D2916" s="1" t="str">
        <f>"انبار قطعات و لوازم يدكي بشکه سازي اصفهان"</f>
        <v>انبار قطعات و لوازم يدكي بشکه سازي اصفهان</v>
      </c>
      <c r="E2916" s="1" t="str">
        <f>"4211700191"</f>
        <v>4211700191</v>
      </c>
      <c r="F2916" s="1" t="str">
        <f>"بلبرينگ  NSE 9  6202"</f>
        <v>بلبرينگ  NSE 9  6202</v>
      </c>
      <c r="G2916" s="1" t="str">
        <f>"عدد"</f>
        <v>عدد</v>
      </c>
      <c r="H2916" s="1">
        <v>0</v>
      </c>
      <c r="I2916" s="1">
        <v>0</v>
      </c>
      <c r="J2916" s="1">
        <v>10</v>
      </c>
      <c r="K2916" s="1">
        <v>800000</v>
      </c>
      <c r="L2916" s="1">
        <v>0</v>
      </c>
      <c r="M2916" s="1">
        <v>0</v>
      </c>
      <c r="O2916" s="1">
        <v>97</v>
      </c>
      <c r="P2916" s="4">
        <f t="shared" si="135"/>
        <v>800000</v>
      </c>
      <c r="Q2916" s="4">
        <f t="shared" si="136"/>
        <v>10</v>
      </c>
      <c r="R2916" s="4">
        <f t="shared" si="137"/>
        <v>80000</v>
      </c>
    </row>
    <row r="2917" spans="1:18">
      <c r="A2917" s="1">
        <v>2</v>
      </c>
      <c r="B2917" s="1" t="str">
        <f>"قطعات و لوازم يدكي"</f>
        <v>قطعات و لوازم يدكي</v>
      </c>
      <c r="C2917" s="1">
        <v>120</v>
      </c>
      <c r="D2917" s="1" t="str">
        <f>"انبار قطعات و لوازم يدكي بشکه سازي اصفهان"</f>
        <v>انبار قطعات و لوازم يدكي بشکه سازي اصفهان</v>
      </c>
      <c r="E2917" s="1" t="str">
        <f>"4211700195"</f>
        <v>4211700195</v>
      </c>
      <c r="F2917" s="1" t="str">
        <f>"شير برقي 5 به 1/4"</f>
        <v>شير برقي 5 به 1/4</v>
      </c>
      <c r="G2917" s="1" t="str">
        <f>"عدد"</f>
        <v>عدد</v>
      </c>
      <c r="H2917" s="1">
        <v>0</v>
      </c>
      <c r="I2917" s="1">
        <v>0</v>
      </c>
      <c r="J2917" s="1">
        <v>3</v>
      </c>
      <c r="K2917" s="1">
        <v>7250000</v>
      </c>
      <c r="L2917" s="1">
        <v>1</v>
      </c>
      <c r="M2917" s="1">
        <v>1450000</v>
      </c>
      <c r="O2917" s="1">
        <v>97</v>
      </c>
      <c r="P2917" s="4">
        <f t="shared" si="135"/>
        <v>5800000</v>
      </c>
      <c r="Q2917" s="4">
        <f t="shared" si="136"/>
        <v>2</v>
      </c>
      <c r="R2917" s="4">
        <f t="shared" si="137"/>
        <v>2900000</v>
      </c>
    </row>
    <row r="2918" spans="1:18" hidden="1">
      <c r="A2918" s="1">
        <v>2</v>
      </c>
      <c r="B2918" s="1" t="str">
        <f>"قطعات و لوازم يدكي"</f>
        <v>قطعات و لوازم يدكي</v>
      </c>
      <c r="C2918" s="1">
        <v>120</v>
      </c>
      <c r="D2918" s="1" t="str">
        <f>"انبار قطعات و لوازم يدكي بشکه سازي اصفهان"</f>
        <v>انبار قطعات و لوازم يدكي بشکه سازي اصفهان</v>
      </c>
      <c r="E2918" s="1" t="str">
        <f>"4311700010"</f>
        <v>4311700010</v>
      </c>
      <c r="F2918" s="1" t="str">
        <f>"الکترود 6013"</f>
        <v>الکترود 6013</v>
      </c>
      <c r="G2918" s="1" t="str">
        <f>"كيلوگرم"</f>
        <v>كيلوگرم</v>
      </c>
      <c r="H2918" s="1">
        <v>0</v>
      </c>
      <c r="I2918" s="1">
        <v>0</v>
      </c>
      <c r="J2918" s="1">
        <v>10</v>
      </c>
      <c r="K2918" s="1">
        <v>500000</v>
      </c>
      <c r="L2918" s="1">
        <v>10</v>
      </c>
      <c r="M2918" s="1">
        <v>500000</v>
      </c>
      <c r="O2918" s="1">
        <v>97</v>
      </c>
      <c r="P2918" s="1">
        <f t="shared" si="135"/>
        <v>0</v>
      </c>
      <c r="Q2918" s="1">
        <f t="shared" si="136"/>
        <v>0</v>
      </c>
      <c r="R2918" s="1" t="e">
        <f t="shared" si="137"/>
        <v>#DIV/0!</v>
      </c>
    </row>
    <row r="2919" spans="1:18">
      <c r="A2919" s="1">
        <v>2</v>
      </c>
      <c r="B2919" s="1" t="str">
        <f>"قطعات و لوازم يدكي"</f>
        <v>قطعات و لوازم يدكي</v>
      </c>
      <c r="C2919" s="1">
        <v>120</v>
      </c>
      <c r="D2919" s="1" t="str">
        <f>"انبار قطعات و لوازم يدكي بشکه سازي اصفهان"</f>
        <v>انبار قطعات و لوازم يدكي بشکه سازي اصفهان</v>
      </c>
      <c r="E2919" s="1" t="str">
        <f>"4311700011"</f>
        <v>4311700011</v>
      </c>
      <c r="F2919" s="1" t="str">
        <f>"گچ علامت زن"</f>
        <v>گچ علامت زن</v>
      </c>
      <c r="G2919" s="1" t="str">
        <f>"بسته"</f>
        <v>بسته</v>
      </c>
      <c r="H2919" s="1">
        <v>0</v>
      </c>
      <c r="I2919" s="1">
        <v>0</v>
      </c>
      <c r="J2919" s="1">
        <v>1</v>
      </c>
      <c r="K2919" s="1">
        <v>100000</v>
      </c>
      <c r="L2919" s="1">
        <v>0</v>
      </c>
      <c r="M2919" s="1">
        <v>0</v>
      </c>
      <c r="O2919" s="1">
        <v>97</v>
      </c>
      <c r="P2919" s="4">
        <f t="shared" si="135"/>
        <v>100000</v>
      </c>
      <c r="Q2919" s="4">
        <f t="shared" si="136"/>
        <v>1</v>
      </c>
      <c r="R2919" s="4">
        <f t="shared" si="137"/>
        <v>100000</v>
      </c>
    </row>
    <row r="2920" spans="1:18">
      <c r="A2920" s="1">
        <v>2</v>
      </c>
      <c r="B2920" s="1" t="str">
        <f>"قطعات و لوازم يدكي"</f>
        <v>قطعات و لوازم يدكي</v>
      </c>
      <c r="C2920" s="1">
        <v>120</v>
      </c>
      <c r="D2920" s="1" t="str">
        <f>"انبار قطعات و لوازم يدكي بشکه سازي اصفهان"</f>
        <v>انبار قطعات و لوازم يدكي بشکه سازي اصفهان</v>
      </c>
      <c r="E2920" s="1" t="str">
        <f>"4311700017"</f>
        <v>4311700017</v>
      </c>
      <c r="F2920" s="1" t="str">
        <f>"مته آهن سايز 3"</f>
        <v>مته آهن سايز 3</v>
      </c>
      <c r="G2920" s="1" t="str">
        <f>"عدد"</f>
        <v>عدد</v>
      </c>
      <c r="H2920" s="1">
        <v>0</v>
      </c>
      <c r="I2920" s="1">
        <v>0</v>
      </c>
      <c r="J2920" s="1">
        <v>12</v>
      </c>
      <c r="K2920" s="1">
        <v>460000</v>
      </c>
      <c r="L2920" s="1">
        <v>1</v>
      </c>
      <c r="M2920" s="1">
        <v>30000</v>
      </c>
      <c r="O2920" s="1">
        <v>97</v>
      </c>
      <c r="P2920" s="4">
        <f t="shared" si="135"/>
        <v>430000</v>
      </c>
      <c r="Q2920" s="4">
        <f t="shared" si="136"/>
        <v>11</v>
      </c>
      <c r="R2920" s="4">
        <f t="shared" si="137"/>
        <v>39090.909090909088</v>
      </c>
    </row>
    <row r="2921" spans="1:18">
      <c r="A2921" s="1">
        <v>2</v>
      </c>
      <c r="B2921" s="1" t="str">
        <f>"قطعات و لوازم يدكي"</f>
        <v>قطعات و لوازم يدكي</v>
      </c>
      <c r="C2921" s="1">
        <v>120</v>
      </c>
      <c r="D2921" s="1" t="str">
        <f>"انبار قطعات و لوازم يدكي بشکه سازي اصفهان"</f>
        <v>انبار قطعات و لوازم يدكي بشکه سازي اصفهان</v>
      </c>
      <c r="E2921" s="1" t="str">
        <f>"4311700018"</f>
        <v>4311700018</v>
      </c>
      <c r="F2921" s="1" t="str">
        <f>"مته اهن سايز 4"</f>
        <v>مته اهن سايز 4</v>
      </c>
      <c r="G2921" s="1" t="str">
        <f>"عدد"</f>
        <v>عدد</v>
      </c>
      <c r="H2921" s="1">
        <v>0</v>
      </c>
      <c r="I2921" s="1">
        <v>0</v>
      </c>
      <c r="J2921" s="1">
        <v>6</v>
      </c>
      <c r="K2921" s="1">
        <v>180000</v>
      </c>
      <c r="L2921" s="1">
        <v>1</v>
      </c>
      <c r="M2921" s="1">
        <v>30000</v>
      </c>
      <c r="O2921" s="1">
        <v>97</v>
      </c>
      <c r="P2921" s="4">
        <f t="shared" si="135"/>
        <v>150000</v>
      </c>
      <c r="Q2921" s="4">
        <f t="shared" si="136"/>
        <v>5</v>
      </c>
      <c r="R2921" s="4">
        <f t="shared" si="137"/>
        <v>30000</v>
      </c>
    </row>
    <row r="2922" spans="1:18">
      <c r="A2922" s="1">
        <v>2</v>
      </c>
      <c r="B2922" s="1" t="str">
        <f>"قطعات و لوازم يدكي"</f>
        <v>قطعات و لوازم يدكي</v>
      </c>
      <c r="C2922" s="1">
        <v>120</v>
      </c>
      <c r="D2922" s="1" t="str">
        <f>"انبار قطعات و لوازم يدكي بشکه سازي اصفهان"</f>
        <v>انبار قطعات و لوازم يدكي بشکه سازي اصفهان</v>
      </c>
      <c r="E2922" s="1" t="str">
        <f>"4311700021"</f>
        <v>4311700021</v>
      </c>
      <c r="F2922" s="1" t="str">
        <f>"مته آهن سايز 8"</f>
        <v>مته آهن سايز 8</v>
      </c>
      <c r="G2922" s="1" t="str">
        <f>"عدد"</f>
        <v>عدد</v>
      </c>
      <c r="H2922" s="1">
        <v>0</v>
      </c>
      <c r="I2922" s="1">
        <v>0</v>
      </c>
      <c r="J2922" s="1">
        <v>42</v>
      </c>
      <c r="K2922" s="1">
        <v>1260000</v>
      </c>
      <c r="L2922" s="1">
        <v>0</v>
      </c>
      <c r="M2922" s="1">
        <v>0</v>
      </c>
      <c r="O2922" s="1">
        <v>97</v>
      </c>
      <c r="P2922" s="4">
        <f t="shared" si="135"/>
        <v>1260000</v>
      </c>
      <c r="Q2922" s="4">
        <f t="shared" si="136"/>
        <v>42</v>
      </c>
      <c r="R2922" s="4">
        <f t="shared" si="137"/>
        <v>30000</v>
      </c>
    </row>
    <row r="2923" spans="1:18">
      <c r="A2923" s="1">
        <v>2</v>
      </c>
      <c r="B2923" s="1" t="str">
        <f>"قطعات و لوازم يدكي"</f>
        <v>قطعات و لوازم يدكي</v>
      </c>
      <c r="C2923" s="1">
        <v>120</v>
      </c>
      <c r="D2923" s="1" t="str">
        <f>"انبار قطعات و لوازم يدكي بشکه سازي اصفهان"</f>
        <v>انبار قطعات و لوازم يدكي بشکه سازي اصفهان</v>
      </c>
      <c r="E2923" s="1" t="str">
        <f>"4311700047"</f>
        <v>4311700047</v>
      </c>
      <c r="F2923" s="1" t="str">
        <f>"سيفون مخزن کوچک (دستشويي )"</f>
        <v>سيفون مخزن کوچک (دستشويي )</v>
      </c>
      <c r="G2923" s="1" t="str">
        <f>"عدد"</f>
        <v>عدد</v>
      </c>
      <c r="H2923" s="1">
        <v>0</v>
      </c>
      <c r="I2923" s="1">
        <v>0</v>
      </c>
      <c r="J2923" s="1">
        <v>2</v>
      </c>
      <c r="K2923" s="1">
        <v>200000</v>
      </c>
      <c r="L2923" s="1">
        <v>0</v>
      </c>
      <c r="M2923" s="1">
        <v>0</v>
      </c>
      <c r="O2923" s="1">
        <v>97</v>
      </c>
      <c r="P2923" s="4">
        <f t="shared" si="135"/>
        <v>200000</v>
      </c>
      <c r="Q2923" s="4">
        <f t="shared" si="136"/>
        <v>2</v>
      </c>
      <c r="R2923" s="4">
        <f t="shared" si="137"/>
        <v>100000</v>
      </c>
    </row>
    <row r="2924" spans="1:18">
      <c r="A2924" s="1">
        <v>2</v>
      </c>
      <c r="B2924" s="1" t="str">
        <f>"قطعات و لوازم يدكي"</f>
        <v>قطعات و لوازم يدكي</v>
      </c>
      <c r="C2924" s="1">
        <v>120</v>
      </c>
      <c r="D2924" s="1" t="str">
        <f>"انبار قطعات و لوازم يدكي بشکه سازي اصفهان"</f>
        <v>انبار قطعات و لوازم يدكي بشکه سازي اصفهان</v>
      </c>
      <c r="E2924" s="1" t="str">
        <f>"4311700051"</f>
        <v>4311700051</v>
      </c>
      <c r="F2924" s="1" t="str">
        <f>"شلنگ  پنوماتيک 6*8 ميليمتر"</f>
        <v>شلنگ  پنوماتيک 6*8 ميليمتر</v>
      </c>
      <c r="G2924" s="1" t="str">
        <f>"متر"</f>
        <v>متر</v>
      </c>
      <c r="H2924" s="1">
        <v>0</v>
      </c>
      <c r="I2924" s="1">
        <v>0</v>
      </c>
      <c r="J2924" s="1">
        <v>179</v>
      </c>
      <c r="K2924" s="1">
        <v>8950000</v>
      </c>
      <c r="L2924" s="1">
        <v>0</v>
      </c>
      <c r="M2924" s="1">
        <v>0</v>
      </c>
      <c r="O2924" s="1">
        <v>97</v>
      </c>
      <c r="P2924" s="4">
        <f t="shared" si="135"/>
        <v>8950000</v>
      </c>
      <c r="Q2924" s="4">
        <f t="shared" si="136"/>
        <v>179</v>
      </c>
      <c r="R2924" s="4">
        <f t="shared" si="137"/>
        <v>50000</v>
      </c>
    </row>
    <row r="2925" spans="1:18" hidden="1">
      <c r="A2925" s="1">
        <v>2</v>
      </c>
      <c r="B2925" s="1" t="str">
        <f>"قطعات و لوازم يدكي"</f>
        <v>قطعات و لوازم يدكي</v>
      </c>
      <c r="C2925" s="1">
        <v>120</v>
      </c>
      <c r="D2925" s="1" t="str">
        <f>"انبار قطعات و لوازم يدكي بشکه سازي اصفهان"</f>
        <v>انبار قطعات و لوازم يدكي بشکه سازي اصفهان</v>
      </c>
      <c r="E2925" s="1" t="str">
        <f>"4311700053"</f>
        <v>4311700053</v>
      </c>
      <c r="F2925" s="1" t="str">
        <f>"شلنگ روغن پرسهاي 40 تن سايز 6"</f>
        <v>شلنگ روغن پرسهاي 40 تن سايز 6</v>
      </c>
      <c r="G2925" s="1" t="str">
        <f>"متر"</f>
        <v>متر</v>
      </c>
      <c r="H2925" s="1">
        <v>0</v>
      </c>
      <c r="I2925" s="1">
        <v>0</v>
      </c>
      <c r="J2925" s="1">
        <v>44</v>
      </c>
      <c r="K2925" s="1">
        <v>2280000</v>
      </c>
      <c r="L2925" s="1">
        <v>44</v>
      </c>
      <c r="M2925" s="1">
        <v>2280000</v>
      </c>
      <c r="O2925" s="1">
        <v>97</v>
      </c>
      <c r="P2925" s="1">
        <f t="shared" si="135"/>
        <v>0</v>
      </c>
      <c r="Q2925" s="1">
        <f t="shared" si="136"/>
        <v>0</v>
      </c>
      <c r="R2925" s="1" t="e">
        <f t="shared" si="137"/>
        <v>#DIV/0!</v>
      </c>
    </row>
    <row r="2926" spans="1:18">
      <c r="A2926" s="1">
        <v>2</v>
      </c>
      <c r="B2926" s="1" t="str">
        <f>"قطعات و لوازم يدكي"</f>
        <v>قطعات و لوازم يدكي</v>
      </c>
      <c r="C2926" s="1">
        <v>120</v>
      </c>
      <c r="D2926" s="1" t="str">
        <f>"انبار قطعات و لوازم يدكي بشکه سازي اصفهان"</f>
        <v>انبار قطعات و لوازم يدكي بشکه سازي اصفهان</v>
      </c>
      <c r="E2926" s="1" t="str">
        <f>"4311700069"</f>
        <v>4311700069</v>
      </c>
      <c r="F2926" s="1" t="str">
        <f>"اورينگ 55*3 م م"</f>
        <v>اورينگ 55*3 م م</v>
      </c>
      <c r="G2926" s="1" t="str">
        <f>"عدد"</f>
        <v>عدد</v>
      </c>
      <c r="H2926" s="1">
        <v>0</v>
      </c>
      <c r="I2926" s="1">
        <v>0</v>
      </c>
      <c r="J2926" s="1">
        <v>9</v>
      </c>
      <c r="K2926" s="1">
        <v>45000</v>
      </c>
      <c r="L2926" s="1">
        <v>1</v>
      </c>
      <c r="M2926" s="1">
        <v>5000</v>
      </c>
      <c r="O2926" s="1">
        <v>97</v>
      </c>
      <c r="P2926" s="4">
        <f t="shared" si="135"/>
        <v>40000</v>
      </c>
      <c r="Q2926" s="4">
        <f t="shared" si="136"/>
        <v>8</v>
      </c>
      <c r="R2926" s="4">
        <f t="shared" si="137"/>
        <v>5000</v>
      </c>
    </row>
    <row r="2927" spans="1:18">
      <c r="A2927" s="1">
        <v>2</v>
      </c>
      <c r="B2927" s="1" t="str">
        <f>"قطعات و لوازم يدكي"</f>
        <v>قطعات و لوازم يدكي</v>
      </c>
      <c r="C2927" s="1">
        <v>120</v>
      </c>
      <c r="D2927" s="1" t="str">
        <f>"انبار قطعات و لوازم يدكي بشکه سازي اصفهان"</f>
        <v>انبار قطعات و لوازم يدكي بشکه سازي اصفهان</v>
      </c>
      <c r="E2927" s="1" t="str">
        <f>"4311700080"</f>
        <v>4311700080</v>
      </c>
      <c r="F2927" s="1" t="str">
        <f>"اورينگ 100*3"</f>
        <v>اورينگ 100*3</v>
      </c>
      <c r="G2927" s="1" t="str">
        <f>"عدد"</f>
        <v>عدد</v>
      </c>
      <c r="H2927" s="1">
        <v>0</v>
      </c>
      <c r="I2927" s="1">
        <v>0</v>
      </c>
      <c r="J2927" s="1">
        <v>6</v>
      </c>
      <c r="K2927" s="1">
        <v>30000</v>
      </c>
      <c r="L2927" s="1">
        <v>1</v>
      </c>
      <c r="M2927" s="1">
        <v>5000</v>
      </c>
      <c r="O2927" s="1">
        <v>97</v>
      </c>
      <c r="P2927" s="4">
        <f t="shared" si="135"/>
        <v>25000</v>
      </c>
      <c r="Q2927" s="4">
        <f t="shared" si="136"/>
        <v>5</v>
      </c>
      <c r="R2927" s="4">
        <f t="shared" si="137"/>
        <v>5000</v>
      </c>
    </row>
    <row r="2928" spans="1:18">
      <c r="A2928" s="1">
        <v>2</v>
      </c>
      <c r="B2928" s="1" t="str">
        <f>"قطعات و لوازم يدكي"</f>
        <v>قطعات و لوازم يدكي</v>
      </c>
      <c r="C2928" s="1">
        <v>120</v>
      </c>
      <c r="D2928" s="1" t="str">
        <f>"انبار قطعات و لوازم يدكي بشکه سازي اصفهان"</f>
        <v>انبار قطعات و لوازم يدكي بشکه سازي اصفهان</v>
      </c>
      <c r="E2928" s="1" t="str">
        <f>"4311700083"</f>
        <v>4311700083</v>
      </c>
      <c r="F2928" s="1" t="str">
        <f>"اورينگ 100*2"</f>
        <v>اورينگ 100*2</v>
      </c>
      <c r="G2928" s="1" t="str">
        <f>"عدد"</f>
        <v>عدد</v>
      </c>
      <c r="H2928" s="1">
        <v>0</v>
      </c>
      <c r="I2928" s="1">
        <v>0</v>
      </c>
      <c r="J2928" s="1">
        <v>7</v>
      </c>
      <c r="K2928" s="1">
        <v>35000</v>
      </c>
      <c r="L2928" s="1">
        <v>2</v>
      </c>
      <c r="M2928" s="1">
        <v>10000</v>
      </c>
      <c r="O2928" s="1">
        <v>97</v>
      </c>
      <c r="P2928" s="4">
        <f t="shared" si="135"/>
        <v>25000</v>
      </c>
      <c r="Q2928" s="4">
        <f t="shared" si="136"/>
        <v>5</v>
      </c>
      <c r="R2928" s="4">
        <f t="shared" si="137"/>
        <v>5000</v>
      </c>
    </row>
    <row r="2929" spans="1:18">
      <c r="A2929" s="1">
        <v>2</v>
      </c>
      <c r="B2929" s="1" t="str">
        <f>"قطعات و لوازم يدكي"</f>
        <v>قطعات و لوازم يدكي</v>
      </c>
      <c r="C2929" s="1">
        <v>120</v>
      </c>
      <c r="D2929" s="1" t="str">
        <f>"انبار قطعات و لوازم يدكي بشکه سازي اصفهان"</f>
        <v>انبار قطعات و لوازم يدكي بشکه سازي اصفهان</v>
      </c>
      <c r="E2929" s="1" t="str">
        <f>"4311700094"</f>
        <v>4311700094</v>
      </c>
      <c r="F2929" s="1" t="str">
        <f>"اورينگ گان بنياد ترانس"</f>
        <v>اورينگ گان بنياد ترانس</v>
      </c>
      <c r="G2929" s="1" t="str">
        <f>"عدد"</f>
        <v>عدد</v>
      </c>
      <c r="H2929" s="1">
        <v>0</v>
      </c>
      <c r="I2929" s="1">
        <v>0</v>
      </c>
      <c r="J2929" s="1">
        <v>5</v>
      </c>
      <c r="K2929" s="1">
        <v>75000</v>
      </c>
      <c r="L2929" s="1">
        <v>0</v>
      </c>
      <c r="M2929" s="1">
        <v>0</v>
      </c>
      <c r="O2929" s="1">
        <v>97</v>
      </c>
      <c r="P2929" s="4">
        <f t="shared" si="135"/>
        <v>75000</v>
      </c>
      <c r="Q2929" s="4">
        <f t="shared" si="136"/>
        <v>5</v>
      </c>
      <c r="R2929" s="4">
        <f t="shared" si="137"/>
        <v>15000</v>
      </c>
    </row>
    <row r="2930" spans="1:18">
      <c r="A2930" s="1">
        <v>2</v>
      </c>
      <c r="B2930" s="1" t="str">
        <f>"قطعات و لوازم يدكي"</f>
        <v>قطعات و لوازم يدكي</v>
      </c>
      <c r="C2930" s="1">
        <v>120</v>
      </c>
      <c r="D2930" s="1" t="str">
        <f>"انبار قطعات و لوازم يدكي بشکه سازي اصفهان"</f>
        <v>انبار قطعات و لوازم يدكي بشکه سازي اصفهان</v>
      </c>
      <c r="E2930" s="1" t="str">
        <f>"4311700096"</f>
        <v>4311700096</v>
      </c>
      <c r="F2930" s="1" t="str">
        <f>"سمباده سنگ انگشتي"</f>
        <v>سمباده سنگ انگشتي</v>
      </c>
      <c r="G2930" s="1" t="str">
        <f>"عدد"</f>
        <v>عدد</v>
      </c>
      <c r="H2930" s="1">
        <v>0</v>
      </c>
      <c r="I2930" s="1">
        <v>0</v>
      </c>
      <c r="J2930" s="1">
        <v>208</v>
      </c>
      <c r="K2930" s="1">
        <v>10400000</v>
      </c>
      <c r="L2930" s="1">
        <v>3</v>
      </c>
      <c r="M2930" s="1">
        <v>150000</v>
      </c>
      <c r="O2930" s="1">
        <v>97</v>
      </c>
      <c r="P2930" s="4">
        <f t="shared" si="135"/>
        <v>10250000</v>
      </c>
      <c r="Q2930" s="4">
        <f t="shared" si="136"/>
        <v>205</v>
      </c>
      <c r="R2930" s="4">
        <f t="shared" si="137"/>
        <v>50000</v>
      </c>
    </row>
    <row r="2931" spans="1:18">
      <c r="A2931" s="1">
        <v>2</v>
      </c>
      <c r="B2931" s="1" t="str">
        <f>"قطعات و لوازم يدكي"</f>
        <v>قطعات و لوازم يدكي</v>
      </c>
      <c r="C2931" s="1">
        <v>120</v>
      </c>
      <c r="D2931" s="1" t="str">
        <f>"انبار قطعات و لوازم يدكي بشکه سازي اصفهان"</f>
        <v>انبار قطعات و لوازم يدكي بشکه سازي اصفهان</v>
      </c>
      <c r="E2931" s="1" t="str">
        <f>"4311700100"</f>
        <v>4311700100</v>
      </c>
      <c r="F2931" s="1" t="str">
        <f>"واشر سري گاز"</f>
        <v>واشر سري گاز</v>
      </c>
      <c r="G2931" s="1" t="str">
        <f>"عدد"</f>
        <v>عدد</v>
      </c>
      <c r="H2931" s="1">
        <v>0</v>
      </c>
      <c r="I2931" s="1">
        <v>0</v>
      </c>
      <c r="J2931" s="1">
        <v>17</v>
      </c>
      <c r="K2931" s="1">
        <v>51000</v>
      </c>
      <c r="L2931" s="1">
        <v>10</v>
      </c>
      <c r="M2931" s="1">
        <v>30000</v>
      </c>
      <c r="O2931" s="1">
        <v>97</v>
      </c>
      <c r="P2931" s="4">
        <f t="shared" si="135"/>
        <v>21000</v>
      </c>
      <c r="Q2931" s="4">
        <f t="shared" si="136"/>
        <v>7</v>
      </c>
      <c r="R2931" s="4">
        <f t="shared" si="137"/>
        <v>3000</v>
      </c>
    </row>
    <row r="2932" spans="1:18">
      <c r="A2932" s="1">
        <v>2</v>
      </c>
      <c r="B2932" s="1" t="str">
        <f>"قطعات و لوازم يدكي"</f>
        <v>قطعات و لوازم يدكي</v>
      </c>
      <c r="C2932" s="1">
        <v>120</v>
      </c>
      <c r="D2932" s="1" t="str">
        <f>"انبار قطعات و لوازم يدكي بشکه سازي اصفهان"</f>
        <v>انبار قطعات و لوازم يدكي بشکه سازي اصفهان</v>
      </c>
      <c r="E2932" s="1" t="str">
        <f>"4311700133"</f>
        <v>4311700133</v>
      </c>
      <c r="F2932" s="1" t="str">
        <f>"پيچ 10 * M 16"</f>
        <v>پيچ 10 * M 16</v>
      </c>
      <c r="G2932" s="1" t="str">
        <f>"عدد"</f>
        <v>عدد</v>
      </c>
      <c r="H2932" s="1">
        <v>0</v>
      </c>
      <c r="I2932" s="1">
        <v>0</v>
      </c>
      <c r="J2932" s="1">
        <v>4</v>
      </c>
      <c r="K2932" s="1">
        <v>10000</v>
      </c>
      <c r="L2932" s="1">
        <v>0</v>
      </c>
      <c r="M2932" s="1">
        <v>0</v>
      </c>
      <c r="O2932" s="1">
        <v>97</v>
      </c>
      <c r="P2932" s="4">
        <f t="shared" si="135"/>
        <v>10000</v>
      </c>
      <c r="Q2932" s="4">
        <f t="shared" si="136"/>
        <v>4</v>
      </c>
      <c r="R2932" s="4">
        <f t="shared" si="137"/>
        <v>2500</v>
      </c>
    </row>
    <row r="2933" spans="1:18">
      <c r="A2933" s="1">
        <v>2</v>
      </c>
      <c r="B2933" s="1" t="str">
        <f>"قطعات و لوازم يدكي"</f>
        <v>قطعات و لوازم يدكي</v>
      </c>
      <c r="C2933" s="1">
        <v>120</v>
      </c>
      <c r="D2933" s="1" t="str">
        <f>"انبار قطعات و لوازم يدكي بشکه سازي اصفهان"</f>
        <v>انبار قطعات و لوازم يدكي بشکه سازي اصفهان</v>
      </c>
      <c r="E2933" s="1" t="str">
        <f>"4311700134"</f>
        <v>4311700134</v>
      </c>
      <c r="F2933" s="1" t="str">
        <f>"پيچ 10 * M 24"</f>
        <v>پيچ 10 * M 24</v>
      </c>
      <c r="G2933" s="1" t="str">
        <f>"عدد"</f>
        <v>عدد</v>
      </c>
      <c r="H2933" s="1">
        <v>0</v>
      </c>
      <c r="I2933" s="1">
        <v>0</v>
      </c>
      <c r="J2933" s="1">
        <v>15</v>
      </c>
      <c r="K2933" s="1">
        <v>37500</v>
      </c>
      <c r="L2933" s="1">
        <v>0</v>
      </c>
      <c r="M2933" s="1">
        <v>0</v>
      </c>
      <c r="O2933" s="1">
        <v>97</v>
      </c>
      <c r="P2933" s="4">
        <f t="shared" si="135"/>
        <v>37500</v>
      </c>
      <c r="Q2933" s="4">
        <f t="shared" si="136"/>
        <v>15</v>
      </c>
      <c r="R2933" s="4">
        <f t="shared" si="137"/>
        <v>2500</v>
      </c>
    </row>
    <row r="2934" spans="1:18">
      <c r="A2934" s="1">
        <v>2</v>
      </c>
      <c r="B2934" s="1" t="str">
        <f>"قطعات و لوازم يدكي"</f>
        <v>قطعات و لوازم يدكي</v>
      </c>
      <c r="C2934" s="1">
        <v>120</v>
      </c>
      <c r="D2934" s="1" t="str">
        <f>"انبار قطعات و لوازم يدكي بشکه سازي اصفهان"</f>
        <v>انبار قطعات و لوازم يدكي بشکه سازي اصفهان</v>
      </c>
      <c r="E2934" s="1" t="str">
        <f>"4311700142"</f>
        <v>4311700142</v>
      </c>
      <c r="F2934" s="1" t="str">
        <f>"تسمه فلزي 2 ميل 800 * 3/5 M"</f>
        <v>تسمه فلزي 2 ميل 800 * 3/5 M</v>
      </c>
      <c r="G2934" s="1" t="str">
        <f>"عدد"</f>
        <v>عدد</v>
      </c>
      <c r="H2934" s="1">
        <v>0</v>
      </c>
      <c r="I2934" s="1">
        <v>0</v>
      </c>
      <c r="J2934" s="1">
        <v>1</v>
      </c>
      <c r="K2934" s="1">
        <v>685000</v>
      </c>
      <c r="L2934" s="1">
        <v>0</v>
      </c>
      <c r="M2934" s="1">
        <v>0</v>
      </c>
      <c r="O2934" s="1">
        <v>97</v>
      </c>
      <c r="P2934" s="4">
        <f t="shared" si="135"/>
        <v>685000</v>
      </c>
      <c r="Q2934" s="4">
        <f t="shared" si="136"/>
        <v>1</v>
      </c>
      <c r="R2934" s="4">
        <f t="shared" si="137"/>
        <v>685000</v>
      </c>
    </row>
    <row r="2935" spans="1:18">
      <c r="A2935" s="1">
        <v>2</v>
      </c>
      <c r="B2935" s="1" t="str">
        <f>"قطعات و لوازم يدكي"</f>
        <v>قطعات و لوازم يدكي</v>
      </c>
      <c r="C2935" s="1">
        <v>120</v>
      </c>
      <c r="D2935" s="1" t="str">
        <f>"انبار قطعات و لوازم يدكي بشکه سازي اصفهان"</f>
        <v>انبار قطعات و لوازم يدكي بشکه سازي اصفهان</v>
      </c>
      <c r="E2935" s="1" t="str">
        <f>"4311700143"</f>
        <v>4311700143</v>
      </c>
      <c r="F2935" s="1" t="str">
        <f>"پوشال کولر آبي"</f>
        <v>پوشال کولر آبي</v>
      </c>
      <c r="G2935" s="1" t="str">
        <f>"عدد"</f>
        <v>عدد</v>
      </c>
      <c r="H2935" s="1">
        <v>0</v>
      </c>
      <c r="I2935" s="1">
        <v>0</v>
      </c>
      <c r="J2935" s="1">
        <v>1</v>
      </c>
      <c r="K2935" s="1">
        <v>55000</v>
      </c>
      <c r="L2935" s="1">
        <v>0</v>
      </c>
      <c r="M2935" s="1">
        <v>0</v>
      </c>
      <c r="O2935" s="1">
        <v>97</v>
      </c>
      <c r="P2935" s="4">
        <f t="shared" si="135"/>
        <v>55000</v>
      </c>
      <c r="Q2935" s="4">
        <f t="shared" si="136"/>
        <v>1</v>
      </c>
      <c r="R2935" s="4">
        <f t="shared" si="137"/>
        <v>55000</v>
      </c>
    </row>
    <row r="2936" spans="1:18">
      <c r="A2936" s="1">
        <v>2</v>
      </c>
      <c r="B2936" s="1" t="str">
        <f>"قطعات و لوازم يدكي"</f>
        <v>قطعات و لوازم يدكي</v>
      </c>
      <c r="C2936" s="1">
        <v>120</v>
      </c>
      <c r="D2936" s="1" t="str">
        <f>"انبار قطعات و لوازم يدكي بشکه سازي اصفهان"</f>
        <v>انبار قطعات و لوازم يدكي بشکه سازي اصفهان</v>
      </c>
      <c r="E2936" s="1" t="str">
        <f>"4311700149"</f>
        <v>4311700149</v>
      </c>
      <c r="F2936" s="1" t="str">
        <f>"پيچ 4*M16"</f>
        <v>پيچ 4*M16</v>
      </c>
      <c r="G2936" s="1" t="str">
        <f>"عدد"</f>
        <v>عدد</v>
      </c>
      <c r="H2936" s="1">
        <v>0</v>
      </c>
      <c r="I2936" s="1">
        <v>0</v>
      </c>
      <c r="J2936" s="1">
        <v>10</v>
      </c>
      <c r="K2936" s="1">
        <v>25000</v>
      </c>
      <c r="L2936" s="1">
        <v>0</v>
      </c>
      <c r="M2936" s="1">
        <v>0</v>
      </c>
      <c r="O2936" s="1">
        <v>97</v>
      </c>
      <c r="P2936" s="4">
        <f t="shared" si="135"/>
        <v>25000</v>
      </c>
      <c r="Q2936" s="4">
        <f t="shared" si="136"/>
        <v>10</v>
      </c>
      <c r="R2936" s="4">
        <f t="shared" si="137"/>
        <v>2500</v>
      </c>
    </row>
    <row r="2937" spans="1:18">
      <c r="A2937" s="1">
        <v>2</v>
      </c>
      <c r="B2937" s="1" t="str">
        <f>"قطعات و لوازم يدكي"</f>
        <v>قطعات و لوازم يدكي</v>
      </c>
      <c r="C2937" s="1">
        <v>205</v>
      </c>
      <c r="D2937" s="1" t="str">
        <f>"انبار قطعات و لوازم يدكي بندرعباس"</f>
        <v>انبار قطعات و لوازم يدكي بندرعباس</v>
      </c>
      <c r="E2937" s="1" t="str">
        <f>"1800000604"</f>
        <v>1800000604</v>
      </c>
      <c r="F2937" s="1" t="str">
        <f>"گلند کيت 75"</f>
        <v>گلند کيت 75</v>
      </c>
      <c r="G2937" s="1" t="str">
        <f>"عدد"</f>
        <v>عدد</v>
      </c>
      <c r="H2937" s="1">
        <v>1</v>
      </c>
      <c r="I2937" s="1">
        <v>150000</v>
      </c>
      <c r="J2937" s="1">
        <v>0</v>
      </c>
      <c r="K2937" s="1">
        <v>0</v>
      </c>
      <c r="L2937" s="1">
        <v>0</v>
      </c>
      <c r="M2937" s="1">
        <v>0</v>
      </c>
      <c r="O2937" s="1">
        <v>97</v>
      </c>
      <c r="P2937" s="4">
        <f t="shared" si="135"/>
        <v>150000</v>
      </c>
      <c r="Q2937" s="4">
        <f t="shared" si="136"/>
        <v>1</v>
      </c>
      <c r="R2937" s="4">
        <f t="shared" si="137"/>
        <v>150000</v>
      </c>
    </row>
    <row r="2938" spans="1:18">
      <c r="A2938" s="1">
        <v>2</v>
      </c>
      <c r="B2938" s="1" t="str">
        <f>"قطعات و لوازم يدكي"</f>
        <v>قطعات و لوازم يدكي</v>
      </c>
      <c r="C2938" s="1">
        <v>205</v>
      </c>
      <c r="D2938" s="1" t="str">
        <f>"انبار قطعات و لوازم يدكي بندرعباس"</f>
        <v>انبار قطعات و لوازم يدكي بندرعباس</v>
      </c>
      <c r="E2938" s="1" t="str">
        <f>"1800000617"</f>
        <v>1800000617</v>
      </c>
      <c r="F2938" s="1" t="str">
        <f>"لامپ فلورسنت"</f>
        <v>لامپ فلورسنت</v>
      </c>
      <c r="G2938" s="1" t="str">
        <f>"عدد"</f>
        <v>عدد</v>
      </c>
      <c r="H2938" s="1">
        <v>7</v>
      </c>
      <c r="I2938" s="1">
        <v>280000</v>
      </c>
      <c r="J2938" s="1">
        <v>0</v>
      </c>
      <c r="K2938" s="1">
        <v>0</v>
      </c>
      <c r="L2938" s="1">
        <v>5</v>
      </c>
      <c r="M2938" s="1">
        <v>200000</v>
      </c>
      <c r="O2938" s="1">
        <v>97</v>
      </c>
      <c r="P2938" s="4">
        <f t="shared" si="135"/>
        <v>80000</v>
      </c>
      <c r="Q2938" s="4">
        <f t="shared" si="136"/>
        <v>2</v>
      </c>
      <c r="R2938" s="4">
        <f t="shared" si="137"/>
        <v>40000</v>
      </c>
    </row>
    <row r="2939" spans="1:18">
      <c r="A2939" s="1">
        <v>2</v>
      </c>
      <c r="B2939" s="1" t="str">
        <f>"قطعات و لوازم يدكي"</f>
        <v>قطعات و لوازم يدكي</v>
      </c>
      <c r="C2939" s="1">
        <v>205</v>
      </c>
      <c r="D2939" s="1" t="str">
        <f>"انبار قطعات و لوازم يدكي بندرعباس"</f>
        <v>انبار قطعات و لوازم يدكي بندرعباس</v>
      </c>
      <c r="E2939" s="1" t="str">
        <f>"1800000627"</f>
        <v>1800000627</v>
      </c>
      <c r="F2939" s="1" t="str">
        <f>"لوله 6"</f>
        <v>لوله 6</v>
      </c>
      <c r="G2939" s="1" t="str">
        <f>"متر"</f>
        <v>متر</v>
      </c>
      <c r="H2939" s="1">
        <v>13</v>
      </c>
      <c r="I2939" s="1">
        <v>11908000</v>
      </c>
      <c r="J2939" s="1">
        <v>0</v>
      </c>
      <c r="K2939" s="1">
        <v>0</v>
      </c>
      <c r="L2939" s="1">
        <v>0</v>
      </c>
      <c r="M2939" s="1">
        <v>0</v>
      </c>
      <c r="O2939" s="1">
        <v>97</v>
      </c>
      <c r="P2939" s="4">
        <f t="shared" si="135"/>
        <v>11908000</v>
      </c>
      <c r="Q2939" s="4">
        <f t="shared" si="136"/>
        <v>13</v>
      </c>
      <c r="R2939" s="4">
        <f t="shared" si="137"/>
        <v>916000</v>
      </c>
    </row>
    <row r="2940" spans="1:18">
      <c r="A2940" s="1">
        <v>2</v>
      </c>
      <c r="B2940" s="1" t="str">
        <f>"قطعات و لوازم يدكي"</f>
        <v>قطعات و لوازم يدكي</v>
      </c>
      <c r="C2940" s="1">
        <v>205</v>
      </c>
      <c r="D2940" s="1" t="str">
        <f>"انبار قطعات و لوازم يدكي بندرعباس"</f>
        <v>انبار قطعات و لوازم يدكي بندرعباس</v>
      </c>
      <c r="E2940" s="1" t="str">
        <f>"1800000635"</f>
        <v>1800000635</v>
      </c>
      <c r="F2940" s="1" t="str">
        <f>"لوله فلکسيبل 1/2"</f>
        <v>لوله فلکسيبل 1/2</v>
      </c>
      <c r="G2940" s="1" t="str">
        <f>"متر"</f>
        <v>متر</v>
      </c>
      <c r="H2940" s="1">
        <v>14</v>
      </c>
      <c r="I2940" s="1">
        <v>420000</v>
      </c>
      <c r="J2940" s="1">
        <v>0</v>
      </c>
      <c r="K2940" s="1">
        <v>0</v>
      </c>
      <c r="L2940" s="1">
        <v>0</v>
      </c>
      <c r="M2940" s="1">
        <v>0</v>
      </c>
      <c r="O2940" s="1">
        <v>97</v>
      </c>
      <c r="P2940" s="4">
        <f t="shared" si="135"/>
        <v>420000</v>
      </c>
      <c r="Q2940" s="4">
        <f t="shared" si="136"/>
        <v>14</v>
      </c>
      <c r="R2940" s="4">
        <f t="shared" si="137"/>
        <v>30000</v>
      </c>
    </row>
    <row r="2941" spans="1:18">
      <c r="A2941" s="1">
        <v>2</v>
      </c>
      <c r="B2941" s="1" t="str">
        <f>"قطعات و لوازم يدكي"</f>
        <v>قطعات و لوازم يدكي</v>
      </c>
      <c r="C2941" s="1">
        <v>205</v>
      </c>
      <c r="D2941" s="1" t="str">
        <f>"انبار قطعات و لوازم يدكي بندرعباس"</f>
        <v>انبار قطعات و لوازم يدكي بندرعباس</v>
      </c>
      <c r="E2941" s="1" t="str">
        <f>"1800000638"</f>
        <v>1800000638</v>
      </c>
      <c r="F2941" s="1" t="str">
        <f>"واشر فنري"</f>
        <v>واشر فنري</v>
      </c>
      <c r="G2941" s="1" t="str">
        <f>"عدد"</f>
        <v>عدد</v>
      </c>
      <c r="H2941" s="1">
        <v>16</v>
      </c>
      <c r="I2941" s="1">
        <v>3200</v>
      </c>
      <c r="J2941" s="1">
        <v>0</v>
      </c>
      <c r="K2941" s="1">
        <v>0</v>
      </c>
      <c r="L2941" s="1">
        <v>0</v>
      </c>
      <c r="M2941" s="1">
        <v>0</v>
      </c>
      <c r="O2941" s="1">
        <v>97</v>
      </c>
      <c r="P2941" s="4">
        <f t="shared" si="135"/>
        <v>3200</v>
      </c>
      <c r="Q2941" s="4">
        <f t="shared" si="136"/>
        <v>16</v>
      </c>
      <c r="R2941" s="4">
        <f t="shared" si="137"/>
        <v>200</v>
      </c>
    </row>
    <row r="2942" spans="1:18">
      <c r="A2942" s="1">
        <v>2</v>
      </c>
      <c r="B2942" s="1" t="str">
        <f>"قطعات و لوازم يدكي"</f>
        <v>قطعات و لوازم يدكي</v>
      </c>
      <c r="C2942" s="1">
        <v>205</v>
      </c>
      <c r="D2942" s="1" t="str">
        <f>"انبار قطعات و لوازم يدكي بندرعباس"</f>
        <v>انبار قطعات و لوازم يدكي بندرعباس</v>
      </c>
      <c r="E2942" s="1" t="str">
        <f>"1800000640"</f>
        <v>1800000640</v>
      </c>
      <c r="F2942" s="1" t="str">
        <f>"واشر اورينگ 18"</f>
        <v>واشر اورينگ 18</v>
      </c>
      <c r="G2942" s="1" t="str">
        <f>"عدد"</f>
        <v>عدد</v>
      </c>
      <c r="H2942" s="1">
        <v>2</v>
      </c>
      <c r="I2942" s="1">
        <v>2000</v>
      </c>
      <c r="J2942" s="1">
        <v>0</v>
      </c>
      <c r="K2942" s="1">
        <v>0</v>
      </c>
      <c r="L2942" s="1">
        <v>1</v>
      </c>
      <c r="M2942" s="1">
        <v>1000</v>
      </c>
      <c r="O2942" s="1">
        <v>97</v>
      </c>
      <c r="P2942" s="4">
        <f t="shared" si="135"/>
        <v>1000</v>
      </c>
      <c r="Q2942" s="4">
        <f t="shared" si="136"/>
        <v>1</v>
      </c>
      <c r="R2942" s="4">
        <f t="shared" si="137"/>
        <v>1000</v>
      </c>
    </row>
    <row r="2943" spans="1:18" hidden="1">
      <c r="A2943" s="1">
        <v>2</v>
      </c>
      <c r="B2943" s="1" t="str">
        <f>"قطعات و لوازم يدكي"</f>
        <v>قطعات و لوازم يدكي</v>
      </c>
      <c r="C2943" s="1">
        <v>205</v>
      </c>
      <c r="D2943" s="1" t="str">
        <f>"انبار قطعات و لوازم يدكي بندرعباس"</f>
        <v>انبار قطعات و لوازم يدكي بندرعباس</v>
      </c>
      <c r="E2943" s="1" t="str">
        <f>"1800000641"</f>
        <v>1800000641</v>
      </c>
      <c r="F2943" s="1" t="str">
        <f>"لوله فلکسيبل 13"</f>
        <v>لوله فلکسيبل 13</v>
      </c>
      <c r="G2943" s="1" t="str">
        <f>"متر"</f>
        <v>متر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O2943" s="1">
        <v>97</v>
      </c>
      <c r="P2943" s="1">
        <f t="shared" si="135"/>
        <v>0</v>
      </c>
      <c r="Q2943" s="1">
        <f t="shared" si="136"/>
        <v>0</v>
      </c>
      <c r="R2943" s="1" t="e">
        <f t="shared" si="137"/>
        <v>#DIV/0!</v>
      </c>
    </row>
    <row r="2944" spans="1:18">
      <c r="A2944" s="1">
        <v>2</v>
      </c>
      <c r="B2944" s="1" t="str">
        <f>"قطعات و لوازم يدكي"</f>
        <v>قطعات و لوازم يدكي</v>
      </c>
      <c r="C2944" s="1">
        <v>205</v>
      </c>
      <c r="D2944" s="1" t="str">
        <f>"انبار قطعات و لوازم يدكي بندرعباس"</f>
        <v>انبار قطعات و لوازم يدكي بندرعباس</v>
      </c>
      <c r="E2944" s="1" t="str">
        <f>"1800000644"</f>
        <v>1800000644</v>
      </c>
      <c r="F2944" s="1" t="str">
        <f>"لوله و اتصالات 3"</f>
        <v>لوله و اتصالات 3</v>
      </c>
      <c r="G2944" s="1" t="str">
        <f>"عدد"</f>
        <v>عدد</v>
      </c>
      <c r="H2944" s="1">
        <v>1</v>
      </c>
      <c r="I2944" s="1">
        <v>250000</v>
      </c>
      <c r="J2944" s="1">
        <v>0</v>
      </c>
      <c r="K2944" s="1">
        <v>0</v>
      </c>
      <c r="L2944" s="1">
        <v>0</v>
      </c>
      <c r="M2944" s="1">
        <v>0</v>
      </c>
      <c r="O2944" s="1">
        <v>97</v>
      </c>
      <c r="P2944" s="4">
        <f t="shared" si="135"/>
        <v>250000</v>
      </c>
      <c r="Q2944" s="4">
        <f t="shared" si="136"/>
        <v>1</v>
      </c>
      <c r="R2944" s="4">
        <f t="shared" si="137"/>
        <v>250000</v>
      </c>
    </row>
    <row r="2945" spans="1:18">
      <c r="A2945" s="1">
        <v>2</v>
      </c>
      <c r="B2945" s="1" t="str">
        <f>"قطعات و لوازم يدكي"</f>
        <v>قطعات و لوازم يدكي</v>
      </c>
      <c r="C2945" s="1">
        <v>205</v>
      </c>
      <c r="D2945" s="1" t="str">
        <f>"انبار قطعات و لوازم يدكي بندرعباس"</f>
        <v>انبار قطعات و لوازم يدكي بندرعباس</v>
      </c>
      <c r="E2945" s="1" t="str">
        <f>"1800000649"</f>
        <v>1800000649</v>
      </c>
      <c r="F2945" s="1" t="str">
        <f>"لوله واتصالات"</f>
        <v>لوله واتصالات</v>
      </c>
      <c r="G2945" s="1" t="str">
        <f>"عدد"</f>
        <v>عدد</v>
      </c>
      <c r="H2945" s="1">
        <v>1</v>
      </c>
      <c r="I2945" s="1">
        <v>60000</v>
      </c>
      <c r="J2945" s="1">
        <v>0</v>
      </c>
      <c r="K2945" s="1">
        <v>0</v>
      </c>
      <c r="L2945" s="1">
        <v>0</v>
      </c>
      <c r="M2945" s="1">
        <v>0</v>
      </c>
      <c r="O2945" s="1">
        <v>97</v>
      </c>
      <c r="P2945" s="4">
        <f t="shared" si="135"/>
        <v>60000</v>
      </c>
      <c r="Q2945" s="4">
        <f t="shared" si="136"/>
        <v>1</v>
      </c>
      <c r="R2945" s="4">
        <f t="shared" si="137"/>
        <v>60000</v>
      </c>
    </row>
    <row r="2946" spans="1:18">
      <c r="A2946" s="1">
        <v>2</v>
      </c>
      <c r="B2946" s="1" t="str">
        <f>"قطعات و لوازم يدكي"</f>
        <v>قطعات و لوازم يدكي</v>
      </c>
      <c r="C2946" s="1">
        <v>205</v>
      </c>
      <c r="D2946" s="1" t="str">
        <f>"انبار قطعات و لوازم يدكي بندرعباس"</f>
        <v>انبار قطعات و لوازم يدكي بندرعباس</v>
      </c>
      <c r="E2946" s="1" t="str">
        <f>"1800000650"</f>
        <v>1800000650</v>
      </c>
      <c r="F2946" s="1" t="str">
        <f>"لوله و اتصالات 6"</f>
        <v>لوله و اتصالات 6</v>
      </c>
      <c r="G2946" s="1" t="str">
        <f>"عدد"</f>
        <v>عدد</v>
      </c>
      <c r="H2946" s="1">
        <v>1</v>
      </c>
      <c r="I2946" s="1">
        <v>350000</v>
      </c>
      <c r="J2946" s="1">
        <v>0</v>
      </c>
      <c r="K2946" s="1">
        <v>0</v>
      </c>
      <c r="L2946" s="1">
        <v>0</v>
      </c>
      <c r="M2946" s="1">
        <v>0</v>
      </c>
      <c r="O2946" s="1">
        <v>97</v>
      </c>
      <c r="P2946" s="4">
        <f t="shared" si="135"/>
        <v>350000</v>
      </c>
      <c r="Q2946" s="4">
        <f t="shared" si="136"/>
        <v>1</v>
      </c>
      <c r="R2946" s="4">
        <f t="shared" si="137"/>
        <v>350000</v>
      </c>
    </row>
    <row r="2947" spans="1:18">
      <c r="A2947" s="1">
        <v>2</v>
      </c>
      <c r="B2947" s="1" t="str">
        <f>"قطعات و لوازم يدكي"</f>
        <v>قطعات و لوازم يدكي</v>
      </c>
      <c r="C2947" s="1">
        <v>205</v>
      </c>
      <c r="D2947" s="1" t="str">
        <f>"انبار قطعات و لوازم يدكي بندرعباس"</f>
        <v>انبار قطعات و لوازم يدكي بندرعباس</v>
      </c>
      <c r="E2947" s="1" t="str">
        <f>"1800000651"</f>
        <v>1800000651</v>
      </c>
      <c r="F2947" s="1" t="str">
        <f>"لوله و اتصالات (دوسر زانو-5m)"</f>
        <v>لوله و اتصالات (دوسر زانو-5m)</v>
      </c>
      <c r="G2947" s="1" t="str">
        <f>"عدد"</f>
        <v>عدد</v>
      </c>
      <c r="H2947" s="1">
        <v>1</v>
      </c>
      <c r="I2947" s="1">
        <v>800000</v>
      </c>
      <c r="J2947" s="1">
        <v>0</v>
      </c>
      <c r="K2947" s="1">
        <v>0</v>
      </c>
      <c r="L2947" s="1">
        <v>0</v>
      </c>
      <c r="M2947" s="1">
        <v>0</v>
      </c>
      <c r="O2947" s="1">
        <v>97</v>
      </c>
      <c r="P2947" s="4">
        <f t="shared" ref="P2947:P3010" si="138">I2947+K2947-M2947</f>
        <v>800000</v>
      </c>
      <c r="Q2947" s="4">
        <f t="shared" ref="Q2947:Q3010" si="139">H2947+J2947-L2947</f>
        <v>1</v>
      </c>
      <c r="R2947" s="4">
        <f t="shared" ref="R2947:R3010" si="140">P2947/Q2947</f>
        <v>800000</v>
      </c>
    </row>
    <row r="2948" spans="1:18">
      <c r="A2948" s="1">
        <v>2</v>
      </c>
      <c r="B2948" s="1" t="str">
        <f>"قطعات و لوازم يدكي"</f>
        <v>قطعات و لوازم يدكي</v>
      </c>
      <c r="C2948" s="1">
        <v>205</v>
      </c>
      <c r="D2948" s="1" t="str">
        <f>"انبار قطعات و لوازم يدكي بندرعباس"</f>
        <v>انبار قطعات و لوازم يدكي بندرعباس</v>
      </c>
      <c r="E2948" s="1" t="str">
        <f>"1800000655"</f>
        <v>1800000655</v>
      </c>
      <c r="F2948" s="1" t="str">
        <f>"لوله و اتصالات (دوسر زانو-30cm)"</f>
        <v>لوله و اتصالات (دوسر زانو-30cm)</v>
      </c>
      <c r="G2948" s="1" t="str">
        <f>"عدد"</f>
        <v>عدد</v>
      </c>
      <c r="H2948" s="1">
        <v>2</v>
      </c>
      <c r="I2948" s="1">
        <v>1000000</v>
      </c>
      <c r="J2948" s="1">
        <v>0</v>
      </c>
      <c r="K2948" s="1">
        <v>0</v>
      </c>
      <c r="L2948" s="1">
        <v>0</v>
      </c>
      <c r="M2948" s="1">
        <v>0</v>
      </c>
      <c r="O2948" s="1">
        <v>97</v>
      </c>
      <c r="P2948" s="4">
        <f t="shared" si="138"/>
        <v>1000000</v>
      </c>
      <c r="Q2948" s="4">
        <f t="shared" si="139"/>
        <v>2</v>
      </c>
      <c r="R2948" s="4">
        <f t="shared" si="140"/>
        <v>500000</v>
      </c>
    </row>
    <row r="2949" spans="1:18">
      <c r="A2949" s="1">
        <v>2</v>
      </c>
      <c r="B2949" s="1" t="str">
        <f>"قطعات و لوازم يدكي"</f>
        <v>قطعات و لوازم يدكي</v>
      </c>
      <c r="C2949" s="1">
        <v>205</v>
      </c>
      <c r="D2949" s="1" t="str">
        <f>"انبار قطعات و لوازم يدكي بندرعباس"</f>
        <v>انبار قطعات و لوازم يدكي بندرعباس</v>
      </c>
      <c r="E2949" s="1" t="str">
        <f>"1800000657"</f>
        <v>1800000657</v>
      </c>
      <c r="F2949" s="1" t="str">
        <f>"مغزي 4 اينچ"</f>
        <v>مغزي 4 اينچ</v>
      </c>
      <c r="G2949" s="1" t="str">
        <f>"عدد"</f>
        <v>عدد</v>
      </c>
      <c r="H2949" s="1">
        <v>3</v>
      </c>
      <c r="I2949" s="1">
        <v>450000</v>
      </c>
      <c r="J2949" s="1">
        <v>0</v>
      </c>
      <c r="K2949" s="1">
        <v>0</v>
      </c>
      <c r="L2949" s="1">
        <v>2</v>
      </c>
      <c r="M2949" s="1">
        <v>300000</v>
      </c>
      <c r="O2949" s="1">
        <v>97</v>
      </c>
      <c r="P2949" s="4">
        <f t="shared" si="138"/>
        <v>150000</v>
      </c>
      <c r="Q2949" s="4">
        <f t="shared" si="139"/>
        <v>1</v>
      </c>
      <c r="R2949" s="4">
        <f t="shared" si="140"/>
        <v>150000</v>
      </c>
    </row>
    <row r="2950" spans="1:18">
      <c r="A2950" s="1">
        <v>2</v>
      </c>
      <c r="B2950" s="1" t="str">
        <f>"قطعات و لوازم يدكي"</f>
        <v>قطعات و لوازم يدكي</v>
      </c>
      <c r="C2950" s="1">
        <v>205</v>
      </c>
      <c r="D2950" s="1" t="str">
        <f>"انبار قطعات و لوازم يدكي بندرعباس"</f>
        <v>انبار قطعات و لوازم يدكي بندرعباس</v>
      </c>
      <c r="E2950" s="1" t="str">
        <f>"1800000662"</f>
        <v>1800000662</v>
      </c>
      <c r="F2950" s="1" t="str">
        <f>"مغزي گالوانيزه 3/4"</f>
        <v>مغزي گالوانيزه 3/4</v>
      </c>
      <c r="G2950" s="1" t="str">
        <f>"عدد"</f>
        <v>عدد</v>
      </c>
      <c r="H2950" s="1">
        <v>6</v>
      </c>
      <c r="I2950" s="1">
        <v>360000</v>
      </c>
      <c r="J2950" s="1">
        <v>0</v>
      </c>
      <c r="K2950" s="1">
        <v>0</v>
      </c>
      <c r="L2950" s="1">
        <v>0</v>
      </c>
      <c r="M2950" s="1">
        <v>0</v>
      </c>
      <c r="O2950" s="1">
        <v>97</v>
      </c>
      <c r="P2950" s="4">
        <f t="shared" si="138"/>
        <v>360000</v>
      </c>
      <c r="Q2950" s="4">
        <f t="shared" si="139"/>
        <v>6</v>
      </c>
      <c r="R2950" s="4">
        <f t="shared" si="140"/>
        <v>60000</v>
      </c>
    </row>
    <row r="2951" spans="1:18">
      <c r="A2951" s="1">
        <v>2</v>
      </c>
      <c r="B2951" s="1" t="str">
        <f>"قطعات و لوازم يدكي"</f>
        <v>قطعات و لوازم يدكي</v>
      </c>
      <c r="C2951" s="1">
        <v>205</v>
      </c>
      <c r="D2951" s="1" t="str">
        <f>"انبار قطعات و لوازم يدكي بندرعباس"</f>
        <v>انبار قطعات و لوازم يدكي بندرعباس</v>
      </c>
      <c r="E2951" s="1" t="str">
        <f>"1800000673"</f>
        <v>1800000673</v>
      </c>
      <c r="F2951" s="1" t="str">
        <f>"مکانيکال سيل 164"</f>
        <v>مکانيکال سيل 164</v>
      </c>
      <c r="G2951" s="1" t="str">
        <f>"ST"</f>
        <v>ST</v>
      </c>
      <c r="H2951" s="1">
        <v>1</v>
      </c>
      <c r="I2951" s="1">
        <v>171416000</v>
      </c>
      <c r="J2951" s="1">
        <v>1</v>
      </c>
      <c r="K2951" s="1">
        <v>529065334</v>
      </c>
      <c r="L2951" s="1">
        <v>1</v>
      </c>
      <c r="M2951" s="1">
        <v>350240667</v>
      </c>
      <c r="O2951" s="1">
        <v>97</v>
      </c>
      <c r="P2951" s="4">
        <f t="shared" si="138"/>
        <v>350240667</v>
      </c>
      <c r="Q2951" s="4">
        <f t="shared" si="139"/>
        <v>1</v>
      </c>
      <c r="R2951" s="4">
        <f t="shared" si="140"/>
        <v>350240667</v>
      </c>
    </row>
    <row r="2952" spans="1:18">
      <c r="A2952" s="1">
        <v>2</v>
      </c>
      <c r="B2952" s="1" t="str">
        <f>"قطعات و لوازم يدكي"</f>
        <v>قطعات و لوازم يدكي</v>
      </c>
      <c r="C2952" s="1">
        <v>205</v>
      </c>
      <c r="D2952" s="1" t="str">
        <f>"انبار قطعات و لوازم يدكي بندرعباس"</f>
        <v>انبار قطعات و لوازم يدكي بندرعباس</v>
      </c>
      <c r="E2952" s="1" t="str">
        <f>"1800000685"</f>
        <v>1800000685</v>
      </c>
      <c r="F2952" s="1" t="str">
        <f>"وارنيش نسوز برق 4"</f>
        <v>وارنيش نسوز برق 4</v>
      </c>
      <c r="G2952" s="1" t="str">
        <f>"شاخه"</f>
        <v>شاخه</v>
      </c>
      <c r="H2952" s="1">
        <v>5</v>
      </c>
      <c r="I2952" s="1">
        <v>500000</v>
      </c>
      <c r="J2952" s="1">
        <v>0</v>
      </c>
      <c r="K2952" s="1">
        <v>0</v>
      </c>
      <c r="L2952" s="1">
        <v>2</v>
      </c>
      <c r="M2952" s="1">
        <v>200000</v>
      </c>
      <c r="O2952" s="1">
        <v>97</v>
      </c>
      <c r="P2952" s="4">
        <f t="shared" si="138"/>
        <v>300000</v>
      </c>
      <c r="Q2952" s="4">
        <f t="shared" si="139"/>
        <v>3</v>
      </c>
      <c r="R2952" s="4">
        <f t="shared" si="140"/>
        <v>100000</v>
      </c>
    </row>
    <row r="2953" spans="1:18">
      <c r="A2953" s="1">
        <v>2</v>
      </c>
      <c r="B2953" s="1" t="str">
        <f>"قطعات و لوازم يدكي"</f>
        <v>قطعات و لوازم يدكي</v>
      </c>
      <c r="C2953" s="1">
        <v>205</v>
      </c>
      <c r="D2953" s="1" t="str">
        <f>"انبار قطعات و لوازم يدكي بندرعباس"</f>
        <v>انبار قطعات و لوازم يدكي بندرعباس</v>
      </c>
      <c r="E2953" s="1" t="str">
        <f>"1800000686"</f>
        <v>1800000686</v>
      </c>
      <c r="F2953" s="1" t="str">
        <f>"وارنيش نسوز برق 10"</f>
        <v>وارنيش نسوز برق 10</v>
      </c>
      <c r="G2953" s="1" t="str">
        <f>"متر"</f>
        <v>متر</v>
      </c>
      <c r="H2953" s="1">
        <v>5</v>
      </c>
      <c r="I2953" s="1">
        <v>600000</v>
      </c>
      <c r="J2953" s="1">
        <v>0</v>
      </c>
      <c r="K2953" s="1">
        <v>0</v>
      </c>
      <c r="L2953" s="1">
        <v>0</v>
      </c>
      <c r="M2953" s="1">
        <v>0</v>
      </c>
      <c r="O2953" s="1">
        <v>97</v>
      </c>
      <c r="P2953" s="4">
        <f t="shared" si="138"/>
        <v>600000</v>
      </c>
      <c r="Q2953" s="4">
        <f t="shared" si="139"/>
        <v>5</v>
      </c>
      <c r="R2953" s="4">
        <f t="shared" si="140"/>
        <v>120000</v>
      </c>
    </row>
    <row r="2954" spans="1:18">
      <c r="A2954" s="1">
        <v>2</v>
      </c>
      <c r="B2954" s="1" t="str">
        <f>"قطعات و لوازم يدكي"</f>
        <v>قطعات و لوازم يدكي</v>
      </c>
      <c r="C2954" s="1">
        <v>205</v>
      </c>
      <c r="D2954" s="1" t="str">
        <f>"انبار قطعات و لوازم يدكي بندرعباس"</f>
        <v>انبار قطعات و لوازم يدكي بندرعباس</v>
      </c>
      <c r="E2954" s="1" t="str">
        <f>"1800000692"</f>
        <v>1800000692</v>
      </c>
      <c r="F2954" s="1" t="str">
        <f>"shaft collar -164"</f>
        <v>shaft collar -164</v>
      </c>
      <c r="G2954" s="1" t="str">
        <f>"عدد"</f>
        <v>عدد</v>
      </c>
      <c r="H2954" s="1">
        <v>2</v>
      </c>
      <c r="I2954" s="1">
        <v>129991160</v>
      </c>
      <c r="J2954" s="1">
        <v>0</v>
      </c>
      <c r="K2954" s="1">
        <v>0</v>
      </c>
      <c r="L2954" s="1">
        <v>0</v>
      </c>
      <c r="M2954" s="1">
        <v>0</v>
      </c>
      <c r="O2954" s="1">
        <v>97</v>
      </c>
      <c r="P2954" s="4">
        <f t="shared" si="138"/>
        <v>129991160</v>
      </c>
      <c r="Q2954" s="4">
        <f t="shared" si="139"/>
        <v>2</v>
      </c>
      <c r="R2954" s="4">
        <f t="shared" si="140"/>
        <v>64995580</v>
      </c>
    </row>
    <row r="2955" spans="1:18">
      <c r="A2955" s="1">
        <v>2</v>
      </c>
      <c r="B2955" s="1" t="str">
        <f>"قطعات و لوازم يدكي"</f>
        <v>قطعات و لوازم يدكي</v>
      </c>
      <c r="C2955" s="1">
        <v>205</v>
      </c>
      <c r="D2955" s="1" t="str">
        <f>"انبار قطعات و لوازم يدكي بندرعباس"</f>
        <v>انبار قطعات و لوازم يدكي بندرعباس</v>
      </c>
      <c r="E2955" s="1" t="str">
        <f>"1800000694"</f>
        <v>1800000694</v>
      </c>
      <c r="F2955" s="1" t="str">
        <f>"radial groove ball bearing-164"</f>
        <v>radial groove ball bearing-164</v>
      </c>
      <c r="G2955" s="1" t="str">
        <f>"عدد"</f>
        <v>عدد</v>
      </c>
      <c r="H2955" s="1">
        <v>2</v>
      </c>
      <c r="I2955" s="1">
        <v>86943240</v>
      </c>
      <c r="J2955" s="1">
        <v>0</v>
      </c>
      <c r="K2955" s="1">
        <v>0</v>
      </c>
      <c r="L2955" s="1">
        <v>0</v>
      </c>
      <c r="M2955" s="1">
        <v>0</v>
      </c>
      <c r="O2955" s="1">
        <v>97</v>
      </c>
      <c r="P2955" s="4">
        <f t="shared" si="138"/>
        <v>86943240</v>
      </c>
      <c r="Q2955" s="4">
        <f t="shared" si="139"/>
        <v>2</v>
      </c>
      <c r="R2955" s="4">
        <f t="shared" si="140"/>
        <v>43471620</v>
      </c>
    </row>
    <row r="2956" spans="1:18">
      <c r="A2956" s="1">
        <v>2</v>
      </c>
      <c r="B2956" s="1" t="str">
        <f>"قطعات و لوازم يدكي"</f>
        <v>قطعات و لوازم يدكي</v>
      </c>
      <c r="C2956" s="1">
        <v>205</v>
      </c>
      <c r="D2956" s="1" t="str">
        <f>"انبار قطعات و لوازم يدكي بندرعباس"</f>
        <v>انبار قطعات و لوازم يدكي بندرعباس</v>
      </c>
      <c r="E2956" s="1" t="str">
        <f>"1800000696"</f>
        <v>1800000696</v>
      </c>
      <c r="F2956" s="1" t="str">
        <f>"shaft collar-116"</f>
        <v>shaft collar-116</v>
      </c>
      <c r="G2956" s="1" t="str">
        <f>"عدد"</f>
        <v>عدد</v>
      </c>
      <c r="H2956" s="1">
        <v>3</v>
      </c>
      <c r="I2956" s="1">
        <v>127237110</v>
      </c>
      <c r="J2956" s="1">
        <v>0</v>
      </c>
      <c r="K2956" s="1">
        <v>0</v>
      </c>
      <c r="L2956" s="1">
        <v>0</v>
      </c>
      <c r="M2956" s="1">
        <v>0</v>
      </c>
      <c r="O2956" s="1">
        <v>97</v>
      </c>
      <c r="P2956" s="4">
        <f t="shared" si="138"/>
        <v>127237110</v>
      </c>
      <c r="Q2956" s="4">
        <f t="shared" si="139"/>
        <v>3</v>
      </c>
      <c r="R2956" s="4">
        <f t="shared" si="140"/>
        <v>42412370</v>
      </c>
    </row>
    <row r="2957" spans="1:18" hidden="1">
      <c r="A2957" s="1">
        <v>2</v>
      </c>
      <c r="B2957" s="1" t="str">
        <f>"قطعات و لوازم يدكي"</f>
        <v>قطعات و لوازم يدكي</v>
      </c>
      <c r="C2957" s="1">
        <v>205</v>
      </c>
      <c r="D2957" s="1" t="str">
        <f>"انبار قطعات و لوازم يدكي بندرعباس"</f>
        <v>انبار قطعات و لوازم يدكي بندرعباس</v>
      </c>
      <c r="E2957" s="1" t="str">
        <f>"1800000716"</f>
        <v>1800000716</v>
      </c>
      <c r="F2957" s="1" t="str">
        <f>"سه راهي 3 مانيسمان"</f>
        <v>سه راهي 3 مانيسمان</v>
      </c>
      <c r="G2957" s="1" t="str">
        <f>"عدد"</f>
        <v>عدد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O2957" s="1">
        <v>97</v>
      </c>
      <c r="P2957" s="1">
        <f t="shared" si="138"/>
        <v>0</v>
      </c>
      <c r="Q2957" s="1">
        <f t="shared" si="139"/>
        <v>0</v>
      </c>
      <c r="R2957" s="1" t="e">
        <f t="shared" si="140"/>
        <v>#DIV/0!</v>
      </c>
    </row>
    <row r="2958" spans="1:18">
      <c r="A2958" s="1">
        <v>2</v>
      </c>
      <c r="B2958" s="1" t="str">
        <f>"قطعات و لوازم يدكي"</f>
        <v>قطعات و لوازم يدكي</v>
      </c>
      <c r="C2958" s="1">
        <v>205</v>
      </c>
      <c r="D2958" s="1" t="str">
        <f>"انبار قطعات و لوازم يدكي بندرعباس"</f>
        <v>انبار قطعات و لوازم يدكي بندرعباس</v>
      </c>
      <c r="E2958" s="1" t="str">
        <f>"1800000718"</f>
        <v>1800000718</v>
      </c>
      <c r="F2958" s="1" t="str">
        <f>"کاسه نمد 80*100*10"</f>
        <v>کاسه نمد 80*100*10</v>
      </c>
      <c r="G2958" s="1" t="str">
        <f>"عدد"</f>
        <v>عدد</v>
      </c>
      <c r="H2958" s="1">
        <v>9</v>
      </c>
      <c r="I2958" s="1">
        <v>7200000</v>
      </c>
      <c r="J2958" s="1">
        <v>0</v>
      </c>
      <c r="K2958" s="1">
        <v>0</v>
      </c>
      <c r="L2958" s="1">
        <v>1</v>
      </c>
      <c r="M2958" s="1">
        <v>800000</v>
      </c>
      <c r="O2958" s="1">
        <v>97</v>
      </c>
      <c r="P2958" s="4">
        <f t="shared" si="138"/>
        <v>6400000</v>
      </c>
      <c r="Q2958" s="4">
        <f t="shared" si="139"/>
        <v>8</v>
      </c>
      <c r="R2958" s="4">
        <f t="shared" si="140"/>
        <v>800000</v>
      </c>
    </row>
    <row r="2959" spans="1:18" hidden="1">
      <c r="A2959" s="1">
        <v>2</v>
      </c>
      <c r="B2959" s="1" t="str">
        <f>"قطعات و لوازم يدكي"</f>
        <v>قطعات و لوازم يدكي</v>
      </c>
      <c r="C2959" s="1">
        <v>205</v>
      </c>
      <c r="D2959" s="1" t="str">
        <f>"انبار قطعات و لوازم يدكي بندرعباس"</f>
        <v>انبار قطعات و لوازم يدكي بندرعباس</v>
      </c>
      <c r="E2959" s="1" t="str">
        <f>"1800000727"</f>
        <v>1800000727</v>
      </c>
      <c r="F2959" s="1" t="str">
        <f>"مغزي 1"</f>
        <v>مغزي 1</v>
      </c>
      <c r="G2959" s="1" t="str">
        <f>"عدد"</f>
        <v>عدد</v>
      </c>
      <c r="H2959" s="1">
        <v>0</v>
      </c>
      <c r="I2959" s="1">
        <v>0</v>
      </c>
      <c r="J2959" s="1">
        <v>1</v>
      </c>
      <c r="K2959" s="1">
        <v>65000</v>
      </c>
      <c r="L2959" s="1">
        <v>1</v>
      </c>
      <c r="M2959" s="1">
        <v>65000</v>
      </c>
      <c r="O2959" s="1">
        <v>97</v>
      </c>
      <c r="P2959" s="1">
        <f t="shared" si="138"/>
        <v>0</v>
      </c>
      <c r="Q2959" s="1">
        <f t="shared" si="139"/>
        <v>0</v>
      </c>
      <c r="R2959" s="1" t="e">
        <f t="shared" si="140"/>
        <v>#DIV/0!</v>
      </c>
    </row>
    <row r="2960" spans="1:18">
      <c r="A2960" s="1">
        <v>2</v>
      </c>
      <c r="B2960" s="1" t="str">
        <f>"قطعات و لوازم يدكي"</f>
        <v>قطعات و لوازم يدكي</v>
      </c>
      <c r="C2960" s="1">
        <v>205</v>
      </c>
      <c r="D2960" s="1" t="str">
        <f>"انبار قطعات و لوازم يدكي بندرعباس"</f>
        <v>انبار قطعات و لوازم يدكي بندرعباس</v>
      </c>
      <c r="E2960" s="1" t="str">
        <f>"1800000729"</f>
        <v>1800000729</v>
      </c>
      <c r="F2960" s="1" t="str">
        <f>"فيوز گچي 25"</f>
        <v>فيوز گچي 25</v>
      </c>
      <c r="G2960" s="1" t="str">
        <f>"عدد"</f>
        <v>عدد</v>
      </c>
      <c r="H2960" s="1">
        <v>1</v>
      </c>
      <c r="I2960" s="1">
        <v>26250</v>
      </c>
      <c r="J2960" s="1">
        <v>0</v>
      </c>
      <c r="K2960" s="1">
        <v>0</v>
      </c>
      <c r="L2960" s="1">
        <v>0</v>
      </c>
      <c r="M2960" s="1">
        <v>0</v>
      </c>
      <c r="O2960" s="1">
        <v>97</v>
      </c>
      <c r="P2960" s="4">
        <f t="shared" si="138"/>
        <v>26250</v>
      </c>
      <c r="Q2960" s="4">
        <f t="shared" si="139"/>
        <v>1</v>
      </c>
      <c r="R2960" s="4">
        <f t="shared" si="140"/>
        <v>26250</v>
      </c>
    </row>
    <row r="2961" spans="1:18">
      <c r="A2961" s="1">
        <v>2</v>
      </c>
      <c r="B2961" s="1" t="str">
        <f>"قطعات و لوازم يدكي"</f>
        <v>قطعات و لوازم يدكي</v>
      </c>
      <c r="C2961" s="1">
        <v>205</v>
      </c>
      <c r="D2961" s="1" t="str">
        <f>"انبار قطعات و لوازم يدكي بندرعباس"</f>
        <v>انبار قطعات و لوازم يدكي بندرعباس</v>
      </c>
      <c r="E2961" s="1" t="str">
        <f>"1800000748"</f>
        <v>1800000748</v>
      </c>
      <c r="F2961" s="1" t="str">
        <f>"خار جمع کن 12"</f>
        <v>خار جمع کن 12</v>
      </c>
      <c r="G2961" s="1" t="str">
        <f>"عدد"</f>
        <v>عدد</v>
      </c>
      <c r="H2961" s="1">
        <v>0</v>
      </c>
      <c r="I2961" s="1">
        <v>0</v>
      </c>
      <c r="J2961" s="1">
        <v>1</v>
      </c>
      <c r="K2961" s="1">
        <v>850000</v>
      </c>
      <c r="L2961" s="1">
        <v>0</v>
      </c>
      <c r="M2961" s="1">
        <v>0</v>
      </c>
      <c r="O2961" s="1">
        <v>97</v>
      </c>
      <c r="P2961" s="4">
        <f t="shared" si="138"/>
        <v>850000</v>
      </c>
      <c r="Q2961" s="4">
        <f t="shared" si="139"/>
        <v>1</v>
      </c>
      <c r="R2961" s="4">
        <f t="shared" si="140"/>
        <v>850000</v>
      </c>
    </row>
    <row r="2962" spans="1:18">
      <c r="A2962" s="1">
        <v>2</v>
      </c>
      <c r="B2962" s="1" t="str">
        <f>"قطعات و لوازم يدكي"</f>
        <v>قطعات و لوازم يدكي</v>
      </c>
      <c r="C2962" s="1">
        <v>205</v>
      </c>
      <c r="D2962" s="1" t="str">
        <f>"انبار قطعات و لوازم يدكي بندرعباس"</f>
        <v>انبار قطعات و لوازم يدكي بندرعباس</v>
      </c>
      <c r="E2962" s="1" t="str">
        <f>"1800000749"</f>
        <v>1800000749</v>
      </c>
      <c r="F2962" s="1" t="str">
        <f>"زغال سنگ فرز"</f>
        <v>زغال سنگ فرز</v>
      </c>
      <c r="G2962" s="1" t="str">
        <f>"عدد"</f>
        <v>عدد</v>
      </c>
      <c r="H2962" s="1">
        <v>0</v>
      </c>
      <c r="I2962" s="1">
        <v>0</v>
      </c>
      <c r="J2962" s="1">
        <v>1</v>
      </c>
      <c r="K2962" s="1">
        <v>75000</v>
      </c>
      <c r="L2962" s="1">
        <v>0</v>
      </c>
      <c r="M2962" s="1">
        <v>0</v>
      </c>
      <c r="O2962" s="1">
        <v>97</v>
      </c>
      <c r="P2962" s="4">
        <f t="shared" si="138"/>
        <v>75000</v>
      </c>
      <c r="Q2962" s="4">
        <f t="shared" si="139"/>
        <v>1</v>
      </c>
      <c r="R2962" s="4">
        <f t="shared" si="140"/>
        <v>75000</v>
      </c>
    </row>
    <row r="2963" spans="1:18">
      <c r="A2963" s="1">
        <v>2</v>
      </c>
      <c r="B2963" s="1" t="str">
        <f>"قطعات و لوازم يدكي"</f>
        <v>قطعات و لوازم يدكي</v>
      </c>
      <c r="C2963" s="1">
        <v>205</v>
      </c>
      <c r="D2963" s="1" t="str">
        <f>"انبار قطعات و لوازم يدكي بندرعباس"</f>
        <v>انبار قطعات و لوازم يدكي بندرعباس</v>
      </c>
      <c r="E2963" s="1" t="str">
        <f>"1800000755"</f>
        <v>1800000755</v>
      </c>
      <c r="F2963" s="1" t="str">
        <f>"پيچ و رول پلاک 4"</f>
        <v>پيچ و رول پلاک 4</v>
      </c>
      <c r="G2963" s="1" t="str">
        <f>"بسته"</f>
        <v>بسته</v>
      </c>
      <c r="H2963" s="1">
        <v>0</v>
      </c>
      <c r="I2963" s="1">
        <v>0</v>
      </c>
      <c r="J2963" s="1">
        <v>1</v>
      </c>
      <c r="K2963" s="1">
        <v>180000</v>
      </c>
      <c r="L2963" s="1">
        <v>0</v>
      </c>
      <c r="M2963" s="1">
        <v>0</v>
      </c>
      <c r="O2963" s="1">
        <v>97</v>
      </c>
      <c r="P2963" s="4">
        <f t="shared" si="138"/>
        <v>180000</v>
      </c>
      <c r="Q2963" s="4">
        <f t="shared" si="139"/>
        <v>1</v>
      </c>
      <c r="R2963" s="4">
        <f t="shared" si="140"/>
        <v>180000</v>
      </c>
    </row>
    <row r="2964" spans="1:18">
      <c r="A2964" s="1">
        <v>2</v>
      </c>
      <c r="B2964" s="1" t="str">
        <f>"قطعات و لوازم يدكي"</f>
        <v>قطعات و لوازم يدكي</v>
      </c>
      <c r="C2964" s="1">
        <v>205</v>
      </c>
      <c r="D2964" s="1" t="str">
        <f>"انبار قطعات و لوازم يدكي بندرعباس"</f>
        <v>انبار قطعات و لوازم يدكي بندرعباس</v>
      </c>
      <c r="E2964" s="1" t="str">
        <f>"1800000757"</f>
        <v>1800000757</v>
      </c>
      <c r="F2964" s="1" t="str">
        <f>"استيل بر ميني"</f>
        <v>استيل بر ميني</v>
      </c>
      <c r="G2964" s="1" t="str">
        <f>"عدد"</f>
        <v>عدد</v>
      </c>
      <c r="H2964" s="1">
        <v>0</v>
      </c>
      <c r="I2964" s="1">
        <v>0</v>
      </c>
      <c r="J2964" s="1">
        <v>10</v>
      </c>
      <c r="K2964" s="1">
        <v>400000</v>
      </c>
      <c r="L2964" s="1">
        <v>5</v>
      </c>
      <c r="M2964" s="1">
        <v>200000</v>
      </c>
      <c r="O2964" s="1">
        <v>97</v>
      </c>
      <c r="P2964" s="4">
        <f t="shared" si="138"/>
        <v>200000</v>
      </c>
      <c r="Q2964" s="4">
        <f t="shared" si="139"/>
        <v>5</v>
      </c>
      <c r="R2964" s="4">
        <f t="shared" si="140"/>
        <v>40000</v>
      </c>
    </row>
    <row r="2965" spans="1:18">
      <c r="A2965" s="1">
        <v>2</v>
      </c>
      <c r="B2965" s="1" t="str">
        <f>"قطعات و لوازم يدكي"</f>
        <v>قطعات و لوازم يدكي</v>
      </c>
      <c r="C2965" s="1">
        <v>205</v>
      </c>
      <c r="D2965" s="1" t="str">
        <f>"انبار قطعات و لوازم يدكي بندرعباس"</f>
        <v>انبار قطعات و لوازم يدكي بندرعباس</v>
      </c>
      <c r="E2965" s="1" t="str">
        <f>"1800000760"</f>
        <v>1800000760</v>
      </c>
      <c r="F2965" s="1" t="str">
        <f>"رنگ آبي روغني"</f>
        <v>رنگ آبي روغني</v>
      </c>
      <c r="G2965" s="1" t="str">
        <f>"كيلوگرم"</f>
        <v>كيلوگرم</v>
      </c>
      <c r="H2965" s="1">
        <v>0</v>
      </c>
      <c r="I2965" s="1">
        <v>0</v>
      </c>
      <c r="J2965" s="1">
        <v>1</v>
      </c>
      <c r="K2965" s="1">
        <v>170000</v>
      </c>
      <c r="L2965" s="1">
        <v>0</v>
      </c>
      <c r="M2965" s="1">
        <v>0</v>
      </c>
      <c r="O2965" s="1">
        <v>97</v>
      </c>
      <c r="P2965" s="4">
        <f t="shared" si="138"/>
        <v>170000</v>
      </c>
      <c r="Q2965" s="4">
        <f t="shared" si="139"/>
        <v>1</v>
      </c>
      <c r="R2965" s="4">
        <f t="shared" si="140"/>
        <v>170000</v>
      </c>
    </row>
    <row r="2966" spans="1:18">
      <c r="A2966" s="1">
        <v>2</v>
      </c>
      <c r="B2966" s="1" t="str">
        <f>"قطعات و لوازم يدكي"</f>
        <v>قطعات و لوازم يدكي</v>
      </c>
      <c r="C2966" s="1">
        <v>205</v>
      </c>
      <c r="D2966" s="1" t="str">
        <f>"انبار قطعات و لوازم يدكي بندرعباس"</f>
        <v>انبار قطعات و لوازم يدكي بندرعباس</v>
      </c>
      <c r="E2966" s="1" t="str">
        <f>"1800000765"</f>
        <v>1800000765</v>
      </c>
      <c r="F2966" s="1" t="str">
        <f>"رله مشعل گازوئيل 701"</f>
        <v>رله مشعل گازوئيل 701</v>
      </c>
      <c r="G2966" s="1" t="str">
        <f>"عدد"</f>
        <v>عدد</v>
      </c>
      <c r="H2966" s="1">
        <v>0</v>
      </c>
      <c r="I2966" s="1">
        <v>0</v>
      </c>
      <c r="J2966" s="1">
        <v>5</v>
      </c>
      <c r="K2966" s="1">
        <v>390000</v>
      </c>
      <c r="L2966" s="1">
        <v>0</v>
      </c>
      <c r="M2966" s="1">
        <v>0</v>
      </c>
      <c r="O2966" s="1">
        <v>97</v>
      </c>
      <c r="P2966" s="4">
        <f t="shared" si="138"/>
        <v>390000</v>
      </c>
      <c r="Q2966" s="4">
        <f t="shared" si="139"/>
        <v>5</v>
      </c>
      <c r="R2966" s="4">
        <f t="shared" si="140"/>
        <v>78000</v>
      </c>
    </row>
    <row r="2967" spans="1:18">
      <c r="A2967" s="1">
        <v>2</v>
      </c>
      <c r="B2967" s="1" t="str">
        <f>"قطعات و لوازم يدكي"</f>
        <v>قطعات و لوازم يدكي</v>
      </c>
      <c r="C2967" s="1">
        <v>205</v>
      </c>
      <c r="D2967" s="1" t="str">
        <f>"انبار قطعات و لوازم يدكي بندرعباس"</f>
        <v>انبار قطعات و لوازم يدكي بندرعباس</v>
      </c>
      <c r="E2967" s="1" t="str">
        <f>"1800000785"</f>
        <v>1800000785</v>
      </c>
      <c r="F2967" s="1" t="str">
        <f>"گاز"</f>
        <v>گاز</v>
      </c>
      <c r="G2967" s="1" t="str">
        <f>"عدد"</f>
        <v>عدد</v>
      </c>
      <c r="H2967" s="1">
        <v>0</v>
      </c>
      <c r="I2967" s="1">
        <v>0</v>
      </c>
      <c r="J2967" s="1">
        <v>1</v>
      </c>
      <c r="K2967" s="1">
        <v>4600000</v>
      </c>
      <c r="L2967" s="1">
        <v>0</v>
      </c>
      <c r="M2967" s="1">
        <v>0</v>
      </c>
      <c r="O2967" s="1">
        <v>97</v>
      </c>
      <c r="P2967" s="4">
        <f t="shared" si="138"/>
        <v>4600000</v>
      </c>
      <c r="Q2967" s="4">
        <f t="shared" si="139"/>
        <v>1</v>
      </c>
      <c r="R2967" s="4">
        <f t="shared" si="140"/>
        <v>4600000</v>
      </c>
    </row>
    <row r="2968" spans="1:18" hidden="1">
      <c r="A2968" s="1">
        <v>2</v>
      </c>
      <c r="B2968" s="1" t="str">
        <f>"قطعات و لوازم يدكي"</f>
        <v>قطعات و لوازم يدكي</v>
      </c>
      <c r="C2968" s="1">
        <v>205</v>
      </c>
      <c r="D2968" s="1" t="str">
        <f>"انبار قطعات و لوازم يدكي بندرعباس"</f>
        <v>انبار قطعات و لوازم يدكي بندرعباس</v>
      </c>
      <c r="E2968" s="1" t="str">
        <f>"1800000790"</f>
        <v>1800000790</v>
      </c>
      <c r="F2968" s="1" t="str">
        <f>"پاک کننده قير"</f>
        <v>پاک کننده قير</v>
      </c>
      <c r="G2968" s="1" t="str">
        <f>"عدد"</f>
        <v>عدد</v>
      </c>
      <c r="H2968" s="1">
        <v>0</v>
      </c>
      <c r="I2968" s="1">
        <v>0</v>
      </c>
      <c r="J2968" s="1">
        <v>2</v>
      </c>
      <c r="K2968" s="1">
        <v>6000000</v>
      </c>
      <c r="L2968" s="1">
        <v>2</v>
      </c>
      <c r="M2968" s="1">
        <v>6000000</v>
      </c>
      <c r="O2968" s="1">
        <v>97</v>
      </c>
      <c r="P2968" s="1">
        <f t="shared" si="138"/>
        <v>0</v>
      </c>
      <c r="Q2968" s="1">
        <f t="shared" si="139"/>
        <v>0</v>
      </c>
      <c r="R2968" s="1" t="e">
        <f t="shared" si="140"/>
        <v>#DIV/0!</v>
      </c>
    </row>
    <row r="2969" spans="1:18">
      <c r="A2969" s="1">
        <v>2</v>
      </c>
      <c r="B2969" s="1" t="str">
        <f>"قطعات و لوازم يدكي"</f>
        <v>قطعات و لوازم يدكي</v>
      </c>
      <c r="C2969" s="1">
        <v>205</v>
      </c>
      <c r="D2969" s="1" t="str">
        <f>"انبار قطعات و لوازم يدكي بندرعباس"</f>
        <v>انبار قطعات و لوازم يدكي بندرعباس</v>
      </c>
      <c r="E2969" s="1" t="str">
        <f>"1800000806"</f>
        <v>1800000806</v>
      </c>
      <c r="F2969" s="1" t="str">
        <f>"ترمومتر ديجيتال ميکرو"</f>
        <v>ترمومتر ديجيتال ميکرو</v>
      </c>
      <c r="G2969" s="1" t="str">
        <f>"عدد"</f>
        <v>عدد</v>
      </c>
      <c r="H2969" s="1">
        <v>0</v>
      </c>
      <c r="I2969" s="1">
        <v>0</v>
      </c>
      <c r="J2969" s="1">
        <v>1</v>
      </c>
      <c r="K2969" s="1">
        <v>1200000</v>
      </c>
      <c r="L2969" s="1">
        <v>0</v>
      </c>
      <c r="M2969" s="1">
        <v>0</v>
      </c>
      <c r="O2969" s="1">
        <v>97</v>
      </c>
      <c r="P2969" s="4">
        <f t="shared" si="138"/>
        <v>1200000</v>
      </c>
      <c r="Q2969" s="4">
        <f t="shared" si="139"/>
        <v>1</v>
      </c>
      <c r="R2969" s="4">
        <f t="shared" si="140"/>
        <v>1200000</v>
      </c>
    </row>
    <row r="2970" spans="1:18" hidden="1">
      <c r="A2970" s="1">
        <v>2</v>
      </c>
      <c r="B2970" s="1" t="str">
        <f>"قطعات و لوازم يدكي"</f>
        <v>قطعات و لوازم يدكي</v>
      </c>
      <c r="C2970" s="1">
        <v>205</v>
      </c>
      <c r="D2970" s="1" t="str">
        <f>"انبار قطعات و لوازم يدكي بندرعباس"</f>
        <v>انبار قطعات و لوازم يدكي بندرعباس</v>
      </c>
      <c r="E2970" s="1" t="str">
        <f>"1800000809"</f>
        <v>1800000809</v>
      </c>
      <c r="F2970" s="1" t="str">
        <f>"لاستيک ضربه گير"</f>
        <v>لاستيک ضربه گير</v>
      </c>
      <c r="G2970" s="1" t="str">
        <f>"عدد"</f>
        <v>عدد</v>
      </c>
      <c r="H2970" s="1">
        <v>0</v>
      </c>
      <c r="I2970" s="1">
        <v>0</v>
      </c>
      <c r="J2970" s="1">
        <v>2</v>
      </c>
      <c r="K2970" s="1">
        <v>160000</v>
      </c>
      <c r="L2970" s="1">
        <v>2</v>
      </c>
      <c r="M2970" s="1">
        <v>160000</v>
      </c>
      <c r="O2970" s="1">
        <v>97</v>
      </c>
      <c r="P2970" s="1">
        <f t="shared" si="138"/>
        <v>0</v>
      </c>
      <c r="Q2970" s="1">
        <f t="shared" si="139"/>
        <v>0</v>
      </c>
      <c r="R2970" s="1" t="e">
        <f t="shared" si="140"/>
        <v>#DIV/0!</v>
      </c>
    </row>
    <row r="2971" spans="1:18" hidden="1">
      <c r="A2971" s="1">
        <v>2</v>
      </c>
      <c r="B2971" s="1" t="str">
        <f>"قطعات و لوازم يدكي"</f>
        <v>قطعات و لوازم يدكي</v>
      </c>
      <c r="C2971" s="1">
        <v>205</v>
      </c>
      <c r="D2971" s="1" t="str">
        <f>"انبار قطعات و لوازم يدكي بندرعباس"</f>
        <v>انبار قطعات و لوازم يدكي بندرعباس</v>
      </c>
      <c r="E2971" s="1" t="str">
        <f>"1800000811"</f>
        <v>1800000811</v>
      </c>
      <c r="F2971" s="1" t="str">
        <f>"اورينگ 6"</f>
        <v>اورينگ 6</v>
      </c>
      <c r="G2971" s="1" t="str">
        <f>"متر"</f>
        <v>متر</v>
      </c>
      <c r="H2971" s="1">
        <v>0</v>
      </c>
      <c r="I2971" s="1">
        <v>0</v>
      </c>
      <c r="J2971" s="1">
        <v>18</v>
      </c>
      <c r="K2971" s="1">
        <v>1130000</v>
      </c>
      <c r="L2971" s="1">
        <v>18</v>
      </c>
      <c r="M2971" s="1">
        <v>1130000</v>
      </c>
      <c r="O2971" s="1">
        <v>97</v>
      </c>
      <c r="P2971" s="1">
        <f t="shared" si="138"/>
        <v>0</v>
      </c>
      <c r="Q2971" s="1">
        <f t="shared" si="139"/>
        <v>0</v>
      </c>
      <c r="R2971" s="1" t="e">
        <f t="shared" si="140"/>
        <v>#DIV/0!</v>
      </c>
    </row>
    <row r="2972" spans="1:18" hidden="1">
      <c r="A2972" s="1">
        <v>2</v>
      </c>
      <c r="B2972" s="1" t="str">
        <f>"قطعات و لوازم يدكي"</f>
        <v>قطعات و لوازم يدكي</v>
      </c>
      <c r="C2972" s="1">
        <v>205</v>
      </c>
      <c r="D2972" s="1" t="str">
        <f>"انبار قطعات و لوازم يدكي بندرعباس"</f>
        <v>انبار قطعات و لوازم يدكي بندرعباس</v>
      </c>
      <c r="E2972" s="1" t="str">
        <f>"1800000816"</f>
        <v>1800000816</v>
      </c>
      <c r="F2972" s="1" t="str">
        <f>"کوپلينگ 3/4"</f>
        <v>کوپلينگ 3/4</v>
      </c>
      <c r="G2972" s="1" t="str">
        <f>"عدد"</f>
        <v>عدد</v>
      </c>
      <c r="H2972" s="1">
        <v>0</v>
      </c>
      <c r="I2972" s="1">
        <v>0</v>
      </c>
      <c r="J2972" s="1">
        <v>10</v>
      </c>
      <c r="K2972" s="1">
        <v>1500000</v>
      </c>
      <c r="L2972" s="1">
        <v>10</v>
      </c>
      <c r="M2972" s="1">
        <v>1500000</v>
      </c>
      <c r="O2972" s="1">
        <v>97</v>
      </c>
      <c r="P2972" s="1">
        <f t="shared" si="138"/>
        <v>0</v>
      </c>
      <c r="Q2972" s="1">
        <f t="shared" si="139"/>
        <v>0</v>
      </c>
      <c r="R2972" s="1" t="e">
        <f t="shared" si="140"/>
        <v>#DIV/0!</v>
      </c>
    </row>
    <row r="2973" spans="1:18">
      <c r="A2973" s="1">
        <v>2</v>
      </c>
      <c r="B2973" s="1" t="str">
        <f>"قطعات و لوازم يدكي"</f>
        <v>قطعات و لوازم يدكي</v>
      </c>
      <c r="C2973" s="1">
        <v>205</v>
      </c>
      <c r="D2973" s="1" t="str">
        <f>"انبار قطعات و لوازم يدكي بندرعباس"</f>
        <v>انبار قطعات و لوازم يدكي بندرعباس</v>
      </c>
      <c r="E2973" s="1" t="str">
        <f>"1800000823"</f>
        <v>1800000823</v>
      </c>
      <c r="F2973" s="1" t="str">
        <f>"پيچ و مهره خشکه 100*6"</f>
        <v>پيچ و مهره خشکه 100*6</v>
      </c>
      <c r="G2973" s="1" t="str">
        <f>"عدد"</f>
        <v>عدد</v>
      </c>
      <c r="H2973" s="1">
        <v>0</v>
      </c>
      <c r="I2973" s="1">
        <v>0</v>
      </c>
      <c r="J2973" s="1">
        <v>10</v>
      </c>
      <c r="K2973" s="1">
        <v>100000</v>
      </c>
      <c r="L2973" s="1">
        <v>8</v>
      </c>
      <c r="M2973" s="1">
        <v>80000</v>
      </c>
      <c r="O2973" s="1">
        <v>97</v>
      </c>
      <c r="P2973" s="4">
        <f t="shared" si="138"/>
        <v>20000</v>
      </c>
      <c r="Q2973" s="4">
        <f t="shared" si="139"/>
        <v>2</v>
      </c>
      <c r="R2973" s="4">
        <f t="shared" si="140"/>
        <v>10000</v>
      </c>
    </row>
    <row r="2974" spans="1:18">
      <c r="A2974" s="1">
        <v>2</v>
      </c>
      <c r="B2974" s="1" t="str">
        <f>"قطعات و لوازم يدكي"</f>
        <v>قطعات و لوازم يدكي</v>
      </c>
      <c r="C2974" s="1">
        <v>205</v>
      </c>
      <c r="D2974" s="1" t="str">
        <f>"انبار قطعات و لوازم يدكي بندرعباس"</f>
        <v>انبار قطعات و لوازم يدكي بندرعباس</v>
      </c>
      <c r="E2974" s="1" t="str">
        <f>"1800000889"</f>
        <v>1800000889</v>
      </c>
      <c r="F2974" s="1" t="s">
        <v>170</v>
      </c>
      <c r="G2974" s="1" t="str">
        <f>"ST"</f>
        <v>ST</v>
      </c>
      <c r="H2974" s="1">
        <v>0</v>
      </c>
      <c r="I2974" s="1">
        <v>0</v>
      </c>
      <c r="J2974" s="1">
        <v>2</v>
      </c>
      <c r="K2974" s="1">
        <v>1447680</v>
      </c>
      <c r="L2974" s="1">
        <v>0</v>
      </c>
      <c r="M2974" s="1">
        <v>0</v>
      </c>
      <c r="O2974" s="1">
        <v>97</v>
      </c>
      <c r="P2974" s="4">
        <f t="shared" si="138"/>
        <v>1447680</v>
      </c>
      <c r="Q2974" s="4">
        <f t="shared" si="139"/>
        <v>2</v>
      </c>
      <c r="R2974" s="4">
        <f t="shared" si="140"/>
        <v>723840</v>
      </c>
    </row>
    <row r="2975" spans="1:18">
      <c r="A2975" s="1">
        <v>2</v>
      </c>
      <c r="B2975" s="1" t="str">
        <f>"قطعات و لوازم يدكي"</f>
        <v>قطعات و لوازم يدكي</v>
      </c>
      <c r="C2975" s="1">
        <v>205</v>
      </c>
      <c r="D2975" s="1" t="str">
        <f>"انبار قطعات و لوازم يدكي بندرعباس"</f>
        <v>انبار قطعات و لوازم يدكي بندرعباس</v>
      </c>
      <c r="E2975" s="1" t="str">
        <f>"1800000891"</f>
        <v>1800000891</v>
      </c>
      <c r="F2975" s="1" t="s">
        <v>171</v>
      </c>
      <c r="G2975" s="1" t="str">
        <f>"ST"</f>
        <v>ST</v>
      </c>
      <c r="H2975" s="1">
        <v>0</v>
      </c>
      <c r="I2975" s="1">
        <v>0</v>
      </c>
      <c r="J2975" s="1">
        <v>3</v>
      </c>
      <c r="K2975" s="1">
        <v>4009200</v>
      </c>
      <c r="L2975" s="1">
        <v>0</v>
      </c>
      <c r="M2975" s="1">
        <v>0</v>
      </c>
      <c r="O2975" s="1">
        <v>97</v>
      </c>
      <c r="P2975" s="4">
        <f t="shared" si="138"/>
        <v>4009200</v>
      </c>
      <c r="Q2975" s="4">
        <f t="shared" si="139"/>
        <v>3</v>
      </c>
      <c r="R2975" s="4">
        <f t="shared" si="140"/>
        <v>1336400</v>
      </c>
    </row>
    <row r="2976" spans="1:18">
      <c r="A2976" s="1">
        <v>2</v>
      </c>
      <c r="B2976" s="1" t="str">
        <f>"قطعات و لوازم يدكي"</f>
        <v>قطعات و لوازم يدكي</v>
      </c>
      <c r="C2976" s="1">
        <v>205</v>
      </c>
      <c r="D2976" s="1" t="str">
        <f>"انبار قطعات و لوازم يدكي بندرعباس"</f>
        <v>انبار قطعات و لوازم يدكي بندرعباس</v>
      </c>
      <c r="E2976" s="1" t="str">
        <f>"1800000893"</f>
        <v>1800000893</v>
      </c>
      <c r="F2976" s="1" t="s">
        <v>172</v>
      </c>
      <c r="G2976" s="1" t="str">
        <f>"ST"</f>
        <v>ST</v>
      </c>
      <c r="H2976" s="1">
        <v>0</v>
      </c>
      <c r="I2976" s="1">
        <v>0</v>
      </c>
      <c r="J2976" s="1">
        <v>2</v>
      </c>
      <c r="K2976" s="1">
        <v>5803200</v>
      </c>
      <c r="L2976" s="1">
        <v>0</v>
      </c>
      <c r="M2976" s="1">
        <v>0</v>
      </c>
      <c r="O2976" s="1">
        <v>97</v>
      </c>
      <c r="P2976" s="4">
        <f t="shared" si="138"/>
        <v>5803200</v>
      </c>
      <c r="Q2976" s="4">
        <f t="shared" si="139"/>
        <v>2</v>
      </c>
      <c r="R2976" s="4">
        <f t="shared" si="140"/>
        <v>2901600</v>
      </c>
    </row>
    <row r="2977" spans="1:18">
      <c r="A2977" s="1">
        <v>2</v>
      </c>
      <c r="B2977" s="1" t="str">
        <f>"قطعات و لوازم يدكي"</f>
        <v>قطعات و لوازم يدكي</v>
      </c>
      <c r="C2977" s="1">
        <v>205</v>
      </c>
      <c r="D2977" s="1" t="str">
        <f>"انبار قطعات و لوازم يدكي بندرعباس"</f>
        <v>انبار قطعات و لوازم يدكي بندرعباس</v>
      </c>
      <c r="E2977" s="1" t="str">
        <f>"1800000900"</f>
        <v>1800000900</v>
      </c>
      <c r="F2977" s="1" t="s">
        <v>173</v>
      </c>
      <c r="G2977" s="1" t="str">
        <f>"ST"</f>
        <v>ST</v>
      </c>
      <c r="H2977" s="1">
        <v>0</v>
      </c>
      <c r="I2977" s="1">
        <v>0</v>
      </c>
      <c r="J2977" s="1">
        <v>4</v>
      </c>
      <c r="K2977" s="1">
        <v>32518944</v>
      </c>
      <c r="L2977" s="1">
        <v>0</v>
      </c>
      <c r="M2977" s="1">
        <v>0</v>
      </c>
      <c r="O2977" s="1">
        <v>97</v>
      </c>
      <c r="P2977" s="4">
        <f t="shared" si="138"/>
        <v>32518944</v>
      </c>
      <c r="Q2977" s="4">
        <f t="shared" si="139"/>
        <v>4</v>
      </c>
      <c r="R2977" s="4">
        <f t="shared" si="140"/>
        <v>8129736</v>
      </c>
    </row>
    <row r="2978" spans="1:18" hidden="1">
      <c r="A2978" s="1">
        <v>2</v>
      </c>
      <c r="B2978" s="1" t="str">
        <f>"قطعات و لوازم يدكي"</f>
        <v>قطعات و لوازم يدكي</v>
      </c>
      <c r="C2978" s="1">
        <v>205</v>
      </c>
      <c r="D2978" s="1" t="str">
        <f>"انبار قطعات و لوازم يدكي بندرعباس"</f>
        <v>انبار قطعات و لوازم يدكي بندرعباس</v>
      </c>
      <c r="E2978" s="1" t="str">
        <f>"1800000930"</f>
        <v>1800000930</v>
      </c>
      <c r="F2978" s="1" t="str">
        <f>"فيس شيلد"</f>
        <v>فيس شيلد</v>
      </c>
      <c r="G2978" s="1" t="str">
        <f>"عدد"</f>
        <v>عدد</v>
      </c>
      <c r="H2978" s="1">
        <v>0</v>
      </c>
      <c r="I2978" s="1">
        <v>0</v>
      </c>
      <c r="J2978" s="1">
        <v>8</v>
      </c>
      <c r="K2978" s="1">
        <v>2400000</v>
      </c>
      <c r="L2978" s="1">
        <v>8</v>
      </c>
      <c r="M2978" s="1">
        <v>2400000</v>
      </c>
      <c r="O2978" s="1">
        <v>97</v>
      </c>
      <c r="P2978" s="1">
        <f t="shared" si="138"/>
        <v>0</v>
      </c>
      <c r="Q2978" s="1">
        <f t="shared" si="139"/>
        <v>0</v>
      </c>
      <c r="R2978" s="1" t="e">
        <f t="shared" si="140"/>
        <v>#DIV/0!</v>
      </c>
    </row>
    <row r="2979" spans="1:18" hidden="1">
      <c r="A2979" s="1">
        <v>2</v>
      </c>
      <c r="B2979" s="1" t="str">
        <f>"قطعات و لوازم يدكي"</f>
        <v>قطعات و لوازم يدكي</v>
      </c>
      <c r="C2979" s="1">
        <v>205</v>
      </c>
      <c r="D2979" s="1" t="str">
        <f>"انبار قطعات و لوازم يدكي بندرعباس"</f>
        <v>انبار قطعات و لوازم يدكي بندرعباس</v>
      </c>
      <c r="E2979" s="1" t="str">
        <f>"1800000990"</f>
        <v>1800000990</v>
      </c>
      <c r="F2979" s="1" t="str">
        <f>"زانو 90 درجه"</f>
        <v>زانو 90 درجه</v>
      </c>
      <c r="G2979" s="1" t="str">
        <f>"عدد"</f>
        <v>عدد</v>
      </c>
      <c r="H2979" s="1">
        <v>0</v>
      </c>
      <c r="I2979" s="1">
        <v>0</v>
      </c>
      <c r="J2979" s="1">
        <v>6</v>
      </c>
      <c r="K2979" s="1">
        <v>96000</v>
      </c>
      <c r="L2979" s="1">
        <v>6</v>
      </c>
      <c r="M2979" s="1">
        <v>96000</v>
      </c>
      <c r="O2979" s="1">
        <v>97</v>
      </c>
      <c r="P2979" s="1">
        <f t="shared" si="138"/>
        <v>0</v>
      </c>
      <c r="Q2979" s="1">
        <f t="shared" si="139"/>
        <v>0</v>
      </c>
      <c r="R2979" s="1" t="e">
        <f t="shared" si="140"/>
        <v>#DIV/0!</v>
      </c>
    </row>
    <row r="2980" spans="1:18">
      <c r="A2980" s="1">
        <v>2</v>
      </c>
      <c r="B2980" s="1" t="str">
        <f>"قطعات و لوازم يدكي"</f>
        <v>قطعات و لوازم يدكي</v>
      </c>
      <c r="C2980" s="1">
        <v>205</v>
      </c>
      <c r="D2980" s="1" t="str">
        <f>"انبار قطعات و لوازم يدكي بندرعباس"</f>
        <v>انبار قطعات و لوازم يدكي بندرعباس</v>
      </c>
      <c r="E2980" s="1" t="str">
        <f>"1800000993"</f>
        <v>1800000993</v>
      </c>
      <c r="F2980" s="1" t="str">
        <f>"فشارسنج 0تا 10 بار"</f>
        <v>فشارسنج 0تا 10 بار</v>
      </c>
      <c r="G2980" s="1" t="str">
        <f>"دستگاه"</f>
        <v>دستگاه</v>
      </c>
      <c r="H2980" s="1">
        <v>0</v>
      </c>
      <c r="I2980" s="1">
        <v>0</v>
      </c>
      <c r="J2980" s="1">
        <v>2</v>
      </c>
      <c r="K2980" s="1">
        <v>15800000</v>
      </c>
      <c r="L2980" s="1">
        <v>0</v>
      </c>
      <c r="M2980" s="1">
        <v>0</v>
      </c>
      <c r="O2980" s="1">
        <v>97</v>
      </c>
      <c r="P2980" s="4">
        <f t="shared" si="138"/>
        <v>15800000</v>
      </c>
      <c r="Q2980" s="4">
        <f t="shared" si="139"/>
        <v>2</v>
      </c>
      <c r="R2980" s="4">
        <f t="shared" si="140"/>
        <v>7900000</v>
      </c>
    </row>
    <row r="2981" spans="1:18">
      <c r="A2981" s="1">
        <v>2</v>
      </c>
      <c r="B2981" s="1" t="str">
        <f>"قطعات و لوازم يدكي"</f>
        <v>قطعات و لوازم يدكي</v>
      </c>
      <c r="C2981" s="1">
        <v>205</v>
      </c>
      <c r="D2981" s="1" t="str">
        <f>"انبار قطعات و لوازم يدكي بندرعباس"</f>
        <v>انبار قطعات و لوازم يدكي بندرعباس</v>
      </c>
      <c r="E2981" s="1" t="str">
        <f>"1800000994"</f>
        <v>1800000994</v>
      </c>
      <c r="F2981" s="1" t="str">
        <f>"فشارسنج 1- تا 5 بار"</f>
        <v>فشارسنج 1- تا 5 بار</v>
      </c>
      <c r="G2981" s="1" t="str">
        <f>"دستگاه"</f>
        <v>دستگاه</v>
      </c>
      <c r="H2981" s="1">
        <v>0</v>
      </c>
      <c r="I2981" s="1">
        <v>0</v>
      </c>
      <c r="J2981" s="1">
        <v>2</v>
      </c>
      <c r="K2981" s="1">
        <v>15800000</v>
      </c>
      <c r="L2981" s="1">
        <v>0</v>
      </c>
      <c r="M2981" s="1">
        <v>0</v>
      </c>
      <c r="O2981" s="1">
        <v>97</v>
      </c>
      <c r="P2981" s="4">
        <f t="shared" si="138"/>
        <v>15800000</v>
      </c>
      <c r="Q2981" s="4">
        <f t="shared" si="139"/>
        <v>2</v>
      </c>
      <c r="R2981" s="4">
        <f t="shared" si="140"/>
        <v>7900000</v>
      </c>
    </row>
    <row r="2982" spans="1:18" hidden="1">
      <c r="A2982" s="1">
        <v>3</v>
      </c>
      <c r="B2982" s="1" t="str">
        <f>"انواع ورق"</f>
        <v>انواع ورق</v>
      </c>
      <c r="C2982" s="1">
        <v>102</v>
      </c>
      <c r="D2982" s="1" t="str">
        <f>"انبار ورق اصفهان"</f>
        <v>انبار ورق اصفهان</v>
      </c>
      <c r="E2982" s="1" t="str">
        <f>"7801101015"</f>
        <v>7801101015</v>
      </c>
      <c r="F2982" s="1" t="str">
        <f>"ورق بشكه 1140*6/"</f>
        <v>ورق بشكه 1140*6/</v>
      </c>
      <c r="G2982" s="1" t="str">
        <f>"كيلوگرم"</f>
        <v>كيلوگرم</v>
      </c>
      <c r="H2982" s="1">
        <v>1463060</v>
      </c>
      <c r="I2982" s="1">
        <v>42441827162</v>
      </c>
      <c r="J2982" s="1">
        <v>1629920</v>
      </c>
      <c r="K2982" s="1">
        <v>48587278572</v>
      </c>
      <c r="L2982" s="1">
        <v>2572930</v>
      </c>
      <c r="M2982" s="1">
        <v>75624534607</v>
      </c>
      <c r="O2982" s="1">
        <v>97</v>
      </c>
      <c r="P2982" s="1">
        <f t="shared" si="138"/>
        <v>15404571127</v>
      </c>
      <c r="Q2982" s="1">
        <f t="shared" si="139"/>
        <v>520050</v>
      </c>
      <c r="R2982" s="1">
        <f t="shared" si="140"/>
        <v>29621.327039707721</v>
      </c>
    </row>
    <row r="2983" spans="1:18" hidden="1">
      <c r="A2983" s="1">
        <v>5</v>
      </c>
      <c r="B2983" s="1" t="str">
        <f>"مواداوليه (وکيوم باتوم)"</f>
        <v>مواداوليه (وکيوم باتوم)</v>
      </c>
      <c r="C2983" s="1">
        <v>107</v>
      </c>
      <c r="D2983" s="1" t="str">
        <f>"انبار مواد اوليه بندرعباس"</f>
        <v>انبار مواد اوليه بندرعباس</v>
      </c>
      <c r="E2983" s="1" t="str">
        <f>"1000000026"</f>
        <v>1000000026</v>
      </c>
      <c r="F2983" s="1" t="str">
        <f>"سلابس واكس"</f>
        <v>سلابس واكس</v>
      </c>
      <c r="G2983" s="1" t="str">
        <f>"كيلوگرم"</f>
        <v>كيلوگرم</v>
      </c>
      <c r="H2983" s="1">
        <v>0</v>
      </c>
      <c r="I2983" s="1">
        <v>0</v>
      </c>
      <c r="J2983" s="1">
        <v>2650260</v>
      </c>
      <c r="K2983" s="1">
        <v>50612255780</v>
      </c>
      <c r="L2983" s="1">
        <v>2650260</v>
      </c>
      <c r="M2983" s="1">
        <v>50612255780</v>
      </c>
      <c r="O2983" s="1">
        <v>97</v>
      </c>
      <c r="P2983" s="1">
        <f t="shared" si="138"/>
        <v>0</v>
      </c>
      <c r="Q2983" s="1">
        <f t="shared" si="139"/>
        <v>0</v>
      </c>
      <c r="R2983" s="1" t="e">
        <f t="shared" si="140"/>
        <v>#DIV/0!</v>
      </c>
    </row>
    <row r="2984" spans="1:18" hidden="1">
      <c r="A2984" s="1">
        <v>6</v>
      </c>
      <c r="B2984" s="1" t="str">
        <f>"موجودي ملزومات اداري"</f>
        <v>موجودي ملزومات اداري</v>
      </c>
      <c r="C2984" s="1">
        <v>110</v>
      </c>
      <c r="D2984" s="1" t="str">
        <f>"ملزومات اداري اصفهان"</f>
        <v>ملزومات اداري اصفهان</v>
      </c>
      <c r="E2984" s="1" t="str">
        <f>"0000011372"</f>
        <v>0000011372</v>
      </c>
      <c r="F2984" s="1" t="str">
        <f>"كاغذ A4  بسته500 برگي"</f>
        <v>كاغذ A4  بسته500 برگي</v>
      </c>
      <c r="G2984" s="1" t="str">
        <f>"عدد"</f>
        <v>عدد</v>
      </c>
      <c r="H2984" s="1">
        <v>19</v>
      </c>
      <c r="I2984" s="1">
        <v>2793000</v>
      </c>
      <c r="J2984" s="1">
        <v>300</v>
      </c>
      <c r="K2984" s="1">
        <v>70950000</v>
      </c>
      <c r="L2984" s="1">
        <v>319</v>
      </c>
      <c r="M2984" s="1">
        <v>73743000</v>
      </c>
      <c r="O2984" s="1">
        <v>97</v>
      </c>
      <c r="P2984" s="1">
        <f t="shared" si="138"/>
        <v>0</v>
      </c>
      <c r="Q2984" s="1">
        <f t="shared" si="139"/>
        <v>0</v>
      </c>
      <c r="R2984" s="1" t="e">
        <f t="shared" si="140"/>
        <v>#DIV/0!</v>
      </c>
    </row>
    <row r="2985" spans="1:18">
      <c r="A2985" s="1">
        <v>6</v>
      </c>
      <c r="B2985" s="1" t="str">
        <f>"موجودي ملزومات اداري"</f>
        <v>موجودي ملزومات اداري</v>
      </c>
      <c r="C2985" s="1">
        <v>110</v>
      </c>
      <c r="D2985" s="1" t="str">
        <f>"ملزومات اداري اصفهان"</f>
        <v>ملزومات اداري اصفهان</v>
      </c>
      <c r="E2985" s="1" t="str">
        <f>"0000011472"</f>
        <v>0000011472</v>
      </c>
      <c r="F2985" s="1" t="str">
        <f>"نوار چسب شيشه اي"</f>
        <v>نوار چسب شيشه اي</v>
      </c>
      <c r="G2985" s="1" t="str">
        <f>"عدد"</f>
        <v>عدد</v>
      </c>
      <c r="H2985" s="1">
        <v>206</v>
      </c>
      <c r="I2985" s="1">
        <v>1030000</v>
      </c>
      <c r="J2985" s="1">
        <v>100</v>
      </c>
      <c r="K2985" s="1">
        <v>700000</v>
      </c>
      <c r="L2985" s="1">
        <v>279</v>
      </c>
      <c r="M2985" s="1">
        <v>1572869</v>
      </c>
      <c r="O2985" s="1">
        <v>97</v>
      </c>
      <c r="P2985" s="4">
        <f t="shared" si="138"/>
        <v>157131</v>
      </c>
      <c r="Q2985" s="4">
        <f t="shared" si="139"/>
        <v>27</v>
      </c>
      <c r="R2985" s="4">
        <f t="shared" si="140"/>
        <v>5819.666666666667</v>
      </c>
    </row>
    <row r="2986" spans="1:18">
      <c r="A2986" s="1">
        <v>6</v>
      </c>
      <c r="B2986" s="1" t="str">
        <f>"موجودي ملزومات اداري"</f>
        <v>موجودي ملزومات اداري</v>
      </c>
      <c r="C2986" s="1">
        <v>110</v>
      </c>
      <c r="D2986" s="1" t="str">
        <f>"ملزومات اداري اصفهان"</f>
        <v>ملزومات اداري اصفهان</v>
      </c>
      <c r="E2986" s="1" t="str">
        <f>"0000011512"</f>
        <v>0000011512</v>
      </c>
      <c r="F2986" s="1" t="str">
        <f>"چسب مايع"</f>
        <v>چسب مايع</v>
      </c>
      <c r="G2986" s="1" t="str">
        <f>"عدد"</f>
        <v>عدد</v>
      </c>
      <c r="H2986" s="1">
        <v>6</v>
      </c>
      <c r="I2986" s="1">
        <v>126000</v>
      </c>
      <c r="J2986" s="1">
        <v>0</v>
      </c>
      <c r="K2986" s="1">
        <v>0</v>
      </c>
      <c r="L2986" s="1">
        <v>1</v>
      </c>
      <c r="M2986" s="1">
        <v>21000</v>
      </c>
      <c r="O2986" s="1">
        <v>97</v>
      </c>
      <c r="P2986" s="4">
        <f t="shared" si="138"/>
        <v>105000</v>
      </c>
      <c r="Q2986" s="4">
        <f t="shared" si="139"/>
        <v>5</v>
      </c>
      <c r="R2986" s="4">
        <f t="shared" si="140"/>
        <v>21000</v>
      </c>
    </row>
    <row r="2987" spans="1:18">
      <c r="A2987" s="1">
        <v>6</v>
      </c>
      <c r="B2987" s="1" t="str">
        <f>"موجودي ملزومات اداري"</f>
        <v>موجودي ملزومات اداري</v>
      </c>
      <c r="C2987" s="1">
        <v>110</v>
      </c>
      <c r="D2987" s="1" t="str">
        <f>"ملزومات اداري اصفهان"</f>
        <v>ملزومات اداري اصفهان</v>
      </c>
      <c r="E2987" s="1" t="str">
        <f>"0000011672"</f>
        <v>0000011672</v>
      </c>
      <c r="F2987" s="1" t="str">
        <f>"طلق"</f>
        <v>طلق</v>
      </c>
      <c r="G2987" s="1" t="str">
        <f>"عدد"</f>
        <v>عدد</v>
      </c>
      <c r="H2987" s="1">
        <v>65</v>
      </c>
      <c r="I2987" s="1">
        <v>162500</v>
      </c>
      <c r="J2987" s="1">
        <v>100</v>
      </c>
      <c r="K2987" s="1">
        <v>200000</v>
      </c>
      <c r="L2987" s="1">
        <v>110</v>
      </c>
      <c r="M2987" s="1">
        <v>243965</v>
      </c>
      <c r="O2987" s="1">
        <v>97</v>
      </c>
      <c r="P2987" s="4">
        <f t="shared" si="138"/>
        <v>118535</v>
      </c>
      <c r="Q2987" s="4">
        <f t="shared" si="139"/>
        <v>55</v>
      </c>
      <c r="R2987" s="4">
        <f t="shared" si="140"/>
        <v>2155.181818181818</v>
      </c>
    </row>
    <row r="2988" spans="1:18">
      <c r="A2988" s="1">
        <v>6</v>
      </c>
      <c r="B2988" s="1" t="str">
        <f>"موجودي ملزومات اداري"</f>
        <v>موجودي ملزومات اداري</v>
      </c>
      <c r="C2988" s="1">
        <v>110</v>
      </c>
      <c r="D2988" s="1" t="str">
        <f>"ملزومات اداري اصفهان"</f>
        <v>ملزومات اداري اصفهان</v>
      </c>
      <c r="E2988" s="1" t="str">
        <f>"0000011742"</f>
        <v>0000011742</v>
      </c>
      <c r="F2988" s="1" t="str">
        <f>"كاور پلاستيكي A4"</f>
        <v>كاور پلاستيكي A4</v>
      </c>
      <c r="G2988" s="1" t="str">
        <f>"بسته"</f>
        <v>بسته</v>
      </c>
      <c r="H2988" s="1">
        <v>0</v>
      </c>
      <c r="I2988" s="1">
        <v>0</v>
      </c>
      <c r="J2988" s="1">
        <v>10</v>
      </c>
      <c r="K2988" s="1">
        <v>1450000</v>
      </c>
      <c r="L2988" s="1">
        <v>0</v>
      </c>
      <c r="M2988" s="1">
        <v>0</v>
      </c>
      <c r="O2988" s="1">
        <v>97</v>
      </c>
      <c r="P2988" s="4">
        <f t="shared" si="138"/>
        <v>1450000</v>
      </c>
      <c r="Q2988" s="4">
        <f t="shared" si="139"/>
        <v>10</v>
      </c>
      <c r="R2988" s="4">
        <f t="shared" si="140"/>
        <v>145000</v>
      </c>
    </row>
    <row r="2989" spans="1:18" hidden="1">
      <c r="A2989" s="1">
        <v>6</v>
      </c>
      <c r="B2989" s="1" t="str">
        <f>"موجودي ملزومات اداري"</f>
        <v>موجودي ملزومات اداري</v>
      </c>
      <c r="C2989" s="1">
        <v>110</v>
      </c>
      <c r="D2989" s="1" t="str">
        <f>"ملزومات اداري اصفهان"</f>
        <v>ملزومات اداري اصفهان</v>
      </c>
      <c r="E2989" s="1" t="str">
        <f>"0000011762"</f>
        <v>0000011762</v>
      </c>
      <c r="F2989" s="1" t="str">
        <f>"پونز"</f>
        <v>پونز</v>
      </c>
      <c r="G2989" s="1" t="str">
        <f>"عدد"</f>
        <v>عدد</v>
      </c>
      <c r="H2989" s="1">
        <v>5</v>
      </c>
      <c r="I2989" s="1">
        <v>25000</v>
      </c>
      <c r="J2989" s="1">
        <v>0</v>
      </c>
      <c r="K2989" s="1">
        <v>0</v>
      </c>
      <c r="L2989" s="1">
        <v>5</v>
      </c>
      <c r="M2989" s="1">
        <v>25000</v>
      </c>
      <c r="O2989" s="1">
        <v>97</v>
      </c>
      <c r="P2989" s="1">
        <f t="shared" si="138"/>
        <v>0</v>
      </c>
      <c r="Q2989" s="1">
        <f t="shared" si="139"/>
        <v>0</v>
      </c>
      <c r="R2989" s="1" t="e">
        <f t="shared" si="140"/>
        <v>#DIV/0!</v>
      </c>
    </row>
    <row r="2990" spans="1:18" hidden="1">
      <c r="A2990" s="1">
        <v>6</v>
      </c>
      <c r="B2990" s="1" t="str">
        <f>"موجودي ملزومات اداري"</f>
        <v>موجودي ملزومات اداري</v>
      </c>
      <c r="C2990" s="1">
        <v>110</v>
      </c>
      <c r="D2990" s="1" t="str">
        <f>"ملزومات اداري اصفهان"</f>
        <v>ملزومات اداري اصفهان</v>
      </c>
      <c r="E2990" s="1" t="str">
        <f>"0000017342"</f>
        <v>0000017342</v>
      </c>
      <c r="F2990" s="1" t="str">
        <f>"مايع سفيد كننده"</f>
        <v>مايع سفيد كننده</v>
      </c>
      <c r="G2990" s="1" t="str">
        <f>"ليتر"</f>
        <v>ليتر</v>
      </c>
      <c r="H2990" s="1">
        <v>83</v>
      </c>
      <c r="I2990" s="1">
        <v>1392137</v>
      </c>
      <c r="J2990" s="1">
        <v>300</v>
      </c>
      <c r="K2990" s="1">
        <v>8100000</v>
      </c>
      <c r="L2990" s="1">
        <v>383</v>
      </c>
      <c r="M2990" s="1">
        <v>9492137</v>
      </c>
      <c r="O2990" s="1">
        <v>97</v>
      </c>
      <c r="P2990" s="1">
        <f t="shared" si="138"/>
        <v>0</v>
      </c>
      <c r="Q2990" s="1">
        <f t="shared" si="139"/>
        <v>0</v>
      </c>
      <c r="R2990" s="1" t="e">
        <f t="shared" si="140"/>
        <v>#DIV/0!</v>
      </c>
    </row>
    <row r="2991" spans="1:18">
      <c r="A2991" s="1">
        <v>6</v>
      </c>
      <c r="B2991" s="1" t="str">
        <f>"موجودي ملزومات اداري"</f>
        <v>موجودي ملزومات اداري</v>
      </c>
      <c r="C2991" s="1">
        <v>110</v>
      </c>
      <c r="D2991" s="1" t="str">
        <f>"ملزومات اداري اصفهان"</f>
        <v>ملزومات اداري اصفهان</v>
      </c>
      <c r="E2991" s="1" t="str">
        <f>"0000019992"</f>
        <v>0000019992</v>
      </c>
      <c r="F2991" s="1" t="str">
        <f>"دستکش مخصوص ماشينري و ابزار دقيق"</f>
        <v>دستکش مخصوص ماشينري و ابزار دقيق</v>
      </c>
      <c r="G2991" s="1" t="str">
        <f>"جفت"</f>
        <v>جفت</v>
      </c>
      <c r="H2991" s="1">
        <v>97</v>
      </c>
      <c r="I2991" s="1">
        <v>3251572</v>
      </c>
      <c r="J2991" s="1">
        <v>500</v>
      </c>
      <c r="K2991" s="1">
        <v>28200000</v>
      </c>
      <c r="L2991" s="1">
        <v>544</v>
      </c>
      <c r="M2991" s="1">
        <v>28220382</v>
      </c>
      <c r="O2991" s="1">
        <v>97</v>
      </c>
      <c r="P2991" s="4">
        <f t="shared" si="138"/>
        <v>3231190</v>
      </c>
      <c r="Q2991" s="4">
        <f t="shared" si="139"/>
        <v>53</v>
      </c>
      <c r="R2991" s="4">
        <f t="shared" si="140"/>
        <v>60965.849056603773</v>
      </c>
    </row>
    <row r="2992" spans="1:18">
      <c r="A2992" s="1">
        <v>6</v>
      </c>
      <c r="B2992" s="1" t="str">
        <f>"موجودي ملزومات اداري"</f>
        <v>موجودي ملزومات اداري</v>
      </c>
      <c r="C2992" s="1">
        <v>110</v>
      </c>
      <c r="D2992" s="1" t="str">
        <f>"ملزومات اداري اصفهان"</f>
        <v>ملزومات اداري اصفهان</v>
      </c>
      <c r="E2992" s="1" t="str">
        <f>"0000020012"</f>
        <v>0000020012</v>
      </c>
      <c r="F2992" s="1" t="str">
        <f>"دستكش ايمني"</f>
        <v>دستكش ايمني</v>
      </c>
      <c r="G2992" s="1" t="str">
        <f>"جفت"</f>
        <v>جفت</v>
      </c>
      <c r="H2992" s="1">
        <v>409</v>
      </c>
      <c r="I2992" s="1">
        <v>31885976</v>
      </c>
      <c r="J2992" s="1">
        <v>1800</v>
      </c>
      <c r="K2992" s="1">
        <v>201150000</v>
      </c>
      <c r="L2992" s="1">
        <v>1934</v>
      </c>
      <c r="M2992" s="1">
        <v>197173481</v>
      </c>
      <c r="O2992" s="1">
        <v>97</v>
      </c>
      <c r="P2992" s="4">
        <f t="shared" si="138"/>
        <v>35862495</v>
      </c>
      <c r="Q2992" s="4">
        <f t="shared" si="139"/>
        <v>275</v>
      </c>
      <c r="R2992" s="4">
        <f t="shared" si="140"/>
        <v>130409.07272727272</v>
      </c>
    </row>
    <row r="2993" spans="1:18" hidden="1">
      <c r="A2993" s="1">
        <v>6</v>
      </c>
      <c r="B2993" s="1" t="str">
        <f>"موجودي ملزومات اداري"</f>
        <v>موجودي ملزومات اداري</v>
      </c>
      <c r="C2993" s="1">
        <v>110</v>
      </c>
      <c r="D2993" s="1" t="str">
        <f>"ملزومات اداري اصفهان"</f>
        <v>ملزومات اداري اصفهان</v>
      </c>
      <c r="E2993" s="1" t="str">
        <f>"0000054072"</f>
        <v>0000054072</v>
      </c>
      <c r="F2993" s="1" t="str">
        <f>"شيلنگ 2/5 آب حلقه 50 متري"</f>
        <v>شيلنگ 2/5 آب حلقه 50 متري</v>
      </c>
      <c r="G2993" s="1" t="str">
        <f>"حلقه"</f>
        <v>حلقه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O2993" s="1">
        <v>97</v>
      </c>
      <c r="P2993" s="1">
        <f t="shared" si="138"/>
        <v>0</v>
      </c>
      <c r="Q2993" s="1">
        <f t="shared" si="139"/>
        <v>0</v>
      </c>
      <c r="R2993" s="1" t="e">
        <f t="shared" si="140"/>
        <v>#DIV/0!</v>
      </c>
    </row>
    <row r="2994" spans="1:18" hidden="1">
      <c r="A2994" s="1">
        <v>6</v>
      </c>
      <c r="B2994" s="1" t="str">
        <f>"موجودي ملزومات اداري"</f>
        <v>موجودي ملزومات اداري</v>
      </c>
      <c r="C2994" s="1">
        <v>110</v>
      </c>
      <c r="D2994" s="1" t="str">
        <f>"ملزومات اداري اصفهان"</f>
        <v>ملزومات اداري اصفهان</v>
      </c>
      <c r="E2994" s="1" t="str">
        <f>"0000054572"</f>
        <v>0000054572</v>
      </c>
      <c r="F2994" s="1" t="str">
        <f>"سمباده زبر 25 متري"</f>
        <v>سمباده زبر 25 متري</v>
      </c>
      <c r="G2994" s="1" t="str">
        <f>"رول"</f>
        <v>رول</v>
      </c>
      <c r="H2994" s="1">
        <v>0</v>
      </c>
      <c r="I2994" s="1">
        <v>0</v>
      </c>
      <c r="J2994" s="1">
        <v>1</v>
      </c>
      <c r="K2994" s="1">
        <v>3000000</v>
      </c>
      <c r="L2994" s="1">
        <v>1</v>
      </c>
      <c r="M2994" s="1">
        <v>3000000</v>
      </c>
      <c r="O2994" s="1">
        <v>97</v>
      </c>
      <c r="P2994" s="1">
        <f t="shared" si="138"/>
        <v>0</v>
      </c>
      <c r="Q2994" s="1">
        <f t="shared" si="139"/>
        <v>0</v>
      </c>
      <c r="R2994" s="1" t="e">
        <f t="shared" si="140"/>
        <v>#DIV/0!</v>
      </c>
    </row>
    <row r="2995" spans="1:18" hidden="1">
      <c r="A2995" s="1">
        <v>6</v>
      </c>
      <c r="B2995" s="1" t="str">
        <f>"موجودي ملزومات اداري"</f>
        <v>موجودي ملزومات اداري</v>
      </c>
      <c r="C2995" s="1">
        <v>110</v>
      </c>
      <c r="D2995" s="1" t="str">
        <f>"ملزومات اداري اصفهان"</f>
        <v>ملزومات اداري اصفهان</v>
      </c>
      <c r="E2995" s="1" t="str">
        <f>"0000057552"</f>
        <v>0000057552</v>
      </c>
      <c r="F2995" s="1" t="str">
        <f>"کاور پلاستيکي A3"</f>
        <v>کاور پلاستيکي A3</v>
      </c>
      <c r="G2995" s="1" t="str">
        <f>"بسته"</f>
        <v>بسته</v>
      </c>
      <c r="H2995" s="1">
        <v>0</v>
      </c>
      <c r="I2995" s="1">
        <v>0</v>
      </c>
      <c r="J2995" s="1">
        <v>3</v>
      </c>
      <c r="K2995" s="1">
        <v>630000</v>
      </c>
      <c r="L2995" s="1">
        <v>3</v>
      </c>
      <c r="M2995" s="1">
        <v>630000</v>
      </c>
      <c r="O2995" s="1">
        <v>97</v>
      </c>
      <c r="P2995" s="1">
        <f t="shared" si="138"/>
        <v>0</v>
      </c>
      <c r="Q2995" s="1">
        <f t="shared" si="139"/>
        <v>0</v>
      </c>
      <c r="R2995" s="1" t="e">
        <f t="shared" si="140"/>
        <v>#DIV/0!</v>
      </c>
    </row>
    <row r="2996" spans="1:18" hidden="1">
      <c r="A2996" s="1">
        <v>6</v>
      </c>
      <c r="B2996" s="1" t="str">
        <f>"موجودي ملزومات اداري"</f>
        <v>موجودي ملزومات اداري</v>
      </c>
      <c r="C2996" s="1">
        <v>110</v>
      </c>
      <c r="D2996" s="1" t="str">
        <f>"ملزومات اداري اصفهان"</f>
        <v>ملزومات اداري اصفهان</v>
      </c>
      <c r="E2996" s="1" t="str">
        <f>"1501020082"</f>
        <v>1501020082</v>
      </c>
      <c r="F2996" s="1" t="str">
        <f>"الکل سفيد 120cc"</f>
        <v>الکل سفيد 120cc</v>
      </c>
      <c r="G2996" s="1" t="str">
        <f>"عدد"</f>
        <v>عدد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O2996" s="1">
        <v>97</v>
      </c>
      <c r="P2996" s="1">
        <f t="shared" si="138"/>
        <v>0</v>
      </c>
      <c r="Q2996" s="1">
        <f t="shared" si="139"/>
        <v>0</v>
      </c>
      <c r="R2996" s="1" t="e">
        <f t="shared" si="140"/>
        <v>#DIV/0!</v>
      </c>
    </row>
    <row r="2997" spans="1:18" hidden="1">
      <c r="A2997" s="1">
        <v>6</v>
      </c>
      <c r="B2997" s="1" t="str">
        <f>"موجودي ملزومات اداري"</f>
        <v>موجودي ملزومات اداري</v>
      </c>
      <c r="C2997" s="1">
        <v>110</v>
      </c>
      <c r="D2997" s="1" t="str">
        <f>"ملزومات اداري اصفهان"</f>
        <v>ملزومات اداري اصفهان</v>
      </c>
      <c r="E2997" s="1" t="str">
        <f>"1501020112"</f>
        <v>1501020112</v>
      </c>
      <c r="F2997" s="1" t="str">
        <f>"بتادين"</f>
        <v>بتادين</v>
      </c>
      <c r="G2997" s="1" t="str">
        <f>"عدد"</f>
        <v>عدد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O2997" s="1">
        <v>97</v>
      </c>
      <c r="P2997" s="1">
        <f t="shared" si="138"/>
        <v>0</v>
      </c>
      <c r="Q2997" s="1">
        <f t="shared" si="139"/>
        <v>0</v>
      </c>
      <c r="R2997" s="1" t="e">
        <f t="shared" si="140"/>
        <v>#DIV/0!</v>
      </c>
    </row>
    <row r="2998" spans="1:18" hidden="1">
      <c r="A2998" s="1">
        <v>6</v>
      </c>
      <c r="B2998" s="1" t="str">
        <f>"موجودي ملزومات اداري"</f>
        <v>موجودي ملزومات اداري</v>
      </c>
      <c r="C2998" s="1">
        <v>110</v>
      </c>
      <c r="D2998" s="1" t="str">
        <f>"ملزومات اداري اصفهان"</f>
        <v>ملزومات اداري اصفهان</v>
      </c>
      <c r="E2998" s="1" t="str">
        <f>"1501020162"</f>
        <v>1501020162</v>
      </c>
      <c r="F2998" s="1" t="str">
        <f>"دم قيچي"</f>
        <v>دم قيچي</v>
      </c>
      <c r="G2998" s="1" t="str">
        <f>"كيلوگرم"</f>
        <v>كيلوگرم</v>
      </c>
      <c r="H2998" s="1">
        <v>0</v>
      </c>
      <c r="I2998" s="1">
        <v>0</v>
      </c>
      <c r="J2998" s="1">
        <v>50</v>
      </c>
      <c r="K2998" s="1">
        <v>3000000</v>
      </c>
      <c r="L2998" s="1">
        <v>50</v>
      </c>
      <c r="M2998" s="1">
        <v>3000000</v>
      </c>
      <c r="O2998" s="1">
        <v>97</v>
      </c>
      <c r="P2998" s="1">
        <f t="shared" si="138"/>
        <v>0</v>
      </c>
      <c r="Q2998" s="1">
        <f t="shared" si="139"/>
        <v>0</v>
      </c>
      <c r="R2998" s="1" t="e">
        <f t="shared" si="140"/>
        <v>#DIV/0!</v>
      </c>
    </row>
    <row r="2999" spans="1:18">
      <c r="A2999" s="1">
        <v>6</v>
      </c>
      <c r="B2999" s="1" t="str">
        <f>"موجودي ملزومات اداري"</f>
        <v>موجودي ملزومات اداري</v>
      </c>
      <c r="C2999" s="1">
        <v>110</v>
      </c>
      <c r="D2999" s="1" t="str">
        <f>"ملزومات اداري اصفهان"</f>
        <v>ملزومات اداري اصفهان</v>
      </c>
      <c r="E2999" s="1" t="str">
        <f>"1501020652"</f>
        <v>1501020652</v>
      </c>
      <c r="F2999" s="1" t="str">
        <f>"پروانه خروج موقت"</f>
        <v>پروانه خروج موقت</v>
      </c>
      <c r="G2999" s="1" t="str">
        <f>"پد"</f>
        <v>پد</v>
      </c>
      <c r="H2999" s="1">
        <v>109</v>
      </c>
      <c r="I2999" s="1">
        <v>12862000</v>
      </c>
      <c r="J2999" s="1">
        <v>0</v>
      </c>
      <c r="K2999" s="1">
        <v>0</v>
      </c>
      <c r="L2999" s="1">
        <v>5</v>
      </c>
      <c r="M2999" s="1">
        <v>590000</v>
      </c>
      <c r="O2999" s="1">
        <v>97</v>
      </c>
      <c r="P2999" s="4">
        <f t="shared" si="138"/>
        <v>12272000</v>
      </c>
      <c r="Q2999" s="4">
        <f t="shared" si="139"/>
        <v>104</v>
      </c>
      <c r="R2999" s="4">
        <f t="shared" si="140"/>
        <v>118000</v>
      </c>
    </row>
    <row r="3000" spans="1:18">
      <c r="A3000" s="1">
        <v>6</v>
      </c>
      <c r="B3000" s="1" t="str">
        <f>"موجودي ملزومات اداري"</f>
        <v>موجودي ملزومات اداري</v>
      </c>
      <c r="C3000" s="1">
        <v>110</v>
      </c>
      <c r="D3000" s="1" t="str">
        <f>"ملزومات اداري اصفهان"</f>
        <v>ملزومات اداري اصفهان</v>
      </c>
      <c r="E3000" s="1" t="str">
        <f>"1501020792"</f>
        <v>1501020792</v>
      </c>
      <c r="F3000" s="1" t="str">
        <f>"فويل آلومينيومي"</f>
        <v>فويل آلومينيومي</v>
      </c>
      <c r="G3000" s="1" t="str">
        <f>"كيلوگرم"</f>
        <v>كيلوگرم</v>
      </c>
      <c r="H3000" s="1">
        <v>14</v>
      </c>
      <c r="I3000" s="1">
        <v>2520000</v>
      </c>
      <c r="J3000" s="1">
        <v>0</v>
      </c>
      <c r="K3000" s="1">
        <v>0</v>
      </c>
      <c r="L3000" s="1">
        <v>4.41</v>
      </c>
      <c r="M3000" s="1">
        <v>793800</v>
      </c>
      <c r="O3000" s="1">
        <v>97</v>
      </c>
      <c r="P3000" s="4">
        <f t="shared" si="138"/>
        <v>1726200</v>
      </c>
      <c r="Q3000" s="4">
        <f t="shared" si="139"/>
        <v>9.59</v>
      </c>
      <c r="R3000" s="4">
        <f t="shared" si="140"/>
        <v>180000</v>
      </c>
    </row>
    <row r="3001" spans="1:18">
      <c r="A3001" s="1">
        <v>6</v>
      </c>
      <c r="B3001" s="1" t="str">
        <f>"موجودي ملزومات اداري"</f>
        <v>موجودي ملزومات اداري</v>
      </c>
      <c r="C3001" s="1">
        <v>110</v>
      </c>
      <c r="D3001" s="1" t="str">
        <f>"ملزومات اداري اصفهان"</f>
        <v>ملزومات اداري اصفهان</v>
      </c>
      <c r="E3001" s="1" t="str">
        <f>"1501021042"</f>
        <v>1501021042</v>
      </c>
      <c r="F3001" s="1" t="str">
        <f>"يراق کامل داخل کلاه ايمني"</f>
        <v>يراق کامل داخل کلاه ايمني</v>
      </c>
      <c r="G3001" s="1" t="str">
        <f>"عدد"</f>
        <v>عدد</v>
      </c>
      <c r="H3001" s="1">
        <v>5</v>
      </c>
      <c r="I3001" s="1">
        <v>815000</v>
      </c>
      <c r="J3001" s="1">
        <v>0</v>
      </c>
      <c r="K3001" s="1">
        <v>0</v>
      </c>
      <c r="L3001" s="1">
        <v>0</v>
      </c>
      <c r="M3001" s="1">
        <v>0</v>
      </c>
      <c r="O3001" s="1">
        <v>97</v>
      </c>
      <c r="P3001" s="4">
        <f t="shared" si="138"/>
        <v>815000</v>
      </c>
      <c r="Q3001" s="4">
        <f t="shared" si="139"/>
        <v>5</v>
      </c>
      <c r="R3001" s="4">
        <f t="shared" si="140"/>
        <v>163000</v>
      </c>
    </row>
    <row r="3002" spans="1:18">
      <c r="A3002" s="1">
        <v>6</v>
      </c>
      <c r="B3002" s="1" t="str">
        <f>"موجودي ملزومات اداري"</f>
        <v>موجودي ملزومات اداري</v>
      </c>
      <c r="C3002" s="1">
        <v>110</v>
      </c>
      <c r="D3002" s="1" t="str">
        <f>"ملزومات اداري اصفهان"</f>
        <v>ملزومات اداري اصفهان</v>
      </c>
      <c r="E3002" s="1" t="str">
        <f>"1501021072"</f>
        <v>1501021072</v>
      </c>
      <c r="F3002" s="1" t="str">
        <f>"قفل آويز کوچک"</f>
        <v>قفل آويز کوچک</v>
      </c>
      <c r="G3002" s="1" t="str">
        <f>"عدد"</f>
        <v>عدد</v>
      </c>
      <c r="H3002" s="1">
        <v>9</v>
      </c>
      <c r="I3002" s="1">
        <v>450000</v>
      </c>
      <c r="J3002" s="1">
        <v>0</v>
      </c>
      <c r="K3002" s="1">
        <v>0</v>
      </c>
      <c r="L3002" s="1">
        <v>1</v>
      </c>
      <c r="M3002" s="1">
        <v>50000</v>
      </c>
      <c r="O3002" s="1">
        <v>97</v>
      </c>
      <c r="P3002" s="4">
        <f t="shared" si="138"/>
        <v>400000</v>
      </c>
      <c r="Q3002" s="4">
        <f t="shared" si="139"/>
        <v>8</v>
      </c>
      <c r="R3002" s="4">
        <f t="shared" si="140"/>
        <v>50000</v>
      </c>
    </row>
    <row r="3003" spans="1:18">
      <c r="A3003" s="1">
        <v>6</v>
      </c>
      <c r="B3003" s="1" t="str">
        <f>"موجودي ملزومات اداري"</f>
        <v>موجودي ملزومات اداري</v>
      </c>
      <c r="C3003" s="1">
        <v>110</v>
      </c>
      <c r="D3003" s="1" t="str">
        <f>"ملزومات اداري اصفهان"</f>
        <v>ملزومات اداري اصفهان</v>
      </c>
      <c r="E3003" s="1" t="str">
        <f>"1501021112"</f>
        <v>1501021112</v>
      </c>
      <c r="F3003" s="1" t="str">
        <f>"دستکش لاتکس 100 تايي"</f>
        <v>دستکش لاتکس 100 تايي</v>
      </c>
      <c r="G3003" s="1" t="str">
        <f>"بسته"</f>
        <v>بسته</v>
      </c>
      <c r="H3003" s="1">
        <v>5</v>
      </c>
      <c r="I3003" s="1">
        <v>800000</v>
      </c>
      <c r="J3003" s="1">
        <v>21</v>
      </c>
      <c r="K3003" s="1">
        <v>4950000</v>
      </c>
      <c r="L3003" s="1">
        <v>12</v>
      </c>
      <c r="M3003" s="1">
        <v>2250000</v>
      </c>
      <c r="O3003" s="1">
        <v>97</v>
      </c>
      <c r="P3003" s="4">
        <f t="shared" si="138"/>
        <v>3500000</v>
      </c>
      <c r="Q3003" s="4">
        <f t="shared" si="139"/>
        <v>14</v>
      </c>
      <c r="R3003" s="4">
        <f t="shared" si="140"/>
        <v>250000</v>
      </c>
    </row>
    <row r="3004" spans="1:18" hidden="1">
      <c r="A3004" s="1">
        <v>6</v>
      </c>
      <c r="B3004" s="1" t="str">
        <f>"موجودي ملزومات اداري"</f>
        <v>موجودي ملزومات اداري</v>
      </c>
      <c r="C3004" s="1">
        <v>110</v>
      </c>
      <c r="D3004" s="1" t="str">
        <f>"ملزومات اداري اصفهان"</f>
        <v>ملزومات اداري اصفهان</v>
      </c>
      <c r="E3004" s="1" t="str">
        <f>"1501021232"</f>
        <v>1501021232</v>
      </c>
      <c r="F3004" s="1" t="str">
        <f>"نردبان داربست"</f>
        <v>نردبان داربست</v>
      </c>
      <c r="G3004" s="1" t="str">
        <f>"عدد"</f>
        <v>عدد</v>
      </c>
      <c r="H3004" s="1">
        <v>10</v>
      </c>
      <c r="I3004" s="1">
        <v>29180000</v>
      </c>
      <c r="J3004" s="1">
        <v>0</v>
      </c>
      <c r="K3004" s="1">
        <v>0</v>
      </c>
      <c r="L3004" s="1">
        <v>10</v>
      </c>
      <c r="M3004" s="1">
        <v>29180000</v>
      </c>
      <c r="O3004" s="1">
        <v>97</v>
      </c>
      <c r="P3004" s="1">
        <f t="shared" si="138"/>
        <v>0</v>
      </c>
      <c r="Q3004" s="1">
        <f t="shared" si="139"/>
        <v>0</v>
      </c>
      <c r="R3004" s="1" t="e">
        <f t="shared" si="140"/>
        <v>#DIV/0!</v>
      </c>
    </row>
    <row r="3005" spans="1:18">
      <c r="A3005" s="1">
        <v>6</v>
      </c>
      <c r="B3005" s="1" t="str">
        <f>"موجودي ملزومات اداري"</f>
        <v>موجودي ملزومات اداري</v>
      </c>
      <c r="C3005" s="1">
        <v>110</v>
      </c>
      <c r="D3005" s="1" t="str">
        <f>"ملزومات اداري اصفهان"</f>
        <v>ملزومات اداري اصفهان</v>
      </c>
      <c r="E3005" s="1" t="str">
        <f>"1501021312"</f>
        <v>1501021312</v>
      </c>
      <c r="F3005" s="1" t="str">
        <f>"متال مارک"</f>
        <v>متال مارک</v>
      </c>
      <c r="G3005" s="1" t="str">
        <f>"عدد"</f>
        <v>عدد</v>
      </c>
      <c r="H3005" s="1">
        <v>0</v>
      </c>
      <c r="I3005" s="1">
        <v>0</v>
      </c>
      <c r="J3005" s="1">
        <v>15</v>
      </c>
      <c r="K3005" s="1">
        <v>975000</v>
      </c>
      <c r="L3005" s="1">
        <v>10</v>
      </c>
      <c r="M3005" s="1">
        <v>650000</v>
      </c>
      <c r="O3005" s="1">
        <v>97</v>
      </c>
      <c r="P3005" s="4">
        <f t="shared" si="138"/>
        <v>325000</v>
      </c>
      <c r="Q3005" s="4">
        <f t="shared" si="139"/>
        <v>5</v>
      </c>
      <c r="R3005" s="4">
        <f t="shared" si="140"/>
        <v>65000</v>
      </c>
    </row>
    <row r="3006" spans="1:18">
      <c r="A3006" s="1">
        <v>6</v>
      </c>
      <c r="B3006" s="1" t="str">
        <f>"موجودي ملزومات اداري"</f>
        <v>موجودي ملزومات اداري</v>
      </c>
      <c r="C3006" s="1">
        <v>110</v>
      </c>
      <c r="D3006" s="1" t="str">
        <f>"ملزومات اداري اصفهان"</f>
        <v>ملزومات اداري اصفهان</v>
      </c>
      <c r="E3006" s="1" t="str">
        <f>"1501021402"</f>
        <v>1501021402</v>
      </c>
      <c r="F3006" s="1" t="str">
        <f>"مجوز کار برقکاري"</f>
        <v>مجوز کار برقکاري</v>
      </c>
      <c r="G3006" s="1" t="str">
        <f>"پد"</f>
        <v>پد</v>
      </c>
      <c r="H3006" s="1">
        <v>0</v>
      </c>
      <c r="I3006" s="1">
        <v>0</v>
      </c>
      <c r="J3006" s="1">
        <v>50</v>
      </c>
      <c r="K3006" s="1">
        <v>6750000</v>
      </c>
      <c r="L3006" s="1">
        <v>0</v>
      </c>
      <c r="M3006" s="1">
        <v>0</v>
      </c>
      <c r="O3006" s="1">
        <v>97</v>
      </c>
      <c r="P3006" s="4">
        <f t="shared" si="138"/>
        <v>6750000</v>
      </c>
      <c r="Q3006" s="4">
        <f t="shared" si="139"/>
        <v>50</v>
      </c>
      <c r="R3006" s="4">
        <f t="shared" si="140"/>
        <v>135000</v>
      </c>
    </row>
    <row r="3007" spans="1:18">
      <c r="A3007" s="1">
        <v>6</v>
      </c>
      <c r="B3007" s="1" t="str">
        <f>"موجودي ملزومات اداري"</f>
        <v>موجودي ملزومات اداري</v>
      </c>
      <c r="C3007" s="1">
        <v>110</v>
      </c>
      <c r="D3007" s="1" t="str">
        <f>"ملزومات اداري اصفهان"</f>
        <v>ملزومات اداري اصفهان</v>
      </c>
      <c r="E3007" s="1" t="str">
        <f>"1501021412"</f>
        <v>1501021412</v>
      </c>
      <c r="F3007" s="1" t="str">
        <f>"مجوز ورود به فضاي بسته مخازن"</f>
        <v>مجوز ورود به فضاي بسته مخازن</v>
      </c>
      <c r="G3007" s="1" t="str">
        <f>"پد"</f>
        <v>پد</v>
      </c>
      <c r="H3007" s="1">
        <v>0</v>
      </c>
      <c r="I3007" s="1">
        <v>0</v>
      </c>
      <c r="J3007" s="1">
        <v>20</v>
      </c>
      <c r="K3007" s="1">
        <v>2900000</v>
      </c>
      <c r="L3007" s="1">
        <v>0</v>
      </c>
      <c r="M3007" s="1">
        <v>0</v>
      </c>
      <c r="O3007" s="1">
        <v>97</v>
      </c>
      <c r="P3007" s="4">
        <f t="shared" si="138"/>
        <v>2900000</v>
      </c>
      <c r="Q3007" s="4">
        <f t="shared" si="139"/>
        <v>20</v>
      </c>
      <c r="R3007" s="4">
        <f t="shared" si="140"/>
        <v>145000</v>
      </c>
    </row>
    <row r="3008" spans="1:18" hidden="1">
      <c r="A3008" s="1">
        <v>6</v>
      </c>
      <c r="B3008" s="1" t="str">
        <f>"موجودي ملزومات اداري"</f>
        <v>موجودي ملزومات اداري</v>
      </c>
      <c r="C3008" s="1">
        <v>110</v>
      </c>
      <c r="D3008" s="1" t="str">
        <f>"ملزومات اداري اصفهان"</f>
        <v>ملزومات اداري اصفهان</v>
      </c>
      <c r="E3008" s="1" t="str">
        <f>"1502030012"</f>
        <v>1502030012</v>
      </c>
      <c r="F3008" s="1" t="str">
        <f>"ناجين 6 استخواني"</f>
        <v>ناجين 6 استخواني</v>
      </c>
      <c r="G3008" s="1" t="str">
        <f>"متر"</f>
        <v>متر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O3008" s="1">
        <v>97</v>
      </c>
      <c r="P3008" s="1">
        <f t="shared" si="138"/>
        <v>0</v>
      </c>
      <c r="Q3008" s="1">
        <f t="shared" si="139"/>
        <v>0</v>
      </c>
      <c r="R3008" s="1" t="e">
        <f t="shared" si="140"/>
        <v>#DIV/0!</v>
      </c>
    </row>
    <row r="3009" spans="1:18">
      <c r="A3009" s="1">
        <v>6</v>
      </c>
      <c r="B3009" s="1" t="str">
        <f>"موجودي ملزومات اداري"</f>
        <v>موجودي ملزومات اداري</v>
      </c>
      <c r="C3009" s="1">
        <v>110</v>
      </c>
      <c r="D3009" s="1" t="str">
        <f>"ملزومات اداري اصفهان"</f>
        <v>ملزومات اداري اصفهان</v>
      </c>
      <c r="E3009" s="1" t="str">
        <f>"1502030172"</f>
        <v>1502030172</v>
      </c>
      <c r="F3009" s="1" t="str">
        <f>"اسپري رنگ"</f>
        <v>اسپري رنگ</v>
      </c>
      <c r="G3009" s="1" t="str">
        <f>"عدد"</f>
        <v>عدد</v>
      </c>
      <c r="H3009" s="1">
        <v>27</v>
      </c>
      <c r="I3009" s="1">
        <v>874068</v>
      </c>
      <c r="J3009" s="1">
        <v>1</v>
      </c>
      <c r="K3009" s="1">
        <v>32373</v>
      </c>
      <c r="L3009" s="1">
        <v>21</v>
      </c>
      <c r="M3009" s="1">
        <v>679831</v>
      </c>
      <c r="O3009" s="1">
        <v>97</v>
      </c>
      <c r="P3009" s="4">
        <f t="shared" si="138"/>
        <v>226610</v>
      </c>
      <c r="Q3009" s="4">
        <f t="shared" si="139"/>
        <v>7</v>
      </c>
      <c r="R3009" s="4">
        <f t="shared" si="140"/>
        <v>32372.857142857141</v>
      </c>
    </row>
    <row r="3010" spans="1:18" hidden="1">
      <c r="A3010" s="1">
        <v>6</v>
      </c>
      <c r="B3010" s="1" t="str">
        <f>"موجودي ملزومات اداري"</f>
        <v>موجودي ملزومات اداري</v>
      </c>
      <c r="C3010" s="1">
        <v>110</v>
      </c>
      <c r="D3010" s="1" t="str">
        <f>"ملزومات اداري اصفهان"</f>
        <v>ملزومات اداري اصفهان</v>
      </c>
      <c r="E3010" s="1" t="str">
        <f>"1502030182"</f>
        <v>1502030182</v>
      </c>
      <c r="F3010" s="1" t="str">
        <f>"ضد يخ"</f>
        <v>ضد يخ</v>
      </c>
      <c r="G3010" s="1" t="str">
        <f>"ليتر"</f>
        <v>ليتر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O3010" s="1">
        <v>97</v>
      </c>
      <c r="P3010" s="1">
        <f t="shared" si="138"/>
        <v>0</v>
      </c>
      <c r="Q3010" s="1">
        <f t="shared" si="139"/>
        <v>0</v>
      </c>
      <c r="R3010" s="1" t="e">
        <f t="shared" si="140"/>
        <v>#DIV/0!</v>
      </c>
    </row>
    <row r="3011" spans="1:18" hidden="1">
      <c r="A3011" s="1">
        <v>6</v>
      </c>
      <c r="B3011" s="1" t="str">
        <f>"موجودي ملزومات اداري"</f>
        <v>موجودي ملزومات اداري</v>
      </c>
      <c r="C3011" s="1">
        <v>110</v>
      </c>
      <c r="D3011" s="1" t="str">
        <f>"ملزومات اداري اصفهان"</f>
        <v>ملزومات اداري اصفهان</v>
      </c>
      <c r="E3011" s="1" t="str">
        <f>"1502030342"</f>
        <v>1502030342</v>
      </c>
      <c r="F3011" s="1" t="str">
        <f>"پرده عمودي 13 سانتي"</f>
        <v>پرده عمودي 13 سانتي</v>
      </c>
      <c r="G3011" s="1" t="str">
        <f>"متر"</f>
        <v>متر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O3011" s="1">
        <v>97</v>
      </c>
      <c r="P3011" s="1">
        <f t="shared" ref="P3011:P3074" si="141">I3011+K3011-M3011</f>
        <v>0</v>
      </c>
      <c r="Q3011" s="1">
        <f t="shared" ref="Q3011:Q3074" si="142">H3011+J3011-L3011</f>
        <v>0</v>
      </c>
      <c r="R3011" s="1" t="e">
        <f t="shared" ref="R3011:R3074" si="143">P3011/Q3011</f>
        <v>#DIV/0!</v>
      </c>
    </row>
    <row r="3012" spans="1:18" hidden="1">
      <c r="A3012" s="1">
        <v>6</v>
      </c>
      <c r="B3012" s="1" t="str">
        <f>"موجودي ملزومات اداري"</f>
        <v>موجودي ملزومات اداري</v>
      </c>
      <c r="C3012" s="1">
        <v>110</v>
      </c>
      <c r="D3012" s="1" t="str">
        <f>"ملزومات اداري اصفهان"</f>
        <v>ملزومات اداري اصفهان</v>
      </c>
      <c r="E3012" s="1" t="str">
        <f>"1502030442"</f>
        <v>1502030442</v>
      </c>
      <c r="F3012" s="1" t="str">
        <f>"کفش ايمني برق"</f>
        <v>کفش ايمني برق</v>
      </c>
      <c r="G3012" s="1" t="str">
        <f>"جفت"</f>
        <v>جفت</v>
      </c>
      <c r="H3012" s="1">
        <v>0</v>
      </c>
      <c r="I3012" s="1">
        <v>0</v>
      </c>
      <c r="J3012" s="1">
        <v>3</v>
      </c>
      <c r="K3012" s="1">
        <v>3150000</v>
      </c>
      <c r="L3012" s="1">
        <v>3</v>
      </c>
      <c r="M3012" s="1">
        <v>3150000</v>
      </c>
      <c r="O3012" s="1">
        <v>97</v>
      </c>
      <c r="P3012" s="1">
        <f t="shared" si="141"/>
        <v>0</v>
      </c>
      <c r="Q3012" s="1">
        <f t="shared" si="142"/>
        <v>0</v>
      </c>
      <c r="R3012" s="1" t="e">
        <f t="shared" si="143"/>
        <v>#DIV/0!</v>
      </c>
    </row>
    <row r="3013" spans="1:18" hidden="1">
      <c r="A3013" s="1">
        <v>6</v>
      </c>
      <c r="B3013" s="1" t="str">
        <f>"موجودي ملزومات اداري"</f>
        <v>موجودي ملزومات اداري</v>
      </c>
      <c r="C3013" s="1">
        <v>110</v>
      </c>
      <c r="D3013" s="1" t="str">
        <f>"ملزومات اداري اصفهان"</f>
        <v>ملزومات اداري اصفهان</v>
      </c>
      <c r="E3013" s="1" t="str">
        <f>"1502030492"</f>
        <v>1502030492</v>
      </c>
      <c r="F3013" s="1" t="str">
        <f>"سيم چين"</f>
        <v>سيم چين</v>
      </c>
      <c r="G3013" s="1" t="str">
        <f>"عدد"</f>
        <v>عدد</v>
      </c>
      <c r="H3013" s="1">
        <v>0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O3013" s="1">
        <v>97</v>
      </c>
      <c r="P3013" s="1">
        <f t="shared" si="141"/>
        <v>0</v>
      </c>
      <c r="Q3013" s="1">
        <f t="shared" si="142"/>
        <v>0</v>
      </c>
      <c r="R3013" s="1" t="e">
        <f t="shared" si="143"/>
        <v>#DIV/0!</v>
      </c>
    </row>
    <row r="3014" spans="1:18" hidden="1">
      <c r="A3014" s="1">
        <v>6</v>
      </c>
      <c r="B3014" s="1" t="str">
        <f>"موجودي ملزومات اداري"</f>
        <v>موجودي ملزومات اداري</v>
      </c>
      <c r="C3014" s="1">
        <v>110</v>
      </c>
      <c r="D3014" s="1" t="str">
        <f>"ملزومات اداري اصفهان"</f>
        <v>ملزومات اداري اصفهان</v>
      </c>
      <c r="E3014" s="1" t="str">
        <f>"1502030512"</f>
        <v>1502030512</v>
      </c>
      <c r="F3014" s="1" t="str">
        <f>"جا ظرفي (آب چکان)"</f>
        <v>جا ظرفي (آب چکان)</v>
      </c>
      <c r="G3014" s="1" t="str">
        <f>"عدد"</f>
        <v>عدد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O3014" s="1">
        <v>97</v>
      </c>
      <c r="P3014" s="1">
        <f t="shared" si="141"/>
        <v>0</v>
      </c>
      <c r="Q3014" s="1">
        <f t="shared" si="142"/>
        <v>0</v>
      </c>
      <c r="R3014" s="1" t="e">
        <f t="shared" si="143"/>
        <v>#DIV/0!</v>
      </c>
    </row>
    <row r="3015" spans="1:18" hidden="1">
      <c r="A3015" s="1">
        <v>6</v>
      </c>
      <c r="B3015" s="1" t="str">
        <f>"موجودي ملزومات اداري"</f>
        <v>موجودي ملزومات اداري</v>
      </c>
      <c r="C3015" s="1">
        <v>110</v>
      </c>
      <c r="D3015" s="1" t="str">
        <f>"ملزومات اداري اصفهان"</f>
        <v>ملزومات اداري اصفهان</v>
      </c>
      <c r="E3015" s="1" t="str">
        <f>"1502030572"</f>
        <v>1502030572</v>
      </c>
      <c r="F3015" s="1" t="str">
        <f>"تور واليبال"</f>
        <v>تور واليبال</v>
      </c>
      <c r="G3015" s="1" t="str">
        <f>"عدد"</f>
        <v>عدد</v>
      </c>
      <c r="H3015" s="1">
        <v>0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O3015" s="1">
        <v>97</v>
      </c>
      <c r="P3015" s="1">
        <f t="shared" si="141"/>
        <v>0</v>
      </c>
      <c r="Q3015" s="1">
        <f t="shared" si="142"/>
        <v>0</v>
      </c>
      <c r="R3015" s="1" t="e">
        <f t="shared" si="143"/>
        <v>#DIV/0!</v>
      </c>
    </row>
    <row r="3016" spans="1:18" hidden="1">
      <c r="A3016" s="1">
        <v>6</v>
      </c>
      <c r="B3016" s="1" t="str">
        <f>"موجودي ملزومات اداري"</f>
        <v>موجودي ملزومات اداري</v>
      </c>
      <c r="C3016" s="1">
        <v>110</v>
      </c>
      <c r="D3016" s="1" t="str">
        <f>"ملزومات اداري اصفهان"</f>
        <v>ملزومات اداري اصفهان</v>
      </c>
      <c r="E3016" s="1" t="str">
        <f>"1502030762"</f>
        <v>1502030762</v>
      </c>
      <c r="F3016" s="1" t="str">
        <f>"واشر خورشيدي."</f>
        <v>واشر خورشيدي.</v>
      </c>
      <c r="G3016" s="1" t="str">
        <f>"عدد"</f>
        <v>عدد</v>
      </c>
      <c r="H3016" s="1">
        <v>0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O3016" s="1">
        <v>97</v>
      </c>
      <c r="P3016" s="1">
        <f t="shared" si="141"/>
        <v>0</v>
      </c>
      <c r="Q3016" s="1">
        <f t="shared" si="142"/>
        <v>0</v>
      </c>
      <c r="R3016" s="1" t="e">
        <f t="shared" si="143"/>
        <v>#DIV/0!</v>
      </c>
    </row>
    <row r="3017" spans="1:18" hidden="1">
      <c r="A3017" s="1">
        <v>6</v>
      </c>
      <c r="B3017" s="1" t="str">
        <f>"موجودي ملزومات اداري"</f>
        <v>موجودي ملزومات اداري</v>
      </c>
      <c r="C3017" s="1">
        <v>110</v>
      </c>
      <c r="D3017" s="1" t="str">
        <f>"ملزومات اداري اصفهان"</f>
        <v>ملزومات اداري اصفهان</v>
      </c>
      <c r="E3017" s="1" t="str">
        <f>"1502030992"</f>
        <v>1502030992</v>
      </c>
      <c r="F3017" s="1" t="str">
        <f>"براکت متحرک"</f>
        <v>براکت متحرک</v>
      </c>
      <c r="G3017" s="1" t="str">
        <f>"عدد"</f>
        <v>عدد</v>
      </c>
      <c r="H3017" s="1">
        <v>0</v>
      </c>
      <c r="I3017" s="1">
        <v>0</v>
      </c>
      <c r="J3017" s="1">
        <v>4</v>
      </c>
      <c r="K3017" s="1">
        <v>5200000</v>
      </c>
      <c r="L3017" s="1">
        <v>4</v>
      </c>
      <c r="M3017" s="1">
        <v>5200000</v>
      </c>
      <c r="O3017" s="1">
        <v>97</v>
      </c>
      <c r="P3017" s="1">
        <f t="shared" si="141"/>
        <v>0</v>
      </c>
      <c r="Q3017" s="1">
        <f t="shared" si="142"/>
        <v>0</v>
      </c>
      <c r="R3017" s="1" t="e">
        <f t="shared" si="143"/>
        <v>#DIV/0!</v>
      </c>
    </row>
    <row r="3018" spans="1:18" hidden="1">
      <c r="A3018" s="1">
        <v>6</v>
      </c>
      <c r="B3018" s="1" t="str">
        <f>"موجودي ملزومات اداري"</f>
        <v>موجودي ملزومات اداري</v>
      </c>
      <c r="C3018" s="1">
        <v>110</v>
      </c>
      <c r="D3018" s="1" t="str">
        <f>"ملزومات اداري اصفهان"</f>
        <v>ملزومات اداري اصفهان</v>
      </c>
      <c r="E3018" s="1" t="str">
        <f>"1502031022"</f>
        <v>1502031022</v>
      </c>
      <c r="F3018" s="1" t="str">
        <f>"ياتاقان  کولر آبي"</f>
        <v>ياتاقان  کولر آبي</v>
      </c>
      <c r="G3018" s="1" t="str">
        <f>"عدد"</f>
        <v>عدد</v>
      </c>
      <c r="H3018" s="1">
        <v>0</v>
      </c>
      <c r="I3018" s="1">
        <v>0</v>
      </c>
      <c r="J3018" s="1">
        <v>4</v>
      </c>
      <c r="K3018" s="1">
        <v>400000</v>
      </c>
      <c r="L3018" s="1">
        <v>4</v>
      </c>
      <c r="M3018" s="1">
        <v>400000</v>
      </c>
      <c r="O3018" s="1">
        <v>97</v>
      </c>
      <c r="P3018" s="1">
        <f t="shared" si="141"/>
        <v>0</v>
      </c>
      <c r="Q3018" s="1">
        <f t="shared" si="142"/>
        <v>0</v>
      </c>
      <c r="R3018" s="1" t="e">
        <f t="shared" si="143"/>
        <v>#DIV/0!</v>
      </c>
    </row>
    <row r="3019" spans="1:18" hidden="1">
      <c r="A3019" s="1">
        <v>6</v>
      </c>
      <c r="B3019" s="1" t="str">
        <f>"موجودي ملزومات اداري"</f>
        <v>موجودي ملزومات اداري</v>
      </c>
      <c r="C3019" s="1">
        <v>110</v>
      </c>
      <c r="D3019" s="1" t="str">
        <f>"ملزومات اداري اصفهان"</f>
        <v>ملزومات اداري اصفهان</v>
      </c>
      <c r="E3019" s="1" t="str">
        <f>"1502031052"</f>
        <v>1502031052</v>
      </c>
      <c r="F3019" s="1" t="s">
        <v>174</v>
      </c>
      <c r="G3019" s="1" t="str">
        <f>"عدد"</f>
        <v>عدد</v>
      </c>
      <c r="H3019" s="1">
        <v>0</v>
      </c>
      <c r="I3019" s="1">
        <v>0</v>
      </c>
      <c r="J3019" s="1">
        <v>2</v>
      </c>
      <c r="K3019" s="1">
        <v>200000</v>
      </c>
      <c r="L3019" s="1">
        <v>2</v>
      </c>
      <c r="M3019" s="1">
        <v>200000</v>
      </c>
      <c r="O3019" s="1">
        <v>97</v>
      </c>
      <c r="P3019" s="1">
        <f t="shared" si="141"/>
        <v>0</v>
      </c>
      <c r="Q3019" s="1">
        <f t="shared" si="142"/>
        <v>0</v>
      </c>
      <c r="R3019" s="1" t="e">
        <f t="shared" si="143"/>
        <v>#DIV/0!</v>
      </c>
    </row>
    <row r="3020" spans="1:18" hidden="1">
      <c r="A3020" s="1">
        <v>6</v>
      </c>
      <c r="B3020" s="1" t="str">
        <f>"موجودي ملزومات اداري"</f>
        <v>موجودي ملزومات اداري</v>
      </c>
      <c r="C3020" s="1">
        <v>110</v>
      </c>
      <c r="D3020" s="1" t="str">
        <f>"ملزومات اداري اصفهان"</f>
        <v>ملزومات اداري اصفهان</v>
      </c>
      <c r="E3020" s="1" t="str">
        <f>"1502031062"</f>
        <v>1502031062</v>
      </c>
      <c r="F3020" s="1" t="s">
        <v>175</v>
      </c>
      <c r="G3020" s="1" t="str">
        <f>"عدد"</f>
        <v>عدد</v>
      </c>
      <c r="H3020" s="1">
        <v>0</v>
      </c>
      <c r="I3020" s="1">
        <v>0</v>
      </c>
      <c r="J3020" s="1">
        <v>1</v>
      </c>
      <c r="K3020" s="1">
        <v>750000</v>
      </c>
      <c r="L3020" s="1">
        <v>1</v>
      </c>
      <c r="M3020" s="1">
        <v>750000</v>
      </c>
      <c r="O3020" s="1">
        <v>97</v>
      </c>
      <c r="P3020" s="1">
        <f t="shared" si="141"/>
        <v>0</v>
      </c>
      <c r="Q3020" s="1">
        <f t="shared" si="142"/>
        <v>0</v>
      </c>
      <c r="R3020" s="1" t="e">
        <f t="shared" si="143"/>
        <v>#DIV/0!</v>
      </c>
    </row>
    <row r="3021" spans="1:18" hidden="1">
      <c r="A3021" s="1">
        <v>6</v>
      </c>
      <c r="B3021" s="1" t="str">
        <f>"موجودي ملزومات اداري"</f>
        <v>موجودي ملزومات اداري</v>
      </c>
      <c r="C3021" s="1">
        <v>110</v>
      </c>
      <c r="D3021" s="1" t="str">
        <f>"ملزومات اداري اصفهان"</f>
        <v>ملزومات اداري اصفهان</v>
      </c>
      <c r="E3021" s="1" t="str">
        <f>"1502031152"</f>
        <v>1502031152</v>
      </c>
      <c r="F3021" s="1" t="str">
        <f>"ليوان يکبار مصرف"</f>
        <v>ليوان يکبار مصرف</v>
      </c>
      <c r="G3021" s="1" t="str">
        <f>"بسته"</f>
        <v>بسته</v>
      </c>
      <c r="H3021" s="1">
        <v>0</v>
      </c>
      <c r="I3021" s="1">
        <v>0</v>
      </c>
      <c r="J3021" s="1">
        <v>140</v>
      </c>
      <c r="K3021" s="1">
        <v>14700000</v>
      </c>
      <c r="L3021" s="1">
        <v>140</v>
      </c>
      <c r="M3021" s="1">
        <v>14700000</v>
      </c>
      <c r="O3021" s="1">
        <v>97</v>
      </c>
      <c r="P3021" s="1">
        <f t="shared" si="141"/>
        <v>0</v>
      </c>
      <c r="Q3021" s="1">
        <f t="shared" si="142"/>
        <v>0</v>
      </c>
      <c r="R3021" s="1" t="e">
        <f t="shared" si="143"/>
        <v>#DIV/0!</v>
      </c>
    </row>
    <row r="3022" spans="1:18" hidden="1">
      <c r="A3022" s="1">
        <v>6</v>
      </c>
      <c r="B3022" s="1" t="str">
        <f>"موجودي ملزومات اداري"</f>
        <v>موجودي ملزومات اداري</v>
      </c>
      <c r="C3022" s="1">
        <v>110</v>
      </c>
      <c r="D3022" s="1" t="str">
        <f>"ملزومات اداري اصفهان"</f>
        <v>ملزومات اداري اصفهان</v>
      </c>
      <c r="E3022" s="1" t="str">
        <f>"1502031182"</f>
        <v>1502031182</v>
      </c>
      <c r="F3022" s="1" t="str">
        <f>"اتوماتيک پمپ"</f>
        <v>اتوماتيک پمپ</v>
      </c>
      <c r="G3022" s="1" t="str">
        <f>"عدد"</f>
        <v>عدد</v>
      </c>
      <c r="H3022" s="1">
        <v>0</v>
      </c>
      <c r="I3022" s="1">
        <v>0</v>
      </c>
      <c r="J3022" s="1">
        <v>1</v>
      </c>
      <c r="K3022" s="1">
        <v>1600000</v>
      </c>
      <c r="L3022" s="1">
        <v>1</v>
      </c>
      <c r="M3022" s="1">
        <v>1600000</v>
      </c>
      <c r="O3022" s="1">
        <v>97</v>
      </c>
      <c r="P3022" s="1">
        <f t="shared" si="141"/>
        <v>0</v>
      </c>
      <c r="Q3022" s="1">
        <f t="shared" si="142"/>
        <v>0</v>
      </c>
      <c r="R3022" s="1" t="e">
        <f t="shared" si="143"/>
        <v>#DIV/0!</v>
      </c>
    </row>
    <row r="3023" spans="1:18" hidden="1">
      <c r="A3023" s="1">
        <v>6</v>
      </c>
      <c r="B3023" s="1" t="str">
        <f>"موجودي ملزومات اداري"</f>
        <v>موجودي ملزومات اداري</v>
      </c>
      <c r="C3023" s="1">
        <v>110</v>
      </c>
      <c r="D3023" s="1" t="str">
        <f>"ملزومات اداري اصفهان"</f>
        <v>ملزومات اداري اصفهان</v>
      </c>
      <c r="E3023" s="1" t="str">
        <f>"1502031302"</f>
        <v>1502031302</v>
      </c>
      <c r="F3023" s="1" t="str">
        <f>"سلفون 500 متري"</f>
        <v>سلفون 500 متري</v>
      </c>
      <c r="G3023" s="1" t="str">
        <f>"رول"</f>
        <v>رول</v>
      </c>
      <c r="H3023" s="1">
        <v>0</v>
      </c>
      <c r="I3023" s="1">
        <v>0</v>
      </c>
      <c r="J3023" s="1">
        <v>1</v>
      </c>
      <c r="K3023" s="1">
        <v>850000</v>
      </c>
      <c r="L3023" s="1">
        <v>1</v>
      </c>
      <c r="M3023" s="1">
        <v>850000</v>
      </c>
      <c r="O3023" s="1">
        <v>97</v>
      </c>
      <c r="P3023" s="1">
        <f t="shared" si="141"/>
        <v>0</v>
      </c>
      <c r="Q3023" s="1">
        <f t="shared" si="142"/>
        <v>0</v>
      </c>
      <c r="R3023" s="1" t="e">
        <f t="shared" si="143"/>
        <v>#DIV/0!</v>
      </c>
    </row>
    <row r="3024" spans="1:18" hidden="1">
      <c r="A3024" s="1">
        <v>6</v>
      </c>
      <c r="B3024" s="1" t="str">
        <f>"موجودي ملزومات اداري"</f>
        <v>موجودي ملزومات اداري</v>
      </c>
      <c r="C3024" s="1">
        <v>110</v>
      </c>
      <c r="D3024" s="1" t="str">
        <f>"ملزومات اداري اصفهان"</f>
        <v>ملزومات اداري اصفهان</v>
      </c>
      <c r="E3024" s="1" t="str">
        <f>"1502031512"</f>
        <v>1502031512</v>
      </c>
      <c r="F3024" s="1" t="str">
        <f>"توالت شوي (برس دستشويي)"</f>
        <v>توالت شوي (برس دستشويي)</v>
      </c>
      <c r="G3024" s="1" t="str">
        <f>"عدد"</f>
        <v>عدد</v>
      </c>
      <c r="H3024" s="1">
        <v>0</v>
      </c>
      <c r="I3024" s="1">
        <v>0</v>
      </c>
      <c r="J3024" s="1">
        <v>20</v>
      </c>
      <c r="K3024" s="1">
        <v>4000000</v>
      </c>
      <c r="L3024" s="1">
        <v>20</v>
      </c>
      <c r="M3024" s="1">
        <v>4000000</v>
      </c>
      <c r="O3024" s="1">
        <v>97</v>
      </c>
      <c r="P3024" s="1">
        <f t="shared" si="141"/>
        <v>0</v>
      </c>
      <c r="Q3024" s="1">
        <f t="shared" si="142"/>
        <v>0</v>
      </c>
      <c r="R3024" s="1" t="e">
        <f t="shared" si="143"/>
        <v>#DIV/0!</v>
      </c>
    </row>
    <row r="3025" spans="1:18" hidden="1">
      <c r="A3025" s="1">
        <v>6</v>
      </c>
      <c r="B3025" s="1" t="str">
        <f>"موجودي ملزومات اداري"</f>
        <v>موجودي ملزومات اداري</v>
      </c>
      <c r="C3025" s="1">
        <v>110</v>
      </c>
      <c r="D3025" s="1" t="str">
        <f>"ملزومات اداري اصفهان"</f>
        <v>ملزومات اداري اصفهان</v>
      </c>
      <c r="E3025" s="1" t="str">
        <f>"1502031532"</f>
        <v>1502031532</v>
      </c>
      <c r="F3025" s="1" t="str">
        <f>"مقوا 160گرمي 500 برگي"</f>
        <v>مقوا 160گرمي 500 برگي</v>
      </c>
      <c r="G3025" s="1" t="str">
        <f>"بسته"</f>
        <v>بسته</v>
      </c>
      <c r="H3025" s="1">
        <v>0</v>
      </c>
      <c r="I3025" s="1">
        <v>0</v>
      </c>
      <c r="J3025" s="1">
        <v>2</v>
      </c>
      <c r="K3025" s="1">
        <v>2400000</v>
      </c>
      <c r="L3025" s="1">
        <v>2</v>
      </c>
      <c r="M3025" s="1">
        <v>2400000</v>
      </c>
      <c r="O3025" s="1">
        <v>97</v>
      </c>
      <c r="P3025" s="1">
        <f t="shared" si="141"/>
        <v>0</v>
      </c>
      <c r="Q3025" s="1">
        <f t="shared" si="142"/>
        <v>0</v>
      </c>
      <c r="R3025" s="1" t="e">
        <f t="shared" si="143"/>
        <v>#DIV/0!</v>
      </c>
    </row>
    <row r="3026" spans="1:18">
      <c r="A3026" s="1">
        <v>9</v>
      </c>
      <c r="B3026" s="1" t="str">
        <f>"موجودي داراييهاي ثابت نزد انبار"</f>
        <v>موجودي داراييهاي ثابت نزد انبار</v>
      </c>
      <c r="C3026" s="1">
        <v>117</v>
      </c>
      <c r="D3026" s="1" t="str">
        <f>"انبار دارايي ثابت اصفهان"</f>
        <v>انبار دارايي ثابت اصفهان</v>
      </c>
      <c r="E3026" s="1" t="str">
        <f>"1301020022"</f>
        <v>1301020022</v>
      </c>
      <c r="F3026" s="1" t="str">
        <f>"GASKET CUTTER MACHINE"</f>
        <v>GASKET CUTTER MACHINE</v>
      </c>
      <c r="G3026" s="1" t="str">
        <f>"دستگاه"</f>
        <v>دستگاه</v>
      </c>
      <c r="H3026" s="1">
        <v>1</v>
      </c>
      <c r="I3026" s="1">
        <v>52250000</v>
      </c>
      <c r="J3026" s="1">
        <v>0</v>
      </c>
      <c r="K3026" s="1">
        <v>0</v>
      </c>
      <c r="L3026" s="1">
        <v>0</v>
      </c>
      <c r="M3026" s="1">
        <v>0</v>
      </c>
      <c r="O3026" s="1">
        <v>97</v>
      </c>
      <c r="P3026" s="4">
        <f t="shared" si="141"/>
        <v>52250000</v>
      </c>
      <c r="Q3026" s="4">
        <f t="shared" si="142"/>
        <v>1</v>
      </c>
      <c r="R3026" s="4">
        <f t="shared" si="143"/>
        <v>52250000</v>
      </c>
    </row>
    <row r="3027" spans="1:18">
      <c r="A3027" s="1">
        <v>9</v>
      </c>
      <c r="B3027" s="1" t="str">
        <f>"موجودي داراييهاي ثابت نزد انبار"</f>
        <v>موجودي داراييهاي ثابت نزد انبار</v>
      </c>
      <c r="C3027" s="1">
        <v>117</v>
      </c>
      <c r="D3027" s="1" t="str">
        <f>"انبار دارايي ثابت اصفهان"</f>
        <v>انبار دارايي ثابت اصفهان</v>
      </c>
      <c r="E3027" s="1" t="str">
        <f>"1301021192"</f>
        <v>1301021192</v>
      </c>
      <c r="F3027" s="1" t="str">
        <f>"سماور برقي 30 ليتري"</f>
        <v>سماور برقي 30 ليتري</v>
      </c>
      <c r="G3027" s="1" t="str">
        <f>"عدد"</f>
        <v>عدد</v>
      </c>
      <c r="H3027" s="1">
        <v>1</v>
      </c>
      <c r="I3027" s="1">
        <v>2200000</v>
      </c>
      <c r="J3027" s="1">
        <v>0</v>
      </c>
      <c r="K3027" s="1">
        <v>0</v>
      </c>
      <c r="L3027" s="1">
        <v>0</v>
      </c>
      <c r="M3027" s="1">
        <v>0</v>
      </c>
      <c r="O3027" s="1">
        <v>97</v>
      </c>
      <c r="P3027" s="4">
        <f t="shared" si="141"/>
        <v>2200000</v>
      </c>
      <c r="Q3027" s="4">
        <f t="shared" si="142"/>
        <v>1</v>
      </c>
      <c r="R3027" s="4">
        <f t="shared" si="143"/>
        <v>2200000</v>
      </c>
    </row>
    <row r="3028" spans="1:18">
      <c r="A3028" s="1">
        <v>9</v>
      </c>
      <c r="B3028" s="1" t="str">
        <f>"موجودي داراييهاي ثابت نزد انبار"</f>
        <v>موجودي داراييهاي ثابت نزد انبار</v>
      </c>
      <c r="C3028" s="1">
        <v>117</v>
      </c>
      <c r="D3028" s="1" t="str">
        <f>"انبار دارايي ثابت اصفهان"</f>
        <v>انبار دارايي ثابت اصفهان</v>
      </c>
      <c r="E3028" s="1" t="str">
        <f>"1301021362"</f>
        <v>1301021362</v>
      </c>
      <c r="F3028" s="1" t="str">
        <f>"سيلندر کاليبراسيون"</f>
        <v>سيلندر کاليبراسيون</v>
      </c>
      <c r="G3028" s="1" t="str">
        <f>"دستگاه"</f>
        <v>دستگاه</v>
      </c>
      <c r="H3028" s="1">
        <v>2</v>
      </c>
      <c r="I3028" s="1">
        <v>291762936</v>
      </c>
      <c r="J3028" s="1">
        <v>0</v>
      </c>
      <c r="K3028" s="1">
        <v>0</v>
      </c>
      <c r="L3028" s="1">
        <v>0</v>
      </c>
      <c r="M3028" s="1">
        <v>0</v>
      </c>
      <c r="O3028" s="1">
        <v>97</v>
      </c>
      <c r="P3028" s="4">
        <f t="shared" si="141"/>
        <v>291762936</v>
      </c>
      <c r="Q3028" s="4">
        <f t="shared" si="142"/>
        <v>2</v>
      </c>
      <c r="R3028" s="4">
        <f t="shared" si="143"/>
        <v>145881468</v>
      </c>
    </row>
    <row r="3029" spans="1:18" hidden="1">
      <c r="A3029" s="1">
        <v>9</v>
      </c>
      <c r="B3029" s="1" t="str">
        <f>"موجودي داراييهاي ثابت نزد انبار"</f>
        <v>موجودي داراييهاي ثابت نزد انبار</v>
      </c>
      <c r="C3029" s="1">
        <v>117</v>
      </c>
      <c r="D3029" s="1" t="str">
        <f>"انبار دارايي ثابت اصفهان"</f>
        <v>انبار دارايي ثابت اصفهان</v>
      </c>
      <c r="E3029" s="1" t="str">
        <f>"1301021472"</f>
        <v>1301021472</v>
      </c>
      <c r="F3029" s="1" t="str">
        <f>"ميز مديريت MDF"</f>
        <v>ميز مديريت MDF</v>
      </c>
      <c r="G3029" s="1" t="str">
        <f>"عدد"</f>
        <v>عدد</v>
      </c>
      <c r="H3029" s="1">
        <v>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O3029" s="1">
        <v>97</v>
      </c>
      <c r="P3029" s="1">
        <f t="shared" si="141"/>
        <v>0</v>
      </c>
      <c r="Q3029" s="1">
        <f t="shared" si="142"/>
        <v>0</v>
      </c>
      <c r="R3029" s="1" t="e">
        <f t="shared" si="143"/>
        <v>#DIV/0!</v>
      </c>
    </row>
    <row r="3030" spans="1:18" hidden="1">
      <c r="A3030" s="1">
        <v>9</v>
      </c>
      <c r="B3030" s="1" t="str">
        <f>"موجودي داراييهاي ثابت نزد انبار"</f>
        <v>موجودي داراييهاي ثابت نزد انبار</v>
      </c>
      <c r="C3030" s="1">
        <v>117</v>
      </c>
      <c r="D3030" s="1" t="str">
        <f>"انبار دارايي ثابت اصفهان"</f>
        <v>انبار دارايي ثابت اصفهان</v>
      </c>
      <c r="E3030" s="1" t="str">
        <f>"1301021582"</f>
        <v>1301021582</v>
      </c>
      <c r="F3030" s="1" t="str">
        <f>"ترازوي ديجيتالي 50 کيلوئي"</f>
        <v>ترازوي ديجيتالي 50 کيلوئي</v>
      </c>
      <c r="G3030" s="1" t="str">
        <f>"دستگاه"</f>
        <v>دستگاه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O3030" s="1">
        <v>97</v>
      </c>
      <c r="P3030" s="1">
        <f t="shared" si="141"/>
        <v>0</v>
      </c>
      <c r="Q3030" s="1">
        <f t="shared" si="142"/>
        <v>0</v>
      </c>
      <c r="R3030" s="1" t="e">
        <f t="shared" si="143"/>
        <v>#DIV/0!</v>
      </c>
    </row>
    <row r="3031" spans="1:18" hidden="1">
      <c r="A3031" s="1">
        <v>9</v>
      </c>
      <c r="B3031" s="1" t="str">
        <f>"موجودي داراييهاي ثابت نزد انبار"</f>
        <v>موجودي داراييهاي ثابت نزد انبار</v>
      </c>
      <c r="C3031" s="1">
        <v>117</v>
      </c>
      <c r="D3031" s="1" t="str">
        <f>"انبار دارايي ثابت اصفهان"</f>
        <v>انبار دارايي ثابت اصفهان</v>
      </c>
      <c r="E3031" s="1" t="str">
        <f>"1301021592"</f>
        <v>1301021592</v>
      </c>
      <c r="F3031" s="1" t="str">
        <f>"صفحه دارت"</f>
        <v>صفحه دارت</v>
      </c>
      <c r="G3031" s="1" t="str">
        <f>"عدد"</f>
        <v>عدد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O3031" s="1">
        <v>97</v>
      </c>
      <c r="P3031" s="1">
        <f t="shared" si="141"/>
        <v>0</v>
      </c>
      <c r="Q3031" s="1">
        <f t="shared" si="142"/>
        <v>0</v>
      </c>
      <c r="R3031" s="1" t="e">
        <f t="shared" si="143"/>
        <v>#DIV/0!</v>
      </c>
    </row>
    <row r="3032" spans="1:18" hidden="1">
      <c r="A3032" s="1">
        <v>9</v>
      </c>
      <c r="B3032" s="1" t="str">
        <f>"موجودي داراييهاي ثابت نزد انبار"</f>
        <v>موجودي داراييهاي ثابت نزد انبار</v>
      </c>
      <c r="C3032" s="1">
        <v>117</v>
      </c>
      <c r="D3032" s="1" t="str">
        <f>"انبار دارايي ثابت اصفهان"</f>
        <v>انبار دارايي ثابت اصفهان</v>
      </c>
      <c r="E3032" s="1" t="str">
        <f>"1301021642"</f>
        <v>1301021642</v>
      </c>
      <c r="F3032" s="1" t="str">
        <f>"کمد 207*40*40 MDF"</f>
        <v>کمد 207*40*40 MDF</v>
      </c>
      <c r="G3032" s="1" t="str">
        <f>"عدد"</f>
        <v>عدد</v>
      </c>
      <c r="H3032" s="1">
        <v>0</v>
      </c>
      <c r="I3032" s="1">
        <v>0</v>
      </c>
      <c r="J3032" s="1">
        <v>7</v>
      </c>
      <c r="K3032" s="1">
        <v>51400000</v>
      </c>
      <c r="L3032" s="1">
        <v>7</v>
      </c>
      <c r="M3032" s="1">
        <v>51400000</v>
      </c>
      <c r="O3032" s="1">
        <v>97</v>
      </c>
      <c r="P3032" s="1">
        <f t="shared" si="141"/>
        <v>0</v>
      </c>
      <c r="Q3032" s="1">
        <f t="shared" si="142"/>
        <v>0</v>
      </c>
      <c r="R3032" s="1" t="e">
        <f t="shared" si="143"/>
        <v>#DIV/0!</v>
      </c>
    </row>
    <row r="3033" spans="1:18" hidden="1">
      <c r="A3033" s="1">
        <v>9</v>
      </c>
      <c r="B3033" s="1" t="str">
        <f>"موجودي داراييهاي ثابت نزد انبار"</f>
        <v>موجودي داراييهاي ثابت نزد انبار</v>
      </c>
      <c r="C3033" s="1">
        <v>119</v>
      </c>
      <c r="D3033" s="1" t="str">
        <f>"انبار دارايي ثابت تهران"</f>
        <v>انبار دارايي ثابت تهران</v>
      </c>
      <c r="E3033" s="1" t="str">
        <f>"0000009535"</f>
        <v>0000009535</v>
      </c>
      <c r="F3033" s="1" t="str">
        <f>"کيس case green magnum evo"</f>
        <v>کيس case green magnum evo</v>
      </c>
      <c r="G3033" s="1" t="str">
        <f>"دستگاه"</f>
        <v>دستگاه</v>
      </c>
      <c r="H3033" s="1">
        <v>4</v>
      </c>
      <c r="I3033" s="1">
        <v>61200000</v>
      </c>
      <c r="J3033" s="1">
        <v>0</v>
      </c>
      <c r="K3033" s="1">
        <v>0</v>
      </c>
      <c r="L3033" s="1">
        <v>4</v>
      </c>
      <c r="M3033" s="1">
        <v>61200000</v>
      </c>
      <c r="O3033" s="1">
        <v>97</v>
      </c>
      <c r="P3033" s="1">
        <f t="shared" si="141"/>
        <v>0</v>
      </c>
      <c r="Q3033" s="1">
        <f t="shared" si="142"/>
        <v>0</v>
      </c>
      <c r="R3033" s="1" t="e">
        <f t="shared" si="143"/>
        <v>#DIV/0!</v>
      </c>
    </row>
    <row r="3034" spans="1:18" hidden="1">
      <c r="A3034" s="1">
        <v>9</v>
      </c>
      <c r="B3034" s="1" t="str">
        <f>"موجودي داراييهاي ثابت نزد انبار"</f>
        <v>موجودي داراييهاي ثابت نزد انبار</v>
      </c>
      <c r="C3034" s="1">
        <v>119</v>
      </c>
      <c r="D3034" s="1" t="str">
        <f>"انبار دارايي ثابت تهران"</f>
        <v>انبار دارايي ثابت تهران</v>
      </c>
      <c r="E3034" s="1" t="str">
        <f>"0000009547"</f>
        <v>0000009547</v>
      </c>
      <c r="F3034" s="1" t="str">
        <f>"دستگاه کاغذ خرد کن نيکيتا مدل SD9355"</f>
        <v>دستگاه کاغذ خرد کن نيکيتا مدل SD9355</v>
      </c>
      <c r="G3034" s="1" t="str">
        <f>"دستگاه"</f>
        <v>دستگاه</v>
      </c>
      <c r="H3034" s="1">
        <v>0</v>
      </c>
      <c r="I3034" s="1">
        <v>0</v>
      </c>
      <c r="J3034" s="1">
        <v>2</v>
      </c>
      <c r="K3034" s="1">
        <v>37000000</v>
      </c>
      <c r="L3034" s="1">
        <v>2</v>
      </c>
      <c r="M3034" s="1">
        <v>37000000</v>
      </c>
      <c r="O3034" s="1">
        <v>97</v>
      </c>
      <c r="P3034" s="1">
        <f t="shared" si="141"/>
        <v>0</v>
      </c>
      <c r="Q3034" s="1">
        <f t="shared" si="142"/>
        <v>0</v>
      </c>
      <c r="R3034" s="1" t="e">
        <f t="shared" si="143"/>
        <v>#DIV/0!</v>
      </c>
    </row>
    <row r="3035" spans="1:18">
      <c r="A3035" s="1">
        <v>2</v>
      </c>
      <c r="B3035" s="1" t="str">
        <f>"قطعات و لوازم يدكي"</f>
        <v>قطعات و لوازم يدكي</v>
      </c>
      <c r="C3035" s="1">
        <v>120</v>
      </c>
      <c r="D3035" s="1" t="str">
        <f>"انبار قطعات و لوازم يدكي بشکه سازي اصفهان"</f>
        <v>انبار قطعات و لوازم يدكي بشکه سازي اصفهان</v>
      </c>
      <c r="E3035" s="1" t="str">
        <f>"4311700163"</f>
        <v>4311700163</v>
      </c>
      <c r="F3035" s="1" t="str">
        <f>"پيچ آلن 8*M16"</f>
        <v>پيچ آلن 8*M16</v>
      </c>
      <c r="G3035" s="1" t="str">
        <f>"عدد"</f>
        <v>عدد</v>
      </c>
      <c r="H3035" s="1">
        <v>0</v>
      </c>
      <c r="I3035" s="1">
        <v>0</v>
      </c>
      <c r="J3035" s="1">
        <v>14</v>
      </c>
      <c r="K3035" s="1">
        <v>35000</v>
      </c>
      <c r="L3035" s="1">
        <v>0</v>
      </c>
      <c r="M3035" s="1">
        <v>0</v>
      </c>
      <c r="O3035" s="1">
        <v>97</v>
      </c>
      <c r="P3035" s="4">
        <f t="shared" si="141"/>
        <v>35000</v>
      </c>
      <c r="Q3035" s="4">
        <f t="shared" si="142"/>
        <v>14</v>
      </c>
      <c r="R3035" s="4">
        <f t="shared" si="143"/>
        <v>2500</v>
      </c>
    </row>
    <row r="3036" spans="1:18">
      <c r="A3036" s="1">
        <v>2</v>
      </c>
      <c r="B3036" s="1" t="str">
        <f>"قطعات و لوازم يدكي"</f>
        <v>قطعات و لوازم يدكي</v>
      </c>
      <c r="C3036" s="1">
        <v>120</v>
      </c>
      <c r="D3036" s="1" t="str">
        <f>"انبار قطعات و لوازم يدكي بشکه سازي اصفهان"</f>
        <v>انبار قطعات و لوازم يدكي بشکه سازي اصفهان</v>
      </c>
      <c r="E3036" s="1" t="str">
        <f>"4311700165"</f>
        <v>4311700165</v>
      </c>
      <c r="F3036" s="1" t="str">
        <f>"پيچ آلن m12, 3 *M10"</f>
        <v>پيچ آلن m12, 3 *M10</v>
      </c>
      <c r="G3036" s="1" t="str">
        <f>"عدد"</f>
        <v>عدد</v>
      </c>
      <c r="H3036" s="1">
        <v>0</v>
      </c>
      <c r="I3036" s="1">
        <v>0</v>
      </c>
      <c r="J3036" s="1">
        <v>28</v>
      </c>
      <c r="K3036" s="1">
        <v>70000</v>
      </c>
      <c r="L3036" s="1">
        <v>5</v>
      </c>
      <c r="M3036" s="1">
        <v>12500</v>
      </c>
      <c r="O3036" s="1">
        <v>97</v>
      </c>
      <c r="P3036" s="4">
        <f t="shared" si="141"/>
        <v>57500</v>
      </c>
      <c r="Q3036" s="4">
        <f t="shared" si="142"/>
        <v>23</v>
      </c>
      <c r="R3036" s="4">
        <f t="shared" si="143"/>
        <v>2500</v>
      </c>
    </row>
    <row r="3037" spans="1:18">
      <c r="A3037" s="1">
        <v>2</v>
      </c>
      <c r="B3037" s="1" t="str">
        <f>"قطعات و لوازم يدكي"</f>
        <v>قطعات و لوازم يدكي</v>
      </c>
      <c r="C3037" s="1">
        <v>120</v>
      </c>
      <c r="D3037" s="1" t="str">
        <f>"انبار قطعات و لوازم يدكي بشکه سازي اصفهان"</f>
        <v>انبار قطعات و لوازم يدكي بشکه سازي اصفهان</v>
      </c>
      <c r="E3037" s="1" t="str">
        <f>"4311700175"</f>
        <v>4311700175</v>
      </c>
      <c r="F3037" s="1" t="str">
        <f>"مهره M14"</f>
        <v>مهره M14</v>
      </c>
      <c r="G3037" s="1" t="str">
        <f>"عدد"</f>
        <v>عدد</v>
      </c>
      <c r="H3037" s="1">
        <v>0</v>
      </c>
      <c r="I3037" s="1">
        <v>0</v>
      </c>
      <c r="J3037" s="1">
        <v>39</v>
      </c>
      <c r="K3037" s="1">
        <v>58500</v>
      </c>
      <c r="L3037" s="1">
        <v>0</v>
      </c>
      <c r="M3037" s="1">
        <v>0</v>
      </c>
      <c r="O3037" s="1">
        <v>97</v>
      </c>
      <c r="P3037" s="4">
        <f t="shared" si="141"/>
        <v>58500</v>
      </c>
      <c r="Q3037" s="4">
        <f t="shared" si="142"/>
        <v>39</v>
      </c>
      <c r="R3037" s="4">
        <f t="shared" si="143"/>
        <v>1500</v>
      </c>
    </row>
    <row r="3038" spans="1:18">
      <c r="A3038" s="1">
        <v>2</v>
      </c>
      <c r="B3038" s="1" t="str">
        <f>"قطعات و لوازم يدكي"</f>
        <v>قطعات و لوازم يدكي</v>
      </c>
      <c r="C3038" s="1">
        <v>120</v>
      </c>
      <c r="D3038" s="1" t="str">
        <f>"انبار قطعات و لوازم يدكي بشکه سازي اصفهان"</f>
        <v>انبار قطعات و لوازم يدكي بشکه سازي اصفهان</v>
      </c>
      <c r="E3038" s="1" t="str">
        <f>"4311700187"</f>
        <v>4311700187</v>
      </c>
      <c r="F3038" s="1" t="str">
        <f>"رول پلاک سايز 10"</f>
        <v>رول پلاک سايز 10</v>
      </c>
      <c r="G3038" s="1" t="str">
        <f>"عدد"</f>
        <v>عدد</v>
      </c>
      <c r="H3038" s="1">
        <v>0</v>
      </c>
      <c r="I3038" s="1">
        <v>0</v>
      </c>
      <c r="J3038" s="1">
        <v>300</v>
      </c>
      <c r="K3038" s="1">
        <v>300000</v>
      </c>
      <c r="L3038" s="1">
        <v>0</v>
      </c>
      <c r="M3038" s="1">
        <v>0</v>
      </c>
      <c r="O3038" s="1">
        <v>97</v>
      </c>
      <c r="P3038" s="4">
        <f t="shared" si="141"/>
        <v>300000</v>
      </c>
      <c r="Q3038" s="4">
        <f t="shared" si="142"/>
        <v>300</v>
      </c>
      <c r="R3038" s="4">
        <f t="shared" si="143"/>
        <v>1000</v>
      </c>
    </row>
    <row r="3039" spans="1:18">
      <c r="A3039" s="1">
        <v>2</v>
      </c>
      <c r="B3039" s="1" t="str">
        <f>"قطعات و لوازم يدكي"</f>
        <v>قطعات و لوازم يدكي</v>
      </c>
      <c r="C3039" s="1">
        <v>120</v>
      </c>
      <c r="D3039" s="1" t="str">
        <f>"انبار قطعات و لوازم يدكي بشکه سازي اصفهان"</f>
        <v>انبار قطعات و لوازم يدكي بشکه سازي اصفهان</v>
      </c>
      <c r="E3039" s="1" t="str">
        <f>"4311700192"</f>
        <v>4311700192</v>
      </c>
      <c r="F3039" s="1" t="str">
        <f>"رول پلاک کابلي"</f>
        <v>رول پلاک کابلي</v>
      </c>
      <c r="G3039" s="1" t="str">
        <f>"عدد"</f>
        <v>عدد</v>
      </c>
      <c r="H3039" s="1">
        <v>0</v>
      </c>
      <c r="I3039" s="1">
        <v>0</v>
      </c>
      <c r="J3039" s="1">
        <v>33</v>
      </c>
      <c r="K3039" s="1">
        <v>33000</v>
      </c>
      <c r="L3039" s="1">
        <v>0</v>
      </c>
      <c r="M3039" s="1">
        <v>0</v>
      </c>
      <c r="O3039" s="1">
        <v>97</v>
      </c>
      <c r="P3039" s="4">
        <f t="shared" si="141"/>
        <v>33000</v>
      </c>
      <c r="Q3039" s="4">
        <f t="shared" si="142"/>
        <v>33</v>
      </c>
      <c r="R3039" s="4">
        <f t="shared" si="143"/>
        <v>1000</v>
      </c>
    </row>
    <row r="3040" spans="1:18">
      <c r="A3040" s="1">
        <v>2</v>
      </c>
      <c r="B3040" s="1" t="str">
        <f>"قطعات و لوازم يدكي"</f>
        <v>قطعات و لوازم يدكي</v>
      </c>
      <c r="C3040" s="1">
        <v>120</v>
      </c>
      <c r="D3040" s="1" t="str">
        <f>"انبار قطعات و لوازم يدكي بشکه سازي اصفهان"</f>
        <v>انبار قطعات و لوازم يدكي بشکه سازي اصفهان</v>
      </c>
      <c r="E3040" s="1" t="str">
        <f>"4311700206"</f>
        <v>4311700206</v>
      </c>
      <c r="F3040" s="1" t="str">
        <f>"تبديل پنوماتيک 8*8"</f>
        <v>تبديل پنوماتيک 8*8</v>
      </c>
      <c r="G3040" s="1" t="str">
        <f>"عدد"</f>
        <v>عدد</v>
      </c>
      <c r="H3040" s="1">
        <v>0</v>
      </c>
      <c r="I3040" s="1">
        <v>0</v>
      </c>
      <c r="J3040" s="1">
        <v>2</v>
      </c>
      <c r="K3040" s="1">
        <v>360000</v>
      </c>
      <c r="L3040" s="1">
        <v>0</v>
      </c>
      <c r="M3040" s="1">
        <v>0</v>
      </c>
      <c r="O3040" s="1">
        <v>97</v>
      </c>
      <c r="P3040" s="4">
        <f t="shared" si="141"/>
        <v>360000</v>
      </c>
      <c r="Q3040" s="4">
        <f t="shared" si="142"/>
        <v>2</v>
      </c>
      <c r="R3040" s="4">
        <f t="shared" si="143"/>
        <v>180000</v>
      </c>
    </row>
    <row r="3041" spans="1:18">
      <c r="A3041" s="1">
        <v>2</v>
      </c>
      <c r="B3041" s="1" t="str">
        <f>"قطعات و لوازم يدكي"</f>
        <v>قطعات و لوازم يدكي</v>
      </c>
      <c r="C3041" s="1">
        <v>120</v>
      </c>
      <c r="D3041" s="1" t="str">
        <f>"انبار قطعات و لوازم يدكي بشکه سازي اصفهان"</f>
        <v>انبار قطعات و لوازم يدكي بشکه سازي اصفهان</v>
      </c>
      <c r="E3041" s="1" t="str">
        <f>"4311700212"</f>
        <v>4311700212</v>
      </c>
      <c r="F3041" s="1" t="str">
        <f>"زانو تبديل پنوماتيک سايز 12"</f>
        <v>زانو تبديل پنوماتيک سايز 12</v>
      </c>
      <c r="G3041" s="1" t="str">
        <f>"عدد"</f>
        <v>عدد</v>
      </c>
      <c r="H3041" s="1">
        <v>0</v>
      </c>
      <c r="I3041" s="1">
        <v>0</v>
      </c>
      <c r="J3041" s="1">
        <v>1</v>
      </c>
      <c r="K3041" s="1">
        <v>80000</v>
      </c>
      <c r="L3041" s="1">
        <v>0</v>
      </c>
      <c r="M3041" s="1">
        <v>0</v>
      </c>
      <c r="O3041" s="1">
        <v>97</v>
      </c>
      <c r="P3041" s="4">
        <f t="shared" si="141"/>
        <v>80000</v>
      </c>
      <c r="Q3041" s="4">
        <f t="shared" si="142"/>
        <v>1</v>
      </c>
      <c r="R3041" s="4">
        <f t="shared" si="143"/>
        <v>80000</v>
      </c>
    </row>
    <row r="3042" spans="1:18">
      <c r="A3042" s="1">
        <v>2</v>
      </c>
      <c r="B3042" s="1" t="str">
        <f>"قطعات و لوازم يدكي"</f>
        <v>قطعات و لوازم يدكي</v>
      </c>
      <c r="C3042" s="1">
        <v>120</v>
      </c>
      <c r="D3042" s="1" t="str">
        <f>"انبار قطعات و لوازم يدكي بشکه سازي اصفهان"</f>
        <v>انبار قطعات و لوازم يدكي بشکه سازي اصفهان</v>
      </c>
      <c r="E3042" s="1" t="str">
        <f>"4311700229"</f>
        <v>4311700229</v>
      </c>
      <c r="F3042" s="1" t="str">
        <f>"گريس خور"</f>
        <v>گريس خور</v>
      </c>
      <c r="G3042" s="1" t="str">
        <f>"عدد"</f>
        <v>عدد</v>
      </c>
      <c r="H3042" s="1">
        <v>0</v>
      </c>
      <c r="I3042" s="1">
        <v>0</v>
      </c>
      <c r="J3042" s="1">
        <v>21</v>
      </c>
      <c r="K3042" s="1">
        <v>1260000</v>
      </c>
      <c r="L3042" s="1">
        <v>0</v>
      </c>
      <c r="M3042" s="1">
        <v>0</v>
      </c>
      <c r="O3042" s="1">
        <v>97</v>
      </c>
      <c r="P3042" s="4">
        <f t="shared" si="141"/>
        <v>1260000</v>
      </c>
      <c r="Q3042" s="4">
        <f t="shared" si="142"/>
        <v>21</v>
      </c>
      <c r="R3042" s="4">
        <f t="shared" si="143"/>
        <v>60000</v>
      </c>
    </row>
    <row r="3043" spans="1:18">
      <c r="A3043" s="1">
        <v>2</v>
      </c>
      <c r="B3043" s="1" t="str">
        <f>"قطعات و لوازم يدكي"</f>
        <v>قطعات و لوازم يدكي</v>
      </c>
      <c r="C3043" s="1">
        <v>120</v>
      </c>
      <c r="D3043" s="1" t="str">
        <f>"انبار قطعات و لوازم يدكي بشکه سازي اصفهان"</f>
        <v>انبار قطعات و لوازم يدكي بشکه سازي اصفهان</v>
      </c>
      <c r="E3043" s="1" t="str">
        <f>"4311700243"</f>
        <v>4311700243</v>
      </c>
      <c r="F3043" s="1" t="str">
        <f>"قرقره مسي سايز 400"</f>
        <v>قرقره مسي سايز 400</v>
      </c>
      <c r="G3043" s="1" t="str">
        <f>"عدد"</f>
        <v>عدد</v>
      </c>
      <c r="H3043" s="1">
        <v>0</v>
      </c>
      <c r="I3043" s="1">
        <v>0</v>
      </c>
      <c r="J3043" s="1">
        <v>1</v>
      </c>
      <c r="K3043" s="1">
        <v>37000000</v>
      </c>
      <c r="L3043" s="1">
        <v>0</v>
      </c>
      <c r="M3043" s="1">
        <v>0</v>
      </c>
      <c r="O3043" s="1">
        <v>97</v>
      </c>
      <c r="P3043" s="4">
        <f t="shared" si="141"/>
        <v>37000000</v>
      </c>
      <c r="Q3043" s="4">
        <f t="shared" si="142"/>
        <v>1</v>
      </c>
      <c r="R3043" s="4">
        <f t="shared" si="143"/>
        <v>37000000</v>
      </c>
    </row>
    <row r="3044" spans="1:18">
      <c r="A3044" s="1">
        <v>2</v>
      </c>
      <c r="B3044" s="1" t="str">
        <f>"قطعات و لوازم يدكي"</f>
        <v>قطعات و لوازم يدكي</v>
      </c>
      <c r="C3044" s="1">
        <v>120</v>
      </c>
      <c r="D3044" s="1" t="str">
        <f>"انبار قطعات و لوازم يدكي بشکه سازي اصفهان"</f>
        <v>انبار قطعات و لوازم يدكي بشکه سازي اصفهان</v>
      </c>
      <c r="E3044" s="1" t="str">
        <f>"4311700247"</f>
        <v>4311700247</v>
      </c>
      <c r="F3044" s="1" t="str">
        <f>"قرقره مسي سايز 180"</f>
        <v>قرقره مسي سايز 180</v>
      </c>
      <c r="G3044" s="1" t="str">
        <f>"عدد"</f>
        <v>عدد</v>
      </c>
      <c r="H3044" s="1">
        <v>0</v>
      </c>
      <c r="I3044" s="1">
        <v>0</v>
      </c>
      <c r="J3044" s="1">
        <v>3</v>
      </c>
      <c r="K3044" s="1">
        <v>18500000</v>
      </c>
      <c r="L3044" s="1">
        <v>2</v>
      </c>
      <c r="M3044" s="1">
        <v>9800000</v>
      </c>
      <c r="O3044" s="1">
        <v>97</v>
      </c>
      <c r="P3044" s="4">
        <f t="shared" si="141"/>
        <v>8700000</v>
      </c>
      <c r="Q3044" s="4">
        <f t="shared" si="142"/>
        <v>1</v>
      </c>
      <c r="R3044" s="4">
        <f t="shared" si="143"/>
        <v>8700000</v>
      </c>
    </row>
    <row r="3045" spans="1:18">
      <c r="A3045" s="1">
        <v>2</v>
      </c>
      <c r="B3045" s="1" t="str">
        <f>"قطعات و لوازم يدكي"</f>
        <v>قطعات و لوازم يدكي</v>
      </c>
      <c r="C3045" s="1">
        <v>120</v>
      </c>
      <c r="D3045" s="1" t="str">
        <f>"انبار قطعات و لوازم يدكي بشکه سازي اصفهان"</f>
        <v>انبار قطعات و لوازم يدكي بشکه سازي اصفهان</v>
      </c>
      <c r="E3045" s="1" t="str">
        <f>"4311700253"</f>
        <v>4311700253</v>
      </c>
      <c r="F3045" s="1" t="str">
        <f>"لاستيک گاري تراکتور 16-6/50"</f>
        <v>لاستيک گاري تراکتور 16-6/50</v>
      </c>
      <c r="G3045" s="1" t="str">
        <f>"حلقه"</f>
        <v>حلقه</v>
      </c>
      <c r="H3045" s="1">
        <v>0</v>
      </c>
      <c r="I3045" s="1">
        <v>0</v>
      </c>
      <c r="J3045" s="1">
        <v>3</v>
      </c>
      <c r="K3045" s="1">
        <v>10500000</v>
      </c>
      <c r="L3045" s="1">
        <v>0</v>
      </c>
      <c r="M3045" s="1">
        <v>0</v>
      </c>
      <c r="O3045" s="1">
        <v>97</v>
      </c>
      <c r="P3045" s="4">
        <f t="shared" si="141"/>
        <v>10500000</v>
      </c>
      <c r="Q3045" s="4">
        <f t="shared" si="142"/>
        <v>3</v>
      </c>
      <c r="R3045" s="4">
        <f t="shared" si="143"/>
        <v>3500000</v>
      </c>
    </row>
    <row r="3046" spans="1:18">
      <c r="A3046" s="1">
        <v>2</v>
      </c>
      <c r="B3046" s="1" t="str">
        <f>"قطعات و لوازم يدكي"</f>
        <v>قطعات و لوازم يدكي</v>
      </c>
      <c r="C3046" s="1">
        <v>120</v>
      </c>
      <c r="D3046" s="1" t="str">
        <f>"انبار قطعات و لوازم يدكي بشکه سازي اصفهان"</f>
        <v>انبار قطعات و لوازم يدكي بشکه سازي اصفهان</v>
      </c>
      <c r="E3046" s="1" t="str">
        <f>"4311700256"</f>
        <v>4311700256</v>
      </c>
      <c r="F3046" s="1" t="str">
        <f>"کف پوش ضربه گير"</f>
        <v>کف پوش ضربه گير</v>
      </c>
      <c r="G3046" s="1" t="str">
        <f>"عدد"</f>
        <v>عدد</v>
      </c>
      <c r="H3046" s="1">
        <v>0</v>
      </c>
      <c r="I3046" s="1">
        <v>0</v>
      </c>
      <c r="J3046" s="1">
        <v>39</v>
      </c>
      <c r="K3046" s="1">
        <v>17550000</v>
      </c>
      <c r="L3046" s="1">
        <v>0</v>
      </c>
      <c r="M3046" s="1">
        <v>0</v>
      </c>
      <c r="O3046" s="1">
        <v>97</v>
      </c>
      <c r="P3046" s="4">
        <f t="shared" si="141"/>
        <v>17550000</v>
      </c>
      <c r="Q3046" s="4">
        <f t="shared" si="142"/>
        <v>39</v>
      </c>
      <c r="R3046" s="4">
        <f t="shared" si="143"/>
        <v>450000</v>
      </c>
    </row>
    <row r="3047" spans="1:18">
      <c r="A3047" s="1">
        <v>2</v>
      </c>
      <c r="B3047" s="1" t="str">
        <f>"قطعات و لوازم يدكي"</f>
        <v>قطعات و لوازم يدكي</v>
      </c>
      <c r="C3047" s="1">
        <v>120</v>
      </c>
      <c r="D3047" s="1" t="str">
        <f>"انبار قطعات و لوازم يدكي بشکه سازي اصفهان"</f>
        <v>انبار قطعات و لوازم يدكي بشکه سازي اصفهان</v>
      </c>
      <c r="E3047" s="1" t="str">
        <f>"4311700270"</f>
        <v>4311700270</v>
      </c>
      <c r="F3047" s="1" t="str">
        <f>"پارچه ترانزيتي 1/5 متري ( واحد سنجش رول مي باشد )"</f>
        <v>پارچه ترانزيتي 1/5 متري ( واحد سنجش رول مي باشد )</v>
      </c>
      <c r="G3047" s="1" t="str">
        <f>"كيلوگرم"</f>
        <v>كيلوگرم</v>
      </c>
      <c r="H3047" s="1">
        <v>0</v>
      </c>
      <c r="I3047" s="1">
        <v>0</v>
      </c>
      <c r="J3047" s="1">
        <v>6</v>
      </c>
      <c r="K3047" s="1">
        <v>9000000</v>
      </c>
      <c r="L3047" s="1">
        <v>0</v>
      </c>
      <c r="M3047" s="1">
        <v>0</v>
      </c>
      <c r="O3047" s="1">
        <v>97</v>
      </c>
      <c r="P3047" s="4">
        <f t="shared" si="141"/>
        <v>9000000</v>
      </c>
      <c r="Q3047" s="4">
        <f t="shared" si="142"/>
        <v>6</v>
      </c>
      <c r="R3047" s="4">
        <f t="shared" si="143"/>
        <v>1500000</v>
      </c>
    </row>
    <row r="3048" spans="1:18">
      <c r="A3048" s="1">
        <v>2</v>
      </c>
      <c r="B3048" s="1" t="str">
        <f>"قطعات و لوازم يدكي"</f>
        <v>قطعات و لوازم يدكي</v>
      </c>
      <c r="C3048" s="1">
        <v>120</v>
      </c>
      <c r="D3048" s="1" t="str">
        <f>"انبار قطعات و لوازم يدكي بشکه سازي اصفهان"</f>
        <v>انبار قطعات و لوازم يدكي بشکه سازي اصفهان</v>
      </c>
      <c r="E3048" s="1" t="str">
        <f>"4311700280"</f>
        <v>4311700280</v>
      </c>
      <c r="F3048" s="1" t="str">
        <f>"گسکت سايز 10"</f>
        <v>گسکت سايز 10</v>
      </c>
      <c r="G3048" s="1" t="str">
        <f>"عدد"</f>
        <v>عدد</v>
      </c>
      <c r="H3048" s="1">
        <v>0</v>
      </c>
      <c r="I3048" s="1">
        <v>0</v>
      </c>
      <c r="J3048" s="1">
        <v>6</v>
      </c>
      <c r="K3048" s="1">
        <v>390000</v>
      </c>
      <c r="L3048" s="1">
        <v>0</v>
      </c>
      <c r="M3048" s="1">
        <v>0</v>
      </c>
      <c r="O3048" s="1">
        <v>97</v>
      </c>
      <c r="P3048" s="4">
        <f t="shared" si="141"/>
        <v>390000</v>
      </c>
      <c r="Q3048" s="4">
        <f t="shared" si="142"/>
        <v>6</v>
      </c>
      <c r="R3048" s="4">
        <f t="shared" si="143"/>
        <v>65000</v>
      </c>
    </row>
    <row r="3049" spans="1:18">
      <c r="A3049" s="1">
        <v>2</v>
      </c>
      <c r="B3049" s="1" t="str">
        <f>"قطعات و لوازم يدكي"</f>
        <v>قطعات و لوازم يدكي</v>
      </c>
      <c r="C3049" s="1">
        <v>120</v>
      </c>
      <c r="D3049" s="1" t="str">
        <f>"انبار قطعات و لوازم يدكي بشکه سازي اصفهان"</f>
        <v>انبار قطعات و لوازم يدكي بشکه سازي اصفهان</v>
      </c>
      <c r="E3049" s="1" t="str">
        <f>"4311700300"</f>
        <v>4311700300</v>
      </c>
      <c r="F3049" s="1" t="str">
        <f>"بلبرينگ 310A-3"</f>
        <v>بلبرينگ 310A-3</v>
      </c>
      <c r="G3049" s="1" t="str">
        <f>"عدد"</f>
        <v>عدد</v>
      </c>
      <c r="H3049" s="1">
        <v>0</v>
      </c>
      <c r="I3049" s="1">
        <v>0</v>
      </c>
      <c r="J3049" s="1">
        <v>1</v>
      </c>
      <c r="K3049" s="1">
        <v>250000</v>
      </c>
      <c r="L3049" s="1">
        <v>0</v>
      </c>
      <c r="M3049" s="1">
        <v>0</v>
      </c>
      <c r="O3049" s="1">
        <v>97</v>
      </c>
      <c r="P3049" s="4">
        <f t="shared" si="141"/>
        <v>250000</v>
      </c>
      <c r="Q3049" s="4">
        <f t="shared" si="142"/>
        <v>1</v>
      </c>
      <c r="R3049" s="4">
        <f t="shared" si="143"/>
        <v>250000</v>
      </c>
    </row>
    <row r="3050" spans="1:18" hidden="1">
      <c r="A3050" s="1">
        <v>2</v>
      </c>
      <c r="B3050" s="1" t="str">
        <f>"قطعات و لوازم يدكي"</f>
        <v>قطعات و لوازم يدكي</v>
      </c>
      <c r="C3050" s="1">
        <v>120</v>
      </c>
      <c r="D3050" s="1" t="str">
        <f>"انبار قطعات و لوازم يدكي بشکه سازي اصفهان"</f>
        <v>انبار قطعات و لوازم يدكي بشکه سازي اصفهان</v>
      </c>
      <c r="E3050" s="1" t="str">
        <f>"4311700323"</f>
        <v>4311700323</v>
      </c>
      <c r="F3050" s="1" t="str">
        <f>"پيچ آلن 2.5*6m"</f>
        <v>پيچ آلن 2.5*6m</v>
      </c>
      <c r="G3050" s="1" t="str">
        <f>"عدد"</f>
        <v>عدد</v>
      </c>
      <c r="H3050" s="1">
        <v>0</v>
      </c>
      <c r="I3050" s="1">
        <v>0</v>
      </c>
      <c r="J3050" s="1">
        <v>4</v>
      </c>
      <c r="K3050" s="1">
        <v>4000</v>
      </c>
      <c r="L3050" s="1">
        <v>4</v>
      </c>
      <c r="M3050" s="1">
        <v>4000</v>
      </c>
      <c r="O3050" s="1">
        <v>97</v>
      </c>
      <c r="P3050" s="1">
        <f t="shared" si="141"/>
        <v>0</v>
      </c>
      <c r="Q3050" s="1">
        <f t="shared" si="142"/>
        <v>0</v>
      </c>
      <c r="R3050" s="1" t="e">
        <f t="shared" si="143"/>
        <v>#DIV/0!</v>
      </c>
    </row>
    <row r="3051" spans="1:18">
      <c r="A3051" s="1">
        <v>2</v>
      </c>
      <c r="B3051" s="1" t="str">
        <f>"قطعات و لوازم يدكي"</f>
        <v>قطعات و لوازم يدكي</v>
      </c>
      <c r="C3051" s="1">
        <v>120</v>
      </c>
      <c r="D3051" s="1" t="str">
        <f>"انبار قطعات و لوازم يدكي بشکه سازي اصفهان"</f>
        <v>انبار قطعات و لوازم يدكي بشکه سازي اصفهان</v>
      </c>
      <c r="E3051" s="1" t="str">
        <f>"4311700325"</f>
        <v>4311700325</v>
      </c>
      <c r="F3051" s="1" t="str">
        <f>"پيچ آلن 2.5*10m"</f>
        <v>پيچ آلن 2.5*10m</v>
      </c>
      <c r="G3051" s="1" t="str">
        <f>"عدد"</f>
        <v>عدد</v>
      </c>
      <c r="H3051" s="1">
        <v>0</v>
      </c>
      <c r="I3051" s="1">
        <v>0</v>
      </c>
      <c r="J3051" s="1">
        <v>13</v>
      </c>
      <c r="K3051" s="1">
        <v>28600</v>
      </c>
      <c r="L3051" s="1">
        <v>4</v>
      </c>
      <c r="M3051" s="1">
        <v>8800</v>
      </c>
      <c r="O3051" s="1">
        <v>97</v>
      </c>
      <c r="P3051" s="4">
        <f t="shared" si="141"/>
        <v>19800</v>
      </c>
      <c r="Q3051" s="4">
        <f t="shared" si="142"/>
        <v>9</v>
      </c>
      <c r="R3051" s="4">
        <f t="shared" si="143"/>
        <v>2200</v>
      </c>
    </row>
    <row r="3052" spans="1:18">
      <c r="A3052" s="1">
        <v>2</v>
      </c>
      <c r="B3052" s="1" t="str">
        <f>"قطعات و لوازم يدكي"</f>
        <v>قطعات و لوازم يدكي</v>
      </c>
      <c r="C3052" s="1">
        <v>120</v>
      </c>
      <c r="D3052" s="1" t="str">
        <f>"انبار قطعات و لوازم يدكي بشکه سازي اصفهان"</f>
        <v>انبار قطعات و لوازم يدكي بشکه سازي اصفهان</v>
      </c>
      <c r="E3052" s="1" t="str">
        <f>"4311700327"</f>
        <v>4311700327</v>
      </c>
      <c r="F3052" s="1" t="str">
        <f>"مته 7.5"</f>
        <v>مته 7.5</v>
      </c>
      <c r="G3052" s="1" t="str">
        <f>"عدد"</f>
        <v>عدد</v>
      </c>
      <c r="H3052" s="1">
        <v>0</v>
      </c>
      <c r="I3052" s="1">
        <v>0</v>
      </c>
      <c r="J3052" s="1">
        <v>2</v>
      </c>
      <c r="K3052" s="1">
        <v>80000</v>
      </c>
      <c r="L3052" s="1">
        <v>0</v>
      </c>
      <c r="M3052" s="1">
        <v>0</v>
      </c>
      <c r="O3052" s="1">
        <v>97</v>
      </c>
      <c r="P3052" s="4">
        <f t="shared" si="141"/>
        <v>80000</v>
      </c>
      <c r="Q3052" s="4">
        <f t="shared" si="142"/>
        <v>2</v>
      </c>
      <c r="R3052" s="4">
        <f t="shared" si="143"/>
        <v>40000</v>
      </c>
    </row>
    <row r="3053" spans="1:18">
      <c r="A3053" s="1">
        <v>2</v>
      </c>
      <c r="B3053" s="1" t="str">
        <f>"قطعات و لوازم يدكي"</f>
        <v>قطعات و لوازم يدكي</v>
      </c>
      <c r="C3053" s="1">
        <v>120</v>
      </c>
      <c r="D3053" s="1" t="str">
        <f>"انبار قطعات و لوازم يدكي بشکه سازي اصفهان"</f>
        <v>انبار قطعات و لوازم يدكي بشکه سازي اصفهان</v>
      </c>
      <c r="E3053" s="1" t="str">
        <f>"4311700337"</f>
        <v>4311700337</v>
      </c>
      <c r="F3053" s="1" t="str">
        <f>"زانو فيتينگي 6*1/8"</f>
        <v>زانو فيتينگي 6*1/8</v>
      </c>
      <c r="G3053" s="1" t="str">
        <f>"عدد"</f>
        <v>عدد</v>
      </c>
      <c r="H3053" s="1">
        <v>0</v>
      </c>
      <c r="I3053" s="1">
        <v>0</v>
      </c>
      <c r="J3053" s="1">
        <v>6</v>
      </c>
      <c r="K3053" s="1">
        <v>66000</v>
      </c>
      <c r="L3053" s="1">
        <v>0</v>
      </c>
      <c r="M3053" s="1">
        <v>0</v>
      </c>
      <c r="O3053" s="1">
        <v>97</v>
      </c>
      <c r="P3053" s="4">
        <f t="shared" si="141"/>
        <v>66000</v>
      </c>
      <c r="Q3053" s="4">
        <f t="shared" si="142"/>
        <v>6</v>
      </c>
      <c r="R3053" s="4">
        <f t="shared" si="143"/>
        <v>11000</v>
      </c>
    </row>
    <row r="3054" spans="1:18">
      <c r="A3054" s="1">
        <v>2</v>
      </c>
      <c r="B3054" s="1" t="str">
        <f>"قطعات و لوازم يدكي"</f>
        <v>قطعات و لوازم يدكي</v>
      </c>
      <c r="C3054" s="1">
        <v>120</v>
      </c>
      <c r="D3054" s="1" t="str">
        <f>"انبار قطعات و لوازم يدكي بشکه سازي اصفهان"</f>
        <v>انبار قطعات و لوازم يدكي بشکه سازي اصفهان</v>
      </c>
      <c r="E3054" s="1" t="str">
        <f>"4311700344"</f>
        <v>4311700344</v>
      </c>
      <c r="F3054" s="1" t="str">
        <f>"کاسه نمد 8-55-40"</f>
        <v>کاسه نمد 8-55-40</v>
      </c>
      <c r="G3054" s="1" t="str">
        <f>"عدد"</f>
        <v>عدد</v>
      </c>
      <c r="H3054" s="1">
        <v>0</v>
      </c>
      <c r="I3054" s="1">
        <v>0</v>
      </c>
      <c r="J3054" s="1">
        <v>5</v>
      </c>
      <c r="K3054" s="1">
        <v>200000</v>
      </c>
      <c r="L3054" s="1">
        <v>0</v>
      </c>
      <c r="M3054" s="1">
        <v>0</v>
      </c>
      <c r="O3054" s="1">
        <v>97</v>
      </c>
      <c r="P3054" s="4">
        <f t="shared" si="141"/>
        <v>200000</v>
      </c>
      <c r="Q3054" s="4">
        <f t="shared" si="142"/>
        <v>5</v>
      </c>
      <c r="R3054" s="4">
        <f t="shared" si="143"/>
        <v>40000</v>
      </c>
    </row>
    <row r="3055" spans="1:18" hidden="1">
      <c r="A3055" s="1">
        <v>2</v>
      </c>
      <c r="B3055" s="1" t="str">
        <f>"قطعات و لوازم يدكي"</f>
        <v>قطعات و لوازم يدكي</v>
      </c>
      <c r="C3055" s="1">
        <v>120</v>
      </c>
      <c r="D3055" s="1" t="str">
        <f>"انبار قطعات و لوازم يدكي بشکه سازي اصفهان"</f>
        <v>انبار قطعات و لوازم يدكي بشکه سازي اصفهان</v>
      </c>
      <c r="E3055" s="1" t="str">
        <f>"4311700353"</f>
        <v>4311700353</v>
      </c>
      <c r="F3055" s="1" t="str">
        <f>"پيچ آلن 3*8m"</f>
        <v>پيچ آلن 3*8m</v>
      </c>
      <c r="G3055" s="1" t="str">
        <f>"عدد"</f>
        <v>عدد</v>
      </c>
      <c r="H3055" s="1">
        <v>0</v>
      </c>
      <c r="I3055" s="1">
        <v>0</v>
      </c>
      <c r="J3055" s="1">
        <v>10</v>
      </c>
      <c r="K3055" s="1">
        <v>60000</v>
      </c>
      <c r="L3055" s="1">
        <v>10</v>
      </c>
      <c r="M3055" s="1">
        <v>60000</v>
      </c>
      <c r="O3055" s="1">
        <v>97</v>
      </c>
      <c r="P3055" s="1">
        <f t="shared" si="141"/>
        <v>0</v>
      </c>
      <c r="Q3055" s="1">
        <f t="shared" si="142"/>
        <v>0</v>
      </c>
      <c r="R3055" s="1" t="e">
        <f t="shared" si="143"/>
        <v>#DIV/0!</v>
      </c>
    </row>
    <row r="3056" spans="1:18" hidden="1">
      <c r="A3056" s="1">
        <v>2</v>
      </c>
      <c r="B3056" s="1" t="str">
        <f>"قطعات و لوازم يدكي"</f>
        <v>قطعات و لوازم يدكي</v>
      </c>
      <c r="C3056" s="1">
        <v>120</v>
      </c>
      <c r="D3056" s="1" t="str">
        <f>"انبار قطعات و لوازم يدكي بشکه سازي اصفهان"</f>
        <v>انبار قطعات و لوازم يدكي بشکه سازي اصفهان</v>
      </c>
      <c r="E3056" s="1" t="str">
        <f>"5211700008"</f>
        <v>5211700008</v>
      </c>
      <c r="F3056" s="1" t="str">
        <f>"پيچ گوشتي چهار سو."</f>
        <v>پيچ گوشتي چهار سو.</v>
      </c>
      <c r="G3056" s="1" t="str">
        <f>"عدد"</f>
        <v>عدد</v>
      </c>
      <c r="H3056" s="1">
        <v>0</v>
      </c>
      <c r="I3056" s="1">
        <v>0</v>
      </c>
      <c r="J3056" s="1">
        <v>4</v>
      </c>
      <c r="K3056" s="1">
        <v>920000</v>
      </c>
      <c r="L3056" s="1">
        <v>4</v>
      </c>
      <c r="M3056" s="1">
        <v>920000</v>
      </c>
      <c r="O3056" s="1">
        <v>97</v>
      </c>
      <c r="P3056" s="1">
        <f t="shared" si="141"/>
        <v>0</v>
      </c>
      <c r="Q3056" s="1">
        <f t="shared" si="142"/>
        <v>0</v>
      </c>
      <c r="R3056" s="1" t="e">
        <f t="shared" si="143"/>
        <v>#DIV/0!</v>
      </c>
    </row>
    <row r="3057" spans="1:18">
      <c r="A3057" s="1">
        <v>2</v>
      </c>
      <c r="B3057" s="1" t="str">
        <f>"قطعات و لوازم يدكي"</f>
        <v>قطعات و لوازم يدكي</v>
      </c>
      <c r="C3057" s="1">
        <v>120</v>
      </c>
      <c r="D3057" s="1" t="str">
        <f>"انبار قطعات و لوازم يدكي بشکه سازي اصفهان"</f>
        <v>انبار قطعات و لوازم يدكي بشکه سازي اصفهان</v>
      </c>
      <c r="E3057" s="1" t="str">
        <f>"5311700007"</f>
        <v>5311700007</v>
      </c>
      <c r="F3057" s="1" t="str">
        <f>"روغن 4 ليتري"</f>
        <v>روغن 4 ليتري</v>
      </c>
      <c r="G3057" s="1" t="str">
        <f>"عدد"</f>
        <v>عدد</v>
      </c>
      <c r="H3057" s="1">
        <v>0</v>
      </c>
      <c r="I3057" s="1">
        <v>0</v>
      </c>
      <c r="J3057" s="1">
        <v>1</v>
      </c>
      <c r="K3057" s="1">
        <v>250000</v>
      </c>
      <c r="L3057" s="1">
        <v>0</v>
      </c>
      <c r="M3057" s="1">
        <v>0</v>
      </c>
      <c r="O3057" s="1">
        <v>97</v>
      </c>
      <c r="P3057" s="4">
        <f t="shared" si="141"/>
        <v>250000</v>
      </c>
      <c r="Q3057" s="4">
        <f t="shared" si="142"/>
        <v>1</v>
      </c>
      <c r="R3057" s="4">
        <f t="shared" si="143"/>
        <v>250000</v>
      </c>
    </row>
    <row r="3058" spans="1:18" hidden="1">
      <c r="A3058" s="1">
        <v>2</v>
      </c>
      <c r="B3058" s="1" t="str">
        <f>"قطعات و لوازم يدكي"</f>
        <v>قطعات و لوازم يدكي</v>
      </c>
      <c r="C3058" s="1">
        <v>120</v>
      </c>
      <c r="D3058" s="1" t="str">
        <f>"انبار قطعات و لوازم يدكي بشکه سازي اصفهان"</f>
        <v>انبار قطعات و لوازم يدكي بشکه سازي اصفهان</v>
      </c>
      <c r="E3058" s="1" t="str">
        <f>"7111700001"</f>
        <v>7111700001</v>
      </c>
      <c r="F3058" s="1" t="str">
        <f>"فنر پوشه"</f>
        <v>فنر پوشه</v>
      </c>
      <c r="G3058" s="1" t="str">
        <f>"بسته"</f>
        <v>بسته</v>
      </c>
      <c r="H3058" s="1">
        <v>0</v>
      </c>
      <c r="I3058" s="1">
        <v>0</v>
      </c>
      <c r="J3058" s="1">
        <v>9</v>
      </c>
      <c r="K3058" s="1">
        <v>225000</v>
      </c>
      <c r="L3058" s="1">
        <v>9</v>
      </c>
      <c r="M3058" s="1">
        <v>225000</v>
      </c>
      <c r="O3058" s="1">
        <v>97</v>
      </c>
      <c r="P3058" s="1">
        <f t="shared" si="141"/>
        <v>0</v>
      </c>
      <c r="Q3058" s="1">
        <f t="shared" si="142"/>
        <v>0</v>
      </c>
      <c r="R3058" s="1" t="e">
        <f t="shared" si="143"/>
        <v>#DIV/0!</v>
      </c>
    </row>
    <row r="3059" spans="1:18" hidden="1">
      <c r="A3059" s="1">
        <v>2</v>
      </c>
      <c r="B3059" s="1" t="str">
        <f>"قطعات و لوازم يدكي"</f>
        <v>قطعات و لوازم يدكي</v>
      </c>
      <c r="C3059" s="1">
        <v>120</v>
      </c>
      <c r="D3059" s="1" t="str">
        <f>"انبار قطعات و لوازم يدكي بشکه سازي اصفهان"</f>
        <v>انبار قطعات و لوازم يدكي بشکه سازي اصفهان</v>
      </c>
      <c r="E3059" s="1" t="str">
        <f>"7111700017"</f>
        <v>7111700017</v>
      </c>
      <c r="F3059" s="1" t="str">
        <f>"مقوا رنگي بين ورق (ديوايدر )"</f>
        <v>مقوا رنگي بين ورق (ديوايدر )</v>
      </c>
      <c r="G3059" s="1" t="str">
        <f>"بسته"</f>
        <v>بسته</v>
      </c>
      <c r="H3059" s="1">
        <v>0</v>
      </c>
      <c r="I3059" s="1">
        <v>0</v>
      </c>
      <c r="J3059" s="1">
        <v>2</v>
      </c>
      <c r="K3059" s="1">
        <v>200000</v>
      </c>
      <c r="L3059" s="1">
        <v>2</v>
      </c>
      <c r="M3059" s="1">
        <v>200000</v>
      </c>
      <c r="O3059" s="1">
        <v>97</v>
      </c>
      <c r="P3059" s="1">
        <f t="shared" si="141"/>
        <v>0</v>
      </c>
      <c r="Q3059" s="1">
        <f t="shared" si="142"/>
        <v>0</v>
      </c>
      <c r="R3059" s="1" t="e">
        <f t="shared" si="143"/>
        <v>#DIV/0!</v>
      </c>
    </row>
    <row r="3060" spans="1:18" hidden="1">
      <c r="A3060" s="1">
        <v>2</v>
      </c>
      <c r="B3060" s="1" t="str">
        <f>"قطعات و لوازم يدكي"</f>
        <v>قطعات و لوازم يدكي</v>
      </c>
      <c r="C3060" s="1">
        <v>120</v>
      </c>
      <c r="D3060" s="1" t="str">
        <f>"انبار قطعات و لوازم يدكي بشکه سازي اصفهان"</f>
        <v>انبار قطعات و لوازم يدكي بشکه سازي اصفهان</v>
      </c>
      <c r="E3060" s="1" t="str">
        <f>"7111700029"</f>
        <v>7111700029</v>
      </c>
      <c r="F3060" s="1" t="str">
        <f>"آينه."</f>
        <v>آينه.</v>
      </c>
      <c r="G3060" s="1" t="str">
        <f>"عدد"</f>
        <v>عدد</v>
      </c>
      <c r="H3060" s="1">
        <v>0</v>
      </c>
      <c r="I3060" s="1">
        <v>0</v>
      </c>
      <c r="J3060" s="1">
        <v>1</v>
      </c>
      <c r="K3060" s="1">
        <v>150000</v>
      </c>
      <c r="L3060" s="1">
        <v>1</v>
      </c>
      <c r="M3060" s="1">
        <v>150000</v>
      </c>
      <c r="O3060" s="1">
        <v>97</v>
      </c>
      <c r="P3060" s="1">
        <f t="shared" si="141"/>
        <v>0</v>
      </c>
      <c r="Q3060" s="1">
        <f t="shared" si="142"/>
        <v>0</v>
      </c>
      <c r="R3060" s="1" t="e">
        <f t="shared" si="143"/>
        <v>#DIV/0!</v>
      </c>
    </row>
    <row r="3061" spans="1:18" hidden="1">
      <c r="A3061" s="1">
        <v>2</v>
      </c>
      <c r="B3061" s="1" t="str">
        <f>"قطعات و لوازم يدكي"</f>
        <v>قطعات و لوازم يدكي</v>
      </c>
      <c r="C3061" s="1">
        <v>120</v>
      </c>
      <c r="D3061" s="1" t="str">
        <f>"انبار قطعات و لوازم يدكي بشکه سازي اصفهان"</f>
        <v>انبار قطعات و لوازم يدكي بشکه سازي اصفهان</v>
      </c>
      <c r="E3061" s="1" t="str">
        <f>"7111700058"</f>
        <v>7111700058</v>
      </c>
      <c r="F3061" s="1" t="str">
        <f>"پلاستيک زباله کوچک رولي"</f>
        <v>پلاستيک زباله کوچک رولي</v>
      </c>
      <c r="G3061" s="1" t="str">
        <f>"كيلوگرم"</f>
        <v>كيلوگرم</v>
      </c>
      <c r="H3061" s="1">
        <v>0</v>
      </c>
      <c r="I3061" s="1">
        <v>0</v>
      </c>
      <c r="J3061" s="1">
        <v>22</v>
      </c>
      <c r="K3061" s="1">
        <v>792000</v>
      </c>
      <c r="L3061" s="1">
        <v>22</v>
      </c>
      <c r="M3061" s="1">
        <v>792000</v>
      </c>
      <c r="O3061" s="1">
        <v>97</v>
      </c>
      <c r="P3061" s="1">
        <f t="shared" si="141"/>
        <v>0</v>
      </c>
      <c r="Q3061" s="1">
        <f t="shared" si="142"/>
        <v>0</v>
      </c>
      <c r="R3061" s="1" t="e">
        <f t="shared" si="143"/>
        <v>#DIV/0!</v>
      </c>
    </row>
    <row r="3062" spans="1:18" hidden="1">
      <c r="A3062" s="1">
        <v>2</v>
      </c>
      <c r="B3062" s="1" t="str">
        <f>"قطعات و لوازم يدكي"</f>
        <v>قطعات و لوازم يدكي</v>
      </c>
      <c r="C3062" s="1">
        <v>205</v>
      </c>
      <c r="D3062" s="1" t="str">
        <f>"انبار قطعات و لوازم يدكي بندرعباس"</f>
        <v>انبار قطعات و لوازم يدكي بندرعباس</v>
      </c>
      <c r="E3062" s="1" t="str">
        <f>"1800000004"</f>
        <v>1800000004</v>
      </c>
      <c r="F3062" s="1" t="str">
        <f>"بال ولو 1/2"</f>
        <v>بال ولو 1/2</v>
      </c>
      <c r="G3062" s="1" t="str">
        <f>"عدد"</f>
        <v>عدد</v>
      </c>
      <c r="H3062" s="1">
        <v>2</v>
      </c>
      <c r="I3062" s="1">
        <v>300000</v>
      </c>
      <c r="J3062" s="1">
        <v>0</v>
      </c>
      <c r="K3062" s="1">
        <v>0</v>
      </c>
      <c r="L3062" s="1">
        <v>2</v>
      </c>
      <c r="M3062" s="1">
        <v>300000</v>
      </c>
      <c r="O3062" s="1">
        <v>97</v>
      </c>
      <c r="P3062" s="1">
        <f t="shared" si="141"/>
        <v>0</v>
      </c>
      <c r="Q3062" s="1">
        <f t="shared" si="142"/>
        <v>0</v>
      </c>
      <c r="R3062" s="1" t="e">
        <f t="shared" si="143"/>
        <v>#DIV/0!</v>
      </c>
    </row>
    <row r="3063" spans="1:18">
      <c r="A3063" s="1">
        <v>2</v>
      </c>
      <c r="B3063" s="1" t="str">
        <f>"قطعات و لوازم يدكي"</f>
        <v>قطعات و لوازم يدكي</v>
      </c>
      <c r="C3063" s="1">
        <v>205</v>
      </c>
      <c r="D3063" s="1" t="str">
        <f>"انبار قطعات و لوازم يدكي بندرعباس"</f>
        <v>انبار قطعات و لوازم يدكي بندرعباس</v>
      </c>
      <c r="E3063" s="1" t="str">
        <f>"1800000008"</f>
        <v>1800000008</v>
      </c>
      <c r="F3063" s="1" t="str">
        <f>"بلايند فلنج 4 اينچ"</f>
        <v>بلايند فلنج 4 اينچ</v>
      </c>
      <c r="G3063" s="1" t="str">
        <f>"عدد"</f>
        <v>عدد</v>
      </c>
      <c r="H3063" s="1">
        <v>1</v>
      </c>
      <c r="I3063" s="1">
        <v>908000</v>
      </c>
      <c r="J3063" s="1">
        <v>0</v>
      </c>
      <c r="K3063" s="1">
        <v>0</v>
      </c>
      <c r="L3063" s="1">
        <v>0</v>
      </c>
      <c r="M3063" s="1">
        <v>0</v>
      </c>
      <c r="O3063" s="1">
        <v>97</v>
      </c>
      <c r="P3063" s="4">
        <f t="shared" si="141"/>
        <v>908000</v>
      </c>
      <c r="Q3063" s="4">
        <f t="shared" si="142"/>
        <v>1</v>
      </c>
      <c r="R3063" s="4">
        <f t="shared" si="143"/>
        <v>908000</v>
      </c>
    </row>
    <row r="3064" spans="1:18">
      <c r="A3064" s="1">
        <v>2</v>
      </c>
      <c r="B3064" s="1" t="str">
        <f>"قطعات و لوازم يدكي"</f>
        <v>قطعات و لوازم يدكي</v>
      </c>
      <c r="C3064" s="1">
        <v>205</v>
      </c>
      <c r="D3064" s="1" t="str">
        <f>"انبار قطعات و لوازم يدكي بندرعباس"</f>
        <v>انبار قطعات و لوازم يدكي بندرعباس</v>
      </c>
      <c r="E3064" s="1" t="str">
        <f>"1800000012"</f>
        <v>1800000012</v>
      </c>
      <c r="F3064" s="1" t="str">
        <f>"بلايند فلنج 1/2"</f>
        <v>بلايند فلنج 1/2</v>
      </c>
      <c r="G3064" s="1" t="str">
        <f>"عدد"</f>
        <v>عدد</v>
      </c>
      <c r="H3064" s="1">
        <v>34</v>
      </c>
      <c r="I3064" s="1">
        <v>4386000</v>
      </c>
      <c r="J3064" s="1">
        <v>0</v>
      </c>
      <c r="K3064" s="1">
        <v>0</v>
      </c>
      <c r="L3064" s="1">
        <v>1</v>
      </c>
      <c r="M3064" s="1">
        <v>129000</v>
      </c>
      <c r="O3064" s="1">
        <v>97</v>
      </c>
      <c r="P3064" s="4">
        <f t="shared" si="141"/>
        <v>4257000</v>
      </c>
      <c r="Q3064" s="4">
        <f t="shared" si="142"/>
        <v>33</v>
      </c>
      <c r="R3064" s="4">
        <f t="shared" si="143"/>
        <v>129000</v>
      </c>
    </row>
    <row r="3065" spans="1:18">
      <c r="A3065" s="1">
        <v>2</v>
      </c>
      <c r="B3065" s="1" t="str">
        <f>"قطعات و لوازم يدكي"</f>
        <v>قطعات و لوازم يدكي</v>
      </c>
      <c r="C3065" s="1">
        <v>205</v>
      </c>
      <c r="D3065" s="1" t="str">
        <f>"انبار قطعات و لوازم يدكي بندرعباس"</f>
        <v>انبار قطعات و لوازم يدكي بندرعباس</v>
      </c>
      <c r="E3065" s="1" t="str">
        <f>"1800000030"</f>
        <v>1800000030</v>
      </c>
      <c r="F3065" s="1" t="str">
        <f>"فلنج 1/2*1"</f>
        <v>فلنج 1/2*1</v>
      </c>
      <c r="G3065" s="1" t="str">
        <f>"عدد"</f>
        <v>عدد</v>
      </c>
      <c r="H3065" s="1">
        <v>16</v>
      </c>
      <c r="I3065" s="1">
        <v>5872000</v>
      </c>
      <c r="J3065" s="1">
        <v>0</v>
      </c>
      <c r="K3065" s="1">
        <v>0</v>
      </c>
      <c r="L3065" s="1">
        <v>1</v>
      </c>
      <c r="M3065" s="1">
        <v>367000</v>
      </c>
      <c r="O3065" s="1">
        <v>97</v>
      </c>
      <c r="P3065" s="4">
        <f t="shared" si="141"/>
        <v>5505000</v>
      </c>
      <c r="Q3065" s="4">
        <f t="shared" si="142"/>
        <v>15</v>
      </c>
      <c r="R3065" s="4">
        <f t="shared" si="143"/>
        <v>367000</v>
      </c>
    </row>
    <row r="3066" spans="1:18">
      <c r="A3066" s="1">
        <v>2</v>
      </c>
      <c r="B3066" s="1" t="str">
        <f>"قطعات و لوازم يدكي"</f>
        <v>قطعات و لوازم يدكي</v>
      </c>
      <c r="C3066" s="1">
        <v>205</v>
      </c>
      <c r="D3066" s="1" t="str">
        <f>"انبار قطعات و لوازم يدكي بندرعباس"</f>
        <v>انبار قطعات و لوازم يدكي بندرعباس</v>
      </c>
      <c r="E3066" s="1" t="str">
        <f>"1800000034"</f>
        <v>1800000034</v>
      </c>
      <c r="F3066" s="1" t="str">
        <f>"فلنج 1/2*2 اينچ"</f>
        <v>فلنج 1/2*2 اينچ</v>
      </c>
      <c r="G3066" s="1" t="str">
        <f>"عدد"</f>
        <v>عدد</v>
      </c>
      <c r="H3066" s="1">
        <v>2</v>
      </c>
      <c r="I3066" s="1">
        <v>1264000</v>
      </c>
      <c r="J3066" s="1">
        <v>0</v>
      </c>
      <c r="K3066" s="1">
        <v>0</v>
      </c>
      <c r="L3066" s="1">
        <v>0</v>
      </c>
      <c r="M3066" s="1">
        <v>0</v>
      </c>
      <c r="O3066" s="1">
        <v>97</v>
      </c>
      <c r="P3066" s="4">
        <f t="shared" si="141"/>
        <v>1264000</v>
      </c>
      <c r="Q3066" s="4">
        <f t="shared" si="142"/>
        <v>2</v>
      </c>
      <c r="R3066" s="4">
        <f t="shared" si="143"/>
        <v>632000</v>
      </c>
    </row>
    <row r="3067" spans="1:18">
      <c r="A3067" s="1">
        <v>2</v>
      </c>
      <c r="B3067" s="1" t="str">
        <f>"قطعات و لوازم يدكي"</f>
        <v>قطعات و لوازم يدكي</v>
      </c>
      <c r="C3067" s="1">
        <v>205</v>
      </c>
      <c r="D3067" s="1" t="str">
        <f>"انبار قطعات و لوازم يدكي بندرعباس"</f>
        <v>انبار قطعات و لوازم يدكي بندرعباس</v>
      </c>
      <c r="E3067" s="1" t="str">
        <f>"1800000039"</f>
        <v>1800000039</v>
      </c>
      <c r="F3067" s="1" t="str">
        <f>"فلنج10 اينچ"</f>
        <v>فلنج10 اينچ</v>
      </c>
      <c r="G3067" s="1" t="str">
        <f>"عدد"</f>
        <v>عدد</v>
      </c>
      <c r="H3067" s="1">
        <v>1</v>
      </c>
      <c r="I3067" s="1">
        <v>3933000</v>
      </c>
      <c r="J3067" s="1">
        <v>0</v>
      </c>
      <c r="K3067" s="1">
        <v>0</v>
      </c>
      <c r="L3067" s="1">
        <v>0</v>
      </c>
      <c r="M3067" s="1">
        <v>0</v>
      </c>
      <c r="O3067" s="1">
        <v>97</v>
      </c>
      <c r="P3067" s="4">
        <f t="shared" si="141"/>
        <v>3933000</v>
      </c>
      <c r="Q3067" s="4">
        <f t="shared" si="142"/>
        <v>1</v>
      </c>
      <c r="R3067" s="4">
        <f t="shared" si="143"/>
        <v>3933000</v>
      </c>
    </row>
    <row r="3068" spans="1:18">
      <c r="A3068" s="1">
        <v>2</v>
      </c>
      <c r="B3068" s="1" t="str">
        <f>"قطعات و لوازم يدكي"</f>
        <v>قطعات و لوازم يدكي</v>
      </c>
      <c r="C3068" s="1">
        <v>205</v>
      </c>
      <c r="D3068" s="1" t="str">
        <f>"انبار قطعات و لوازم يدكي بندرعباس"</f>
        <v>انبار قطعات و لوازم يدكي بندرعباس</v>
      </c>
      <c r="E3068" s="1" t="str">
        <f>"1800000045"</f>
        <v>1800000045</v>
      </c>
      <c r="F3068" s="1" t="str">
        <f>"فلنج 2 اينچ"</f>
        <v>فلنج 2 اينچ</v>
      </c>
      <c r="G3068" s="1" t="str">
        <f>"عدد"</f>
        <v>عدد</v>
      </c>
      <c r="H3068" s="1">
        <v>22</v>
      </c>
      <c r="I3068" s="1">
        <v>9284000</v>
      </c>
      <c r="J3068" s="1">
        <v>0</v>
      </c>
      <c r="K3068" s="1">
        <v>0</v>
      </c>
      <c r="L3068" s="1">
        <v>2</v>
      </c>
      <c r="M3068" s="1">
        <v>844000</v>
      </c>
      <c r="O3068" s="1">
        <v>97</v>
      </c>
      <c r="P3068" s="4">
        <f t="shared" si="141"/>
        <v>8440000</v>
      </c>
      <c r="Q3068" s="4">
        <f t="shared" si="142"/>
        <v>20</v>
      </c>
      <c r="R3068" s="4">
        <f t="shared" si="143"/>
        <v>422000</v>
      </c>
    </row>
    <row r="3069" spans="1:18">
      <c r="A3069" s="1">
        <v>2</v>
      </c>
      <c r="B3069" s="1" t="str">
        <f>"قطعات و لوازم يدكي"</f>
        <v>قطعات و لوازم يدكي</v>
      </c>
      <c r="C3069" s="1">
        <v>205</v>
      </c>
      <c r="D3069" s="1" t="str">
        <f>"انبار قطعات و لوازم يدكي بندرعباس"</f>
        <v>انبار قطعات و لوازم يدكي بندرعباس</v>
      </c>
      <c r="E3069" s="1" t="str">
        <f>"1800000048"</f>
        <v>1800000048</v>
      </c>
      <c r="F3069" s="1" t="str">
        <f>"گيت ولو12"</f>
        <v>گيت ولو12</v>
      </c>
      <c r="G3069" s="1" t="str">
        <f>"عدد"</f>
        <v>عدد</v>
      </c>
      <c r="H3069" s="1">
        <v>4</v>
      </c>
      <c r="I3069" s="1">
        <v>180640000</v>
      </c>
      <c r="J3069" s="1">
        <v>0</v>
      </c>
      <c r="K3069" s="1">
        <v>0</v>
      </c>
      <c r="L3069" s="1">
        <v>2</v>
      </c>
      <c r="M3069" s="1">
        <v>90320000</v>
      </c>
      <c r="O3069" s="1">
        <v>97</v>
      </c>
      <c r="P3069" s="4">
        <f t="shared" si="141"/>
        <v>90320000</v>
      </c>
      <c r="Q3069" s="4">
        <f t="shared" si="142"/>
        <v>2</v>
      </c>
      <c r="R3069" s="4">
        <f t="shared" si="143"/>
        <v>45160000</v>
      </c>
    </row>
    <row r="3070" spans="1:18">
      <c r="A3070" s="1">
        <v>2</v>
      </c>
      <c r="B3070" s="1" t="str">
        <f>"قطعات و لوازم يدكي"</f>
        <v>قطعات و لوازم يدكي</v>
      </c>
      <c r="C3070" s="1">
        <v>205</v>
      </c>
      <c r="D3070" s="1" t="str">
        <f>"انبار قطعات و لوازم يدكي بندرعباس"</f>
        <v>انبار قطعات و لوازم يدكي بندرعباس</v>
      </c>
      <c r="E3070" s="1" t="str">
        <f>"1800000052"</f>
        <v>1800000052</v>
      </c>
      <c r="F3070" s="1" t="str">
        <f>"گيت ولو 1/2"</f>
        <v>گيت ولو 1/2</v>
      </c>
      <c r="G3070" s="1" t="str">
        <f>"عدد"</f>
        <v>عدد</v>
      </c>
      <c r="H3070" s="1">
        <v>5</v>
      </c>
      <c r="I3070" s="1">
        <v>5750000</v>
      </c>
      <c r="J3070" s="1">
        <v>0</v>
      </c>
      <c r="K3070" s="1">
        <v>0</v>
      </c>
      <c r="L3070" s="1">
        <v>0</v>
      </c>
      <c r="M3070" s="1">
        <v>0</v>
      </c>
      <c r="O3070" s="1">
        <v>97</v>
      </c>
      <c r="P3070" s="4">
        <f t="shared" si="141"/>
        <v>5750000</v>
      </c>
      <c r="Q3070" s="4">
        <f t="shared" si="142"/>
        <v>5</v>
      </c>
      <c r="R3070" s="4">
        <f t="shared" si="143"/>
        <v>1150000</v>
      </c>
    </row>
    <row r="3071" spans="1:18">
      <c r="A3071" s="1">
        <v>2</v>
      </c>
      <c r="B3071" s="1" t="str">
        <f>"قطعات و لوازم يدكي"</f>
        <v>قطعات و لوازم يدكي</v>
      </c>
      <c r="C3071" s="1">
        <v>205</v>
      </c>
      <c r="D3071" s="1" t="str">
        <f>"انبار قطعات و لوازم يدكي بندرعباس"</f>
        <v>انبار قطعات و لوازم يدكي بندرعباس</v>
      </c>
      <c r="E3071" s="1" t="str">
        <f>"1800000053"</f>
        <v>1800000053</v>
      </c>
      <c r="F3071" s="1" t="str">
        <f>"گيت ولو3/4"</f>
        <v>گيت ولو3/4</v>
      </c>
      <c r="G3071" s="1" t="str">
        <f>"عدد"</f>
        <v>عدد</v>
      </c>
      <c r="H3071" s="1">
        <v>38</v>
      </c>
      <c r="I3071" s="1">
        <v>43700000</v>
      </c>
      <c r="J3071" s="1">
        <v>0</v>
      </c>
      <c r="K3071" s="1">
        <v>0</v>
      </c>
      <c r="L3071" s="1">
        <v>31</v>
      </c>
      <c r="M3071" s="1">
        <v>35650000</v>
      </c>
      <c r="O3071" s="1">
        <v>97</v>
      </c>
      <c r="P3071" s="4">
        <f t="shared" si="141"/>
        <v>8050000</v>
      </c>
      <c r="Q3071" s="4">
        <f t="shared" si="142"/>
        <v>7</v>
      </c>
      <c r="R3071" s="4">
        <f t="shared" si="143"/>
        <v>1150000</v>
      </c>
    </row>
    <row r="3072" spans="1:18">
      <c r="A3072" s="1">
        <v>2</v>
      </c>
      <c r="B3072" s="1" t="str">
        <f>"قطعات و لوازم يدكي"</f>
        <v>قطعات و لوازم يدكي</v>
      </c>
      <c r="C3072" s="1">
        <v>205</v>
      </c>
      <c r="D3072" s="1" t="str">
        <f>"انبار قطعات و لوازم يدكي بندرعباس"</f>
        <v>انبار قطعات و لوازم يدكي بندرعباس</v>
      </c>
      <c r="E3072" s="1" t="str">
        <f>"1800000054"</f>
        <v>1800000054</v>
      </c>
      <c r="F3072" s="1" t="str">
        <f>"گيت ولو 3/4 اينچ"</f>
        <v>گيت ولو 3/4 اينچ</v>
      </c>
      <c r="G3072" s="1" t="str">
        <f>"عدد"</f>
        <v>عدد</v>
      </c>
      <c r="H3072" s="1">
        <v>20</v>
      </c>
      <c r="I3072" s="1">
        <v>23000000</v>
      </c>
      <c r="J3072" s="1">
        <v>0</v>
      </c>
      <c r="K3072" s="1">
        <v>0</v>
      </c>
      <c r="L3072" s="1">
        <v>2</v>
      </c>
      <c r="M3072" s="1">
        <v>2300000</v>
      </c>
      <c r="O3072" s="1">
        <v>97</v>
      </c>
      <c r="P3072" s="4">
        <f t="shared" si="141"/>
        <v>20700000</v>
      </c>
      <c r="Q3072" s="4">
        <f t="shared" si="142"/>
        <v>18</v>
      </c>
      <c r="R3072" s="4">
        <f t="shared" si="143"/>
        <v>1150000</v>
      </c>
    </row>
    <row r="3073" spans="1:18">
      <c r="A3073" s="1">
        <v>2</v>
      </c>
      <c r="B3073" s="1" t="str">
        <f>"قطعات و لوازم يدكي"</f>
        <v>قطعات و لوازم يدكي</v>
      </c>
      <c r="C3073" s="1">
        <v>205</v>
      </c>
      <c r="D3073" s="1" t="str">
        <f>"انبار قطعات و لوازم يدكي بندرعباس"</f>
        <v>انبار قطعات و لوازم يدكي بندرعباس</v>
      </c>
      <c r="E3073" s="1" t="str">
        <f>"1800000055"</f>
        <v>1800000055</v>
      </c>
      <c r="F3073" s="1" t="str">
        <f>"گيت ولو 1"</f>
        <v>گيت ولو 1</v>
      </c>
      <c r="G3073" s="1" t="str">
        <f>"عدد"</f>
        <v>عدد</v>
      </c>
      <c r="H3073" s="1">
        <v>18</v>
      </c>
      <c r="I3073" s="1">
        <v>29520000</v>
      </c>
      <c r="J3073" s="1">
        <v>0</v>
      </c>
      <c r="K3073" s="1">
        <v>0</v>
      </c>
      <c r="L3073" s="1">
        <v>0</v>
      </c>
      <c r="M3073" s="1">
        <v>0</v>
      </c>
      <c r="O3073" s="1">
        <v>97</v>
      </c>
      <c r="P3073" s="4">
        <f t="shared" si="141"/>
        <v>29520000</v>
      </c>
      <c r="Q3073" s="4">
        <f t="shared" si="142"/>
        <v>18</v>
      </c>
      <c r="R3073" s="4">
        <f t="shared" si="143"/>
        <v>1640000</v>
      </c>
    </row>
    <row r="3074" spans="1:18">
      <c r="A3074" s="1">
        <v>2</v>
      </c>
      <c r="B3074" s="1" t="str">
        <f>"قطعات و لوازم يدكي"</f>
        <v>قطعات و لوازم يدكي</v>
      </c>
      <c r="C3074" s="1">
        <v>205</v>
      </c>
      <c r="D3074" s="1" t="str">
        <f>"انبار قطعات و لوازم يدكي بندرعباس"</f>
        <v>انبار قطعات و لوازم يدكي بندرعباس</v>
      </c>
      <c r="E3074" s="1" t="str">
        <f>"1800000056"</f>
        <v>1800000056</v>
      </c>
      <c r="F3074" s="1" t="str">
        <f>"گيت ولو 1/2*1"</f>
        <v>گيت ولو 1/2*1</v>
      </c>
      <c r="G3074" s="1" t="str">
        <f>"عدد"</f>
        <v>عدد</v>
      </c>
      <c r="H3074" s="1">
        <v>4</v>
      </c>
      <c r="I3074" s="1">
        <v>12160000</v>
      </c>
      <c r="J3074" s="1">
        <v>0</v>
      </c>
      <c r="K3074" s="1">
        <v>0</v>
      </c>
      <c r="L3074" s="1">
        <v>2</v>
      </c>
      <c r="M3074" s="1">
        <v>6080000</v>
      </c>
      <c r="O3074" s="1">
        <v>97</v>
      </c>
      <c r="P3074" s="4">
        <f t="shared" si="141"/>
        <v>6080000</v>
      </c>
      <c r="Q3074" s="4">
        <f t="shared" si="142"/>
        <v>2</v>
      </c>
      <c r="R3074" s="4">
        <f t="shared" si="143"/>
        <v>3040000</v>
      </c>
    </row>
    <row r="3075" spans="1:18">
      <c r="A3075" s="1">
        <v>2</v>
      </c>
      <c r="B3075" s="1" t="str">
        <f>"قطعات و لوازم يدكي"</f>
        <v>قطعات و لوازم يدكي</v>
      </c>
      <c r="C3075" s="1">
        <v>205</v>
      </c>
      <c r="D3075" s="1" t="str">
        <f>"انبار قطعات و لوازم يدكي بندرعباس"</f>
        <v>انبار قطعات و لوازم يدكي بندرعباس</v>
      </c>
      <c r="E3075" s="1" t="str">
        <f>"1800000060"</f>
        <v>1800000060</v>
      </c>
      <c r="F3075" s="1" t="str">
        <f>"گلاب ولو 4"</f>
        <v>گلاب ولو 4</v>
      </c>
      <c r="G3075" s="1" t="str">
        <f>"عدد"</f>
        <v>عدد</v>
      </c>
      <c r="H3075" s="1">
        <v>4</v>
      </c>
      <c r="I3075" s="1">
        <v>61320000</v>
      </c>
      <c r="J3075" s="1">
        <v>0</v>
      </c>
      <c r="K3075" s="1">
        <v>0</v>
      </c>
      <c r="L3075" s="1">
        <v>1</v>
      </c>
      <c r="M3075" s="1">
        <v>15330000</v>
      </c>
      <c r="O3075" s="1">
        <v>97</v>
      </c>
      <c r="P3075" s="4">
        <f t="shared" ref="P3075:P3138" si="144">I3075+K3075-M3075</f>
        <v>45990000</v>
      </c>
      <c r="Q3075" s="4">
        <f t="shared" ref="Q3075:Q3138" si="145">H3075+J3075-L3075</f>
        <v>3</v>
      </c>
      <c r="R3075" s="4">
        <f t="shared" ref="R3075:R3138" si="146">P3075/Q3075</f>
        <v>15330000</v>
      </c>
    </row>
    <row r="3076" spans="1:18">
      <c r="A3076" s="1">
        <v>2</v>
      </c>
      <c r="B3076" s="1" t="str">
        <f>"قطعات و لوازم يدكي"</f>
        <v>قطعات و لوازم يدكي</v>
      </c>
      <c r="C3076" s="1">
        <v>205</v>
      </c>
      <c r="D3076" s="1" t="str">
        <f>"انبار قطعات و لوازم يدكي بندرعباس"</f>
        <v>انبار قطعات و لوازم يدكي بندرعباس</v>
      </c>
      <c r="E3076" s="1" t="str">
        <f>"1800000080"</f>
        <v>1800000080</v>
      </c>
      <c r="F3076" s="1" t="str">
        <f>"زانو20"</f>
        <v>زانو20</v>
      </c>
      <c r="G3076" s="1" t="str">
        <f>"عدد"</f>
        <v>عدد</v>
      </c>
      <c r="H3076" s="1">
        <v>1</v>
      </c>
      <c r="I3076" s="1">
        <v>6724000</v>
      </c>
      <c r="J3076" s="1">
        <v>0</v>
      </c>
      <c r="K3076" s="1">
        <v>0</v>
      </c>
      <c r="L3076" s="1">
        <v>0</v>
      </c>
      <c r="M3076" s="1">
        <v>0</v>
      </c>
      <c r="O3076" s="1">
        <v>97</v>
      </c>
      <c r="P3076" s="4">
        <f t="shared" si="144"/>
        <v>6724000</v>
      </c>
      <c r="Q3076" s="4">
        <f t="shared" si="145"/>
        <v>1</v>
      </c>
      <c r="R3076" s="4">
        <f t="shared" si="146"/>
        <v>6724000</v>
      </c>
    </row>
    <row r="3077" spans="1:18">
      <c r="A3077" s="1">
        <v>2</v>
      </c>
      <c r="B3077" s="1" t="str">
        <f>"قطعات و لوازم يدكي"</f>
        <v>قطعات و لوازم يدكي</v>
      </c>
      <c r="C3077" s="1">
        <v>205</v>
      </c>
      <c r="D3077" s="1" t="str">
        <f>"انبار قطعات و لوازم يدكي بندرعباس"</f>
        <v>انبار قطعات و لوازم يدكي بندرعباس</v>
      </c>
      <c r="E3077" s="1" t="str">
        <f>"1800000094"</f>
        <v>1800000094</v>
      </c>
      <c r="F3077" s="1" t="str">
        <f>"تبديل 1*1/2-3"</f>
        <v>تبديل 1*1/2-3</v>
      </c>
      <c r="G3077" s="1" t="str">
        <f>"عدد"</f>
        <v>عدد</v>
      </c>
      <c r="H3077" s="1">
        <v>2</v>
      </c>
      <c r="I3077" s="1">
        <v>452000</v>
      </c>
      <c r="J3077" s="1">
        <v>0</v>
      </c>
      <c r="K3077" s="1">
        <v>0</v>
      </c>
      <c r="L3077" s="1">
        <v>0</v>
      </c>
      <c r="M3077" s="1">
        <v>0</v>
      </c>
      <c r="O3077" s="1">
        <v>97</v>
      </c>
      <c r="P3077" s="4">
        <f t="shared" si="144"/>
        <v>452000</v>
      </c>
      <c r="Q3077" s="4">
        <f t="shared" si="145"/>
        <v>2</v>
      </c>
      <c r="R3077" s="4">
        <f t="shared" si="146"/>
        <v>226000</v>
      </c>
    </row>
    <row r="3078" spans="1:18" hidden="1">
      <c r="A3078" s="1">
        <v>2</v>
      </c>
      <c r="B3078" s="1" t="str">
        <f>"قطعات و لوازم يدكي"</f>
        <v>قطعات و لوازم يدكي</v>
      </c>
      <c r="C3078" s="1">
        <v>205</v>
      </c>
      <c r="D3078" s="1" t="str">
        <f>"انبار قطعات و لوازم يدكي بندرعباس"</f>
        <v>انبار قطعات و لوازم يدكي بندرعباس</v>
      </c>
      <c r="E3078" s="1" t="str">
        <f>"1800000095"</f>
        <v>1800000095</v>
      </c>
      <c r="F3078" s="1" t="str">
        <f>"تبديل 1-2"</f>
        <v>تبديل 1-2</v>
      </c>
      <c r="G3078" s="1" t="str">
        <f>"عدد"</f>
        <v>عدد</v>
      </c>
      <c r="H3078" s="1">
        <v>1</v>
      </c>
      <c r="I3078" s="1">
        <v>226000</v>
      </c>
      <c r="J3078" s="1">
        <v>0</v>
      </c>
      <c r="K3078" s="1">
        <v>0</v>
      </c>
      <c r="L3078" s="1">
        <v>1</v>
      </c>
      <c r="M3078" s="1">
        <v>226000</v>
      </c>
      <c r="O3078" s="1">
        <v>97</v>
      </c>
      <c r="P3078" s="1">
        <f t="shared" si="144"/>
        <v>0</v>
      </c>
      <c r="Q3078" s="1">
        <f t="shared" si="145"/>
        <v>0</v>
      </c>
      <c r="R3078" s="1" t="e">
        <f t="shared" si="146"/>
        <v>#DIV/0!</v>
      </c>
    </row>
    <row r="3079" spans="1:18" hidden="1">
      <c r="A3079" s="1">
        <v>2</v>
      </c>
      <c r="B3079" s="1" t="str">
        <f>"قطعات و لوازم يدكي"</f>
        <v>قطعات و لوازم يدكي</v>
      </c>
      <c r="C3079" s="1">
        <v>205</v>
      </c>
      <c r="D3079" s="1" t="str">
        <f>"انبار قطعات و لوازم يدكي بندرعباس"</f>
        <v>انبار قطعات و لوازم يدكي بندرعباس</v>
      </c>
      <c r="E3079" s="1" t="str">
        <f>"1800000096"</f>
        <v>1800000096</v>
      </c>
      <c r="F3079" s="1" t="str">
        <f>"تبديل1/2*1-3/4"</f>
        <v>تبديل1/2*1-3/4</v>
      </c>
      <c r="G3079" s="1" t="str">
        <f>"عدد"</f>
        <v>عدد</v>
      </c>
      <c r="H3079" s="1">
        <v>1</v>
      </c>
      <c r="I3079" s="1">
        <v>226000</v>
      </c>
      <c r="J3079" s="1">
        <v>0</v>
      </c>
      <c r="K3079" s="1">
        <v>0</v>
      </c>
      <c r="L3079" s="1">
        <v>1</v>
      </c>
      <c r="M3079" s="1">
        <v>226000</v>
      </c>
      <c r="O3079" s="1">
        <v>97</v>
      </c>
      <c r="P3079" s="1">
        <f t="shared" si="144"/>
        <v>0</v>
      </c>
      <c r="Q3079" s="1">
        <f t="shared" si="145"/>
        <v>0</v>
      </c>
      <c r="R3079" s="1" t="e">
        <f t="shared" si="146"/>
        <v>#DIV/0!</v>
      </c>
    </row>
    <row r="3080" spans="1:18">
      <c r="A3080" s="1">
        <v>2</v>
      </c>
      <c r="B3080" s="1" t="str">
        <f>"قطعات و لوازم يدكي"</f>
        <v>قطعات و لوازم يدكي</v>
      </c>
      <c r="C3080" s="1">
        <v>205</v>
      </c>
      <c r="D3080" s="1" t="str">
        <f>"انبار قطعات و لوازم يدكي بندرعباس"</f>
        <v>انبار قطعات و لوازم يدكي بندرعباس</v>
      </c>
      <c r="E3080" s="1" t="str">
        <f>"1800000101"</f>
        <v>1800000101</v>
      </c>
      <c r="F3080" s="1" t="str">
        <f>"strainer3"</f>
        <v>strainer3</v>
      </c>
      <c r="G3080" s="1" t="str">
        <f>"عدد"</f>
        <v>عدد</v>
      </c>
      <c r="H3080" s="1">
        <v>1</v>
      </c>
      <c r="I3080" s="1">
        <v>8000000</v>
      </c>
      <c r="J3080" s="1">
        <v>0</v>
      </c>
      <c r="K3080" s="1">
        <v>0</v>
      </c>
      <c r="L3080" s="1">
        <v>0</v>
      </c>
      <c r="M3080" s="1">
        <v>0</v>
      </c>
      <c r="O3080" s="1">
        <v>97</v>
      </c>
      <c r="P3080" s="4">
        <f t="shared" si="144"/>
        <v>8000000</v>
      </c>
      <c r="Q3080" s="4">
        <f t="shared" si="145"/>
        <v>1</v>
      </c>
      <c r="R3080" s="4">
        <f t="shared" si="146"/>
        <v>8000000</v>
      </c>
    </row>
    <row r="3081" spans="1:18">
      <c r="A3081" s="1">
        <v>2</v>
      </c>
      <c r="B3081" s="1" t="str">
        <f>"قطعات و لوازم يدكي"</f>
        <v>قطعات و لوازم يدكي</v>
      </c>
      <c r="C3081" s="1">
        <v>205</v>
      </c>
      <c r="D3081" s="1" t="str">
        <f>"انبار قطعات و لوازم يدكي بندرعباس"</f>
        <v>انبار قطعات و لوازم يدكي بندرعباس</v>
      </c>
      <c r="E3081" s="1" t="str">
        <f>"1800000104"</f>
        <v>1800000104</v>
      </c>
      <c r="F3081" s="1" t="str">
        <f>"تي 1/2"</f>
        <v>تي 1/2</v>
      </c>
      <c r="G3081" s="1" t="str">
        <f>"عدد"</f>
        <v>عدد</v>
      </c>
      <c r="H3081" s="1">
        <v>5</v>
      </c>
      <c r="I3081" s="1">
        <v>1295000</v>
      </c>
      <c r="J3081" s="1">
        <v>0</v>
      </c>
      <c r="K3081" s="1">
        <v>0</v>
      </c>
      <c r="L3081" s="1">
        <v>0</v>
      </c>
      <c r="M3081" s="1">
        <v>0</v>
      </c>
      <c r="O3081" s="1">
        <v>97</v>
      </c>
      <c r="P3081" s="4">
        <f t="shared" si="144"/>
        <v>1295000</v>
      </c>
      <c r="Q3081" s="4">
        <f t="shared" si="145"/>
        <v>5</v>
      </c>
      <c r="R3081" s="4">
        <f t="shared" si="146"/>
        <v>259000</v>
      </c>
    </row>
    <row r="3082" spans="1:18" hidden="1">
      <c r="A3082" s="1">
        <v>2</v>
      </c>
      <c r="B3082" s="1" t="str">
        <f>"قطعات و لوازم يدكي"</f>
        <v>قطعات و لوازم يدكي</v>
      </c>
      <c r="C3082" s="1">
        <v>205</v>
      </c>
      <c r="D3082" s="1" t="str">
        <f>"انبار قطعات و لوازم يدكي بندرعباس"</f>
        <v>انبار قطعات و لوازم يدكي بندرعباس</v>
      </c>
      <c r="E3082" s="1" t="str">
        <f>"1800000110"</f>
        <v>1800000110</v>
      </c>
      <c r="F3082" s="1" t="str">
        <f>"تي14"</f>
        <v>تي14</v>
      </c>
      <c r="G3082" s="1" t="str">
        <f>"عدد"</f>
        <v>عدد</v>
      </c>
      <c r="H3082" s="1">
        <v>1</v>
      </c>
      <c r="I3082" s="1">
        <v>2572550</v>
      </c>
      <c r="J3082" s="1">
        <v>0</v>
      </c>
      <c r="K3082" s="1">
        <v>0</v>
      </c>
      <c r="L3082" s="1">
        <v>1</v>
      </c>
      <c r="M3082" s="1">
        <v>2572550</v>
      </c>
      <c r="O3082" s="1">
        <v>97</v>
      </c>
      <c r="P3082" s="1">
        <f t="shared" si="144"/>
        <v>0</v>
      </c>
      <c r="Q3082" s="1">
        <f t="shared" si="145"/>
        <v>0</v>
      </c>
      <c r="R3082" s="1" t="e">
        <f t="shared" si="146"/>
        <v>#DIV/0!</v>
      </c>
    </row>
    <row r="3083" spans="1:18">
      <c r="A3083" s="1">
        <v>2</v>
      </c>
      <c r="B3083" s="1" t="str">
        <f>"قطعات و لوازم يدكي"</f>
        <v>قطعات و لوازم يدكي</v>
      </c>
      <c r="C3083" s="1">
        <v>205</v>
      </c>
      <c r="D3083" s="1" t="str">
        <f>"انبار قطعات و لوازم يدكي بندرعباس"</f>
        <v>انبار قطعات و لوازم يدكي بندرعباس</v>
      </c>
      <c r="E3083" s="1" t="str">
        <f>"1800000113"</f>
        <v>1800000113</v>
      </c>
      <c r="F3083" s="1" t="str">
        <f>"تي تبديل 10-4"</f>
        <v>تي تبديل 10-4</v>
      </c>
      <c r="G3083" s="1" t="str">
        <f>"عدد"</f>
        <v>عدد</v>
      </c>
      <c r="H3083" s="1">
        <v>2</v>
      </c>
      <c r="I3083" s="1">
        <v>4668000</v>
      </c>
      <c r="J3083" s="1">
        <v>0</v>
      </c>
      <c r="K3083" s="1">
        <v>0</v>
      </c>
      <c r="L3083" s="1">
        <v>0</v>
      </c>
      <c r="M3083" s="1">
        <v>0</v>
      </c>
      <c r="O3083" s="1">
        <v>97</v>
      </c>
      <c r="P3083" s="4">
        <f t="shared" si="144"/>
        <v>4668000</v>
      </c>
      <c r="Q3083" s="4">
        <f t="shared" si="145"/>
        <v>2</v>
      </c>
      <c r="R3083" s="4">
        <f t="shared" si="146"/>
        <v>2334000</v>
      </c>
    </row>
    <row r="3084" spans="1:18">
      <c r="A3084" s="1">
        <v>2</v>
      </c>
      <c r="B3084" s="1" t="str">
        <f>"قطعات و لوازم يدكي"</f>
        <v>قطعات و لوازم يدكي</v>
      </c>
      <c r="C3084" s="1">
        <v>205</v>
      </c>
      <c r="D3084" s="1" t="str">
        <f>"انبار قطعات و لوازم يدكي بندرعباس"</f>
        <v>انبار قطعات و لوازم يدكي بندرعباس</v>
      </c>
      <c r="E3084" s="1" t="str">
        <f>"1800000117"</f>
        <v>1800000117</v>
      </c>
      <c r="F3084" s="1" t="str">
        <f>"تي تبديل 14-10"</f>
        <v>تي تبديل 14-10</v>
      </c>
      <c r="G3084" s="1" t="str">
        <f>"عدد"</f>
        <v>عدد</v>
      </c>
      <c r="H3084" s="1">
        <v>1</v>
      </c>
      <c r="I3084" s="1">
        <v>4700000</v>
      </c>
      <c r="J3084" s="1">
        <v>0</v>
      </c>
      <c r="K3084" s="1">
        <v>0</v>
      </c>
      <c r="L3084" s="1">
        <v>0</v>
      </c>
      <c r="M3084" s="1">
        <v>0</v>
      </c>
      <c r="O3084" s="1">
        <v>97</v>
      </c>
      <c r="P3084" s="4">
        <f t="shared" si="144"/>
        <v>4700000</v>
      </c>
      <c r="Q3084" s="4">
        <f t="shared" si="145"/>
        <v>1</v>
      </c>
      <c r="R3084" s="4">
        <f t="shared" si="146"/>
        <v>4700000</v>
      </c>
    </row>
    <row r="3085" spans="1:18">
      <c r="A3085" s="1">
        <v>2</v>
      </c>
      <c r="B3085" s="1" t="str">
        <f>"قطعات و لوازم يدكي"</f>
        <v>قطعات و لوازم يدكي</v>
      </c>
      <c r="C3085" s="1">
        <v>205</v>
      </c>
      <c r="D3085" s="1" t="str">
        <f>"انبار قطعات و لوازم يدكي بندرعباس"</f>
        <v>انبار قطعات و لوازم يدكي بندرعباس</v>
      </c>
      <c r="E3085" s="1" t="str">
        <f>"1800000129"</f>
        <v>1800000129</v>
      </c>
      <c r="F3085" s="1" t="str">
        <f>"تي ولد تبديل 2-4"</f>
        <v>تي ولد تبديل 2-4</v>
      </c>
      <c r="G3085" s="1" t="str">
        <f>"عدد"</f>
        <v>عدد</v>
      </c>
      <c r="H3085" s="1">
        <v>20</v>
      </c>
      <c r="I3085" s="1">
        <v>4960000</v>
      </c>
      <c r="J3085" s="1">
        <v>0</v>
      </c>
      <c r="K3085" s="1">
        <v>0</v>
      </c>
      <c r="L3085" s="1">
        <v>0</v>
      </c>
      <c r="M3085" s="1">
        <v>0</v>
      </c>
      <c r="O3085" s="1">
        <v>97</v>
      </c>
      <c r="P3085" s="4">
        <f t="shared" si="144"/>
        <v>4960000</v>
      </c>
      <c r="Q3085" s="4">
        <f t="shared" si="145"/>
        <v>20</v>
      </c>
      <c r="R3085" s="4">
        <f t="shared" si="146"/>
        <v>248000</v>
      </c>
    </row>
    <row r="3086" spans="1:18">
      <c r="A3086" s="1">
        <v>2</v>
      </c>
      <c r="B3086" s="1" t="str">
        <f>"قطعات و لوازم يدكي"</f>
        <v>قطعات و لوازم يدكي</v>
      </c>
      <c r="C3086" s="1">
        <v>205</v>
      </c>
      <c r="D3086" s="1" t="str">
        <f>"انبار قطعات و لوازم يدكي بندرعباس"</f>
        <v>انبار قطعات و لوازم يدكي بندرعباس</v>
      </c>
      <c r="E3086" s="1" t="str">
        <f>"1800000135"</f>
        <v>1800000135</v>
      </c>
      <c r="F3086" s="1" t="str">
        <f>"ارت پيت بتوني 32*32"</f>
        <v>ارت پيت بتوني 32*32</v>
      </c>
      <c r="G3086" s="1" t="str">
        <f>"عدد"</f>
        <v>عدد</v>
      </c>
      <c r="H3086" s="1">
        <v>3</v>
      </c>
      <c r="I3086" s="1">
        <v>1050000</v>
      </c>
      <c r="J3086" s="1">
        <v>0</v>
      </c>
      <c r="K3086" s="1">
        <v>0</v>
      </c>
      <c r="L3086" s="1">
        <v>0</v>
      </c>
      <c r="M3086" s="1">
        <v>0</v>
      </c>
      <c r="O3086" s="1">
        <v>97</v>
      </c>
      <c r="P3086" s="4">
        <f t="shared" si="144"/>
        <v>1050000</v>
      </c>
      <c r="Q3086" s="4">
        <f t="shared" si="145"/>
        <v>3</v>
      </c>
      <c r="R3086" s="4">
        <f t="shared" si="146"/>
        <v>350000</v>
      </c>
    </row>
    <row r="3087" spans="1:18">
      <c r="A3087" s="1">
        <v>2</v>
      </c>
      <c r="B3087" s="1" t="str">
        <f>"قطعات و لوازم يدكي"</f>
        <v>قطعات و لوازم يدكي</v>
      </c>
      <c r="C3087" s="1">
        <v>205</v>
      </c>
      <c r="D3087" s="1" t="str">
        <f>"انبار قطعات و لوازم يدكي بندرعباس"</f>
        <v>انبار قطعات و لوازم يدكي بندرعباس</v>
      </c>
      <c r="E3087" s="1" t="str">
        <f>"1800000138"</f>
        <v>1800000138</v>
      </c>
      <c r="F3087" s="1" t="str">
        <f>"اسپري رنگ فشاري"</f>
        <v>اسپري رنگ فشاري</v>
      </c>
      <c r="G3087" s="1" t="str">
        <f>"عدد"</f>
        <v>عدد</v>
      </c>
      <c r="H3087" s="1">
        <v>2</v>
      </c>
      <c r="I3087" s="1">
        <v>100000</v>
      </c>
      <c r="J3087" s="1">
        <v>0</v>
      </c>
      <c r="K3087" s="1">
        <v>0</v>
      </c>
      <c r="L3087" s="1">
        <v>1</v>
      </c>
      <c r="M3087" s="1">
        <v>50000</v>
      </c>
      <c r="O3087" s="1">
        <v>97</v>
      </c>
      <c r="P3087" s="4">
        <f t="shared" si="144"/>
        <v>50000</v>
      </c>
      <c r="Q3087" s="4">
        <f t="shared" si="145"/>
        <v>1</v>
      </c>
      <c r="R3087" s="4">
        <f t="shared" si="146"/>
        <v>50000</v>
      </c>
    </row>
    <row r="3088" spans="1:18">
      <c r="A3088" s="1">
        <v>2</v>
      </c>
      <c r="B3088" s="1" t="str">
        <f>"قطعات و لوازم يدكي"</f>
        <v>قطعات و لوازم يدكي</v>
      </c>
      <c r="C3088" s="1">
        <v>205</v>
      </c>
      <c r="D3088" s="1" t="str">
        <f>"انبار قطعات و لوازم يدكي بندرعباس"</f>
        <v>انبار قطعات و لوازم يدكي بندرعباس</v>
      </c>
      <c r="E3088" s="1" t="str">
        <f>"1800000142"</f>
        <v>1800000142</v>
      </c>
      <c r="F3088" s="1" t="str">
        <f>"استارتر مهتابي"</f>
        <v>استارتر مهتابي</v>
      </c>
      <c r="G3088" s="1" t="str">
        <f>"عدد"</f>
        <v>عدد</v>
      </c>
      <c r="H3088" s="1">
        <v>25</v>
      </c>
      <c r="I3088" s="1">
        <v>750000</v>
      </c>
      <c r="J3088" s="1">
        <v>0</v>
      </c>
      <c r="K3088" s="1">
        <v>0</v>
      </c>
      <c r="L3088" s="1">
        <v>14</v>
      </c>
      <c r="M3088" s="1">
        <v>420000</v>
      </c>
      <c r="O3088" s="1">
        <v>97</v>
      </c>
      <c r="P3088" s="4">
        <f t="shared" si="144"/>
        <v>330000</v>
      </c>
      <c r="Q3088" s="4">
        <f t="shared" si="145"/>
        <v>11</v>
      </c>
      <c r="R3088" s="4">
        <f t="shared" si="146"/>
        <v>30000</v>
      </c>
    </row>
    <row r="3089" spans="1:18">
      <c r="A3089" s="1">
        <v>2</v>
      </c>
      <c r="B3089" s="1" t="str">
        <f>"قطعات و لوازم يدكي"</f>
        <v>قطعات و لوازم يدكي</v>
      </c>
      <c r="C3089" s="1">
        <v>205</v>
      </c>
      <c r="D3089" s="1" t="str">
        <f>"انبار قطعات و لوازم يدكي بندرعباس"</f>
        <v>انبار قطعات و لوازم يدكي بندرعباس</v>
      </c>
      <c r="E3089" s="1" t="str">
        <f>"1800000144"</f>
        <v>1800000144</v>
      </c>
      <c r="F3089" s="1" t="str">
        <f>"الکترود جرقه بويلر"</f>
        <v>الکترود جرقه بويلر</v>
      </c>
      <c r="G3089" s="1" t="str">
        <f>"عدد"</f>
        <v>عدد</v>
      </c>
      <c r="H3089" s="1">
        <v>4</v>
      </c>
      <c r="I3089" s="1">
        <v>320000</v>
      </c>
      <c r="J3089" s="1">
        <v>0</v>
      </c>
      <c r="K3089" s="1">
        <v>0</v>
      </c>
      <c r="L3089" s="1">
        <v>0</v>
      </c>
      <c r="M3089" s="1">
        <v>0</v>
      </c>
      <c r="O3089" s="1">
        <v>97</v>
      </c>
      <c r="P3089" s="4">
        <f t="shared" si="144"/>
        <v>320000</v>
      </c>
      <c r="Q3089" s="4">
        <f t="shared" si="145"/>
        <v>4</v>
      </c>
      <c r="R3089" s="4">
        <f t="shared" si="146"/>
        <v>80000</v>
      </c>
    </row>
    <row r="3090" spans="1:18" hidden="1">
      <c r="A3090" s="1">
        <v>2</v>
      </c>
      <c r="B3090" s="1" t="str">
        <f>"قطعات و لوازم يدكي"</f>
        <v>قطعات و لوازم يدكي</v>
      </c>
      <c r="C3090" s="1">
        <v>205</v>
      </c>
      <c r="D3090" s="1" t="str">
        <f>"انبار قطعات و لوازم يدكي بندرعباس"</f>
        <v>انبار قطعات و لوازم يدكي بندرعباس</v>
      </c>
      <c r="E3090" s="1" t="str">
        <f>"1800000145"</f>
        <v>1800000145</v>
      </c>
      <c r="F3090" s="1" t="str">
        <f>"الکترود جوشکاري"</f>
        <v>الکترود جوشکاري</v>
      </c>
      <c r="G3090" s="1" t="str">
        <f>"بسته"</f>
        <v>بسته</v>
      </c>
      <c r="H3090" s="1">
        <v>0</v>
      </c>
      <c r="I3090" s="1">
        <v>0</v>
      </c>
      <c r="J3090" s="1">
        <v>5</v>
      </c>
      <c r="K3090" s="1">
        <v>3500000</v>
      </c>
      <c r="L3090" s="1">
        <v>5</v>
      </c>
      <c r="M3090" s="1">
        <v>3500000</v>
      </c>
      <c r="O3090" s="1">
        <v>97</v>
      </c>
      <c r="P3090" s="1">
        <f t="shared" si="144"/>
        <v>0</v>
      </c>
      <c r="Q3090" s="1">
        <f t="shared" si="145"/>
        <v>0</v>
      </c>
      <c r="R3090" s="1" t="e">
        <f t="shared" si="146"/>
        <v>#DIV/0!</v>
      </c>
    </row>
    <row r="3091" spans="1:18">
      <c r="A3091" s="1">
        <v>2</v>
      </c>
      <c r="B3091" s="1" t="str">
        <f>"قطعات و لوازم يدكي"</f>
        <v>قطعات و لوازم يدكي</v>
      </c>
      <c r="C3091" s="1">
        <v>205</v>
      </c>
      <c r="D3091" s="1" t="str">
        <f>"انبار قطعات و لوازم يدكي بندرعباس"</f>
        <v>انبار قطعات و لوازم يدكي بندرعباس</v>
      </c>
      <c r="E3091" s="1" t="str">
        <f>"1800000168"</f>
        <v>1800000168</v>
      </c>
      <c r="F3091" s="1" t="str">
        <f>"بالون شناور مغناطيسي"</f>
        <v>بالون شناور مغناطيسي</v>
      </c>
      <c r="G3091" s="1" t="str">
        <f>"عدد"</f>
        <v>عدد</v>
      </c>
      <c r="H3091" s="1">
        <v>1</v>
      </c>
      <c r="I3091" s="1">
        <v>200000</v>
      </c>
      <c r="J3091" s="1">
        <v>0</v>
      </c>
      <c r="K3091" s="1">
        <v>0</v>
      </c>
      <c r="L3091" s="1">
        <v>0</v>
      </c>
      <c r="M3091" s="1">
        <v>0</v>
      </c>
      <c r="O3091" s="1">
        <v>97</v>
      </c>
      <c r="P3091" s="4">
        <f t="shared" si="144"/>
        <v>200000</v>
      </c>
      <c r="Q3091" s="4">
        <f t="shared" si="145"/>
        <v>1</v>
      </c>
      <c r="R3091" s="4">
        <f t="shared" si="146"/>
        <v>200000</v>
      </c>
    </row>
    <row r="3092" spans="1:18">
      <c r="A3092" s="1">
        <v>2</v>
      </c>
      <c r="B3092" s="1" t="str">
        <f>"قطعات و لوازم يدكي"</f>
        <v>قطعات و لوازم يدكي</v>
      </c>
      <c r="C3092" s="1">
        <v>205</v>
      </c>
      <c r="D3092" s="1" t="str">
        <f>"انبار قطعات و لوازم يدكي بندرعباس"</f>
        <v>انبار قطعات و لوازم يدكي بندرعباس</v>
      </c>
      <c r="E3092" s="1" t="str">
        <f>"1800000171"</f>
        <v>1800000171</v>
      </c>
      <c r="F3092" s="1" t="str">
        <f>"بريکر اشنايدر 63"</f>
        <v>بريکر اشنايدر 63</v>
      </c>
      <c r="G3092" s="1" t="str">
        <f>"عدد"</f>
        <v>عدد</v>
      </c>
      <c r="H3092" s="1">
        <v>1</v>
      </c>
      <c r="I3092" s="1">
        <v>1500000</v>
      </c>
      <c r="J3092" s="1">
        <v>0</v>
      </c>
      <c r="K3092" s="1">
        <v>0</v>
      </c>
      <c r="L3092" s="1">
        <v>0</v>
      </c>
      <c r="M3092" s="1">
        <v>0</v>
      </c>
      <c r="O3092" s="1">
        <v>97</v>
      </c>
      <c r="P3092" s="4">
        <f t="shared" si="144"/>
        <v>1500000</v>
      </c>
      <c r="Q3092" s="4">
        <f t="shared" si="145"/>
        <v>1</v>
      </c>
      <c r="R3092" s="4">
        <f t="shared" si="146"/>
        <v>1500000</v>
      </c>
    </row>
    <row r="3093" spans="1:18">
      <c r="A3093" s="1">
        <v>2</v>
      </c>
      <c r="B3093" s="1" t="str">
        <f>"قطعات و لوازم يدكي"</f>
        <v>قطعات و لوازم يدكي</v>
      </c>
      <c r="C3093" s="1">
        <v>205</v>
      </c>
      <c r="D3093" s="1" t="str">
        <f>"انبار قطعات و لوازم يدكي بندرعباس"</f>
        <v>انبار قطعات و لوازم يدكي بندرعباس</v>
      </c>
      <c r="E3093" s="1" t="str">
        <f>"1800000175"</f>
        <v>1800000175</v>
      </c>
      <c r="F3093" s="1" t="str">
        <f>"بريکر اشنايدر 16"</f>
        <v>بريکر اشنايدر 16</v>
      </c>
      <c r="G3093" s="1" t="str">
        <f>"عدد"</f>
        <v>عدد</v>
      </c>
      <c r="H3093" s="1">
        <v>1</v>
      </c>
      <c r="I3093" s="1">
        <v>700000</v>
      </c>
      <c r="J3093" s="1">
        <v>0</v>
      </c>
      <c r="K3093" s="1">
        <v>0</v>
      </c>
      <c r="L3093" s="1">
        <v>0</v>
      </c>
      <c r="M3093" s="1">
        <v>0</v>
      </c>
      <c r="O3093" s="1">
        <v>97</v>
      </c>
      <c r="P3093" s="4">
        <f t="shared" si="144"/>
        <v>700000</v>
      </c>
      <c r="Q3093" s="4">
        <f t="shared" si="145"/>
        <v>1</v>
      </c>
      <c r="R3093" s="4">
        <f t="shared" si="146"/>
        <v>700000</v>
      </c>
    </row>
    <row r="3094" spans="1:18" hidden="1">
      <c r="A3094" s="1">
        <v>2</v>
      </c>
      <c r="B3094" s="1" t="str">
        <f>"قطعات و لوازم يدكي"</f>
        <v>قطعات و لوازم يدكي</v>
      </c>
      <c r="C3094" s="1">
        <v>205</v>
      </c>
      <c r="D3094" s="1" t="str">
        <f>"انبار قطعات و لوازم يدكي بندرعباس"</f>
        <v>انبار قطعات و لوازم يدكي بندرعباس</v>
      </c>
      <c r="E3094" s="1" t="str">
        <f>"1800000184"</f>
        <v>1800000184</v>
      </c>
      <c r="F3094" s="1" t="str">
        <f>"بست فلزي 3/4"</f>
        <v>بست فلزي 3/4</v>
      </c>
      <c r="G3094" s="1" t="str">
        <f>"عدد"</f>
        <v>عدد</v>
      </c>
      <c r="H3094" s="1">
        <v>0</v>
      </c>
      <c r="I3094" s="1">
        <v>0</v>
      </c>
      <c r="J3094" s="1">
        <v>20</v>
      </c>
      <c r="K3094" s="1">
        <v>240000</v>
      </c>
      <c r="L3094" s="1">
        <v>20</v>
      </c>
      <c r="M3094" s="1">
        <v>240000</v>
      </c>
      <c r="O3094" s="1">
        <v>97</v>
      </c>
      <c r="P3094" s="1">
        <f t="shared" si="144"/>
        <v>0</v>
      </c>
      <c r="Q3094" s="1">
        <f t="shared" si="145"/>
        <v>0</v>
      </c>
      <c r="R3094" s="1" t="e">
        <f t="shared" si="146"/>
        <v>#DIV/0!</v>
      </c>
    </row>
    <row r="3095" spans="1:18">
      <c r="A3095" s="1">
        <v>2</v>
      </c>
      <c r="B3095" s="1" t="str">
        <f>"قطعات و لوازم يدكي"</f>
        <v>قطعات و لوازم يدكي</v>
      </c>
      <c r="C3095" s="1">
        <v>205</v>
      </c>
      <c r="D3095" s="1" t="str">
        <f>"انبار قطعات و لوازم يدكي بندرعباس"</f>
        <v>انبار قطعات و لوازم يدكي بندرعباس</v>
      </c>
      <c r="E3095" s="1" t="str">
        <f>"1800000191"</f>
        <v>1800000191</v>
      </c>
      <c r="F3095" s="1" t="str">
        <f>"بلبرينگ coyo"</f>
        <v>بلبرينگ coyo</v>
      </c>
      <c r="G3095" s="1" t="str">
        <f>"عدد"</f>
        <v>عدد</v>
      </c>
      <c r="H3095" s="1">
        <v>2</v>
      </c>
      <c r="I3095" s="1">
        <v>400000</v>
      </c>
      <c r="J3095" s="1">
        <v>2</v>
      </c>
      <c r="K3095" s="1">
        <v>700000</v>
      </c>
      <c r="L3095" s="1">
        <v>2</v>
      </c>
      <c r="M3095" s="1">
        <v>550000</v>
      </c>
      <c r="O3095" s="1">
        <v>97</v>
      </c>
      <c r="P3095" s="4">
        <f t="shared" si="144"/>
        <v>550000</v>
      </c>
      <c r="Q3095" s="4">
        <f t="shared" si="145"/>
        <v>2</v>
      </c>
      <c r="R3095" s="4">
        <f t="shared" si="146"/>
        <v>275000</v>
      </c>
    </row>
    <row r="3096" spans="1:18">
      <c r="A3096" s="1">
        <v>2</v>
      </c>
      <c r="B3096" s="1" t="str">
        <f>"قطعات و لوازم يدكي"</f>
        <v>قطعات و لوازم يدكي</v>
      </c>
      <c r="C3096" s="1">
        <v>205</v>
      </c>
      <c r="D3096" s="1" t="str">
        <f>"انبار قطعات و لوازم يدكي بندرعباس"</f>
        <v>انبار قطعات و لوازم يدكي بندرعباس</v>
      </c>
      <c r="E3096" s="1" t="str">
        <f>"1800000194"</f>
        <v>1800000194</v>
      </c>
      <c r="F3096" s="1" t="str">
        <f>"بلبرينگ skf 3310"</f>
        <v>بلبرينگ skf 3310</v>
      </c>
      <c r="G3096" s="1" t="str">
        <f>"عدد"</f>
        <v>عدد</v>
      </c>
      <c r="H3096" s="1">
        <v>1</v>
      </c>
      <c r="I3096" s="1">
        <v>800000</v>
      </c>
      <c r="J3096" s="1">
        <v>0</v>
      </c>
      <c r="K3096" s="1">
        <v>0</v>
      </c>
      <c r="L3096" s="1">
        <v>0</v>
      </c>
      <c r="M3096" s="1">
        <v>0</v>
      </c>
      <c r="O3096" s="1">
        <v>97</v>
      </c>
      <c r="P3096" s="4">
        <f t="shared" si="144"/>
        <v>800000</v>
      </c>
      <c r="Q3096" s="4">
        <f t="shared" si="145"/>
        <v>1</v>
      </c>
      <c r="R3096" s="4">
        <f t="shared" si="146"/>
        <v>800000</v>
      </c>
    </row>
    <row r="3097" spans="1:18">
      <c r="A3097" s="1">
        <v>2</v>
      </c>
      <c r="B3097" s="1" t="str">
        <f>"قطعات و لوازم يدكي"</f>
        <v>قطعات و لوازم يدكي</v>
      </c>
      <c r="C3097" s="1">
        <v>205</v>
      </c>
      <c r="D3097" s="1" t="str">
        <f>"انبار قطعات و لوازم يدكي بندرعباس"</f>
        <v>انبار قطعات و لوازم يدكي بندرعباس</v>
      </c>
      <c r="E3097" s="1" t="str">
        <f>"1800000198"</f>
        <v>1800000198</v>
      </c>
      <c r="F3097" s="1" t="str">
        <f>"بوشن 1/2*1"</f>
        <v>بوشن 1/2*1</v>
      </c>
      <c r="G3097" s="1" t="str">
        <f>"عدد"</f>
        <v>عدد</v>
      </c>
      <c r="H3097" s="1">
        <v>1</v>
      </c>
      <c r="I3097" s="1">
        <v>50000</v>
      </c>
      <c r="J3097" s="1">
        <v>0</v>
      </c>
      <c r="K3097" s="1">
        <v>0</v>
      </c>
      <c r="L3097" s="1">
        <v>0</v>
      </c>
      <c r="M3097" s="1">
        <v>0</v>
      </c>
      <c r="O3097" s="1">
        <v>97</v>
      </c>
      <c r="P3097" s="4">
        <f t="shared" si="144"/>
        <v>50000</v>
      </c>
      <c r="Q3097" s="4">
        <f t="shared" si="145"/>
        <v>1</v>
      </c>
      <c r="R3097" s="4">
        <f t="shared" si="146"/>
        <v>50000</v>
      </c>
    </row>
    <row r="3098" spans="1:18">
      <c r="A3098" s="1">
        <v>2</v>
      </c>
      <c r="B3098" s="1" t="str">
        <f>"قطعات و لوازم يدكي"</f>
        <v>قطعات و لوازم يدكي</v>
      </c>
      <c r="C3098" s="1">
        <v>205</v>
      </c>
      <c r="D3098" s="1" t="str">
        <f>"انبار قطعات و لوازم يدكي بندرعباس"</f>
        <v>انبار قطعات و لوازم يدكي بندرعباس</v>
      </c>
      <c r="E3098" s="1" t="str">
        <f>"1800000199"</f>
        <v>1800000199</v>
      </c>
      <c r="F3098" s="1" t="str">
        <f>"وي رينگ برنجي 100-315"</f>
        <v>وي رينگ برنجي 100-315</v>
      </c>
      <c r="G3098" s="1" t="str">
        <f>"عدد"</f>
        <v>عدد</v>
      </c>
      <c r="H3098" s="1">
        <v>2</v>
      </c>
      <c r="I3098" s="1">
        <v>100000</v>
      </c>
      <c r="J3098" s="1">
        <v>0</v>
      </c>
      <c r="K3098" s="1">
        <v>0</v>
      </c>
      <c r="L3098" s="1">
        <v>0</v>
      </c>
      <c r="M3098" s="1">
        <v>0</v>
      </c>
      <c r="O3098" s="1">
        <v>97</v>
      </c>
      <c r="P3098" s="4">
        <f t="shared" si="144"/>
        <v>100000</v>
      </c>
      <c r="Q3098" s="4">
        <f t="shared" si="145"/>
        <v>2</v>
      </c>
      <c r="R3098" s="4">
        <f t="shared" si="146"/>
        <v>50000</v>
      </c>
    </row>
    <row r="3099" spans="1:18">
      <c r="A3099" s="1">
        <v>2</v>
      </c>
      <c r="B3099" s="1" t="str">
        <f>"قطعات و لوازم يدكي"</f>
        <v>قطعات و لوازم يدكي</v>
      </c>
      <c r="C3099" s="1">
        <v>205</v>
      </c>
      <c r="D3099" s="1" t="str">
        <f>"انبار قطعات و لوازم يدكي بندرعباس"</f>
        <v>انبار قطعات و لوازم يدكي بندرعباس</v>
      </c>
      <c r="E3099" s="1" t="str">
        <f>"1800000204"</f>
        <v>1800000204</v>
      </c>
      <c r="F3099" s="1" t="str">
        <f>"بوشن فلزي کاندويت 1"</f>
        <v>بوشن فلزي کاندويت 1</v>
      </c>
      <c r="G3099" s="1" t="str">
        <f>"عدد"</f>
        <v>عدد</v>
      </c>
      <c r="H3099" s="1">
        <v>110</v>
      </c>
      <c r="I3099" s="1">
        <v>5500000</v>
      </c>
      <c r="J3099" s="1">
        <v>0</v>
      </c>
      <c r="K3099" s="1">
        <v>0</v>
      </c>
      <c r="L3099" s="1">
        <v>0</v>
      </c>
      <c r="M3099" s="1">
        <v>0</v>
      </c>
      <c r="O3099" s="1">
        <v>97</v>
      </c>
      <c r="P3099" s="4">
        <f t="shared" si="144"/>
        <v>5500000</v>
      </c>
      <c r="Q3099" s="4">
        <f t="shared" si="145"/>
        <v>110</v>
      </c>
      <c r="R3099" s="4">
        <f t="shared" si="146"/>
        <v>50000</v>
      </c>
    </row>
    <row r="3100" spans="1:18">
      <c r="A3100" s="1">
        <v>2</v>
      </c>
      <c r="B3100" s="1" t="str">
        <f>"قطعات و لوازم يدكي"</f>
        <v>قطعات و لوازم يدكي</v>
      </c>
      <c r="C3100" s="1">
        <v>205</v>
      </c>
      <c r="D3100" s="1" t="str">
        <f>"انبار قطعات و لوازم يدكي بندرعباس"</f>
        <v>انبار قطعات و لوازم يدكي بندرعباس</v>
      </c>
      <c r="E3100" s="1" t="str">
        <f>"1800000228"</f>
        <v>1800000228</v>
      </c>
      <c r="F3100" s="1" t="str">
        <f>"پرشر هواي کرم"</f>
        <v>پرشر هواي کرم</v>
      </c>
      <c r="G3100" s="1" t="str">
        <f>"عدد"</f>
        <v>عدد</v>
      </c>
      <c r="H3100" s="1">
        <v>2</v>
      </c>
      <c r="I3100" s="1">
        <v>6000000</v>
      </c>
      <c r="J3100" s="1">
        <v>0</v>
      </c>
      <c r="K3100" s="1">
        <v>0</v>
      </c>
      <c r="L3100" s="1">
        <v>0</v>
      </c>
      <c r="M3100" s="1">
        <v>0</v>
      </c>
      <c r="O3100" s="1">
        <v>97</v>
      </c>
      <c r="P3100" s="4">
        <f t="shared" si="144"/>
        <v>6000000</v>
      </c>
      <c r="Q3100" s="4">
        <f t="shared" si="145"/>
        <v>2</v>
      </c>
      <c r="R3100" s="4">
        <f t="shared" si="146"/>
        <v>3000000</v>
      </c>
    </row>
    <row r="3101" spans="1:18" hidden="1">
      <c r="A3101" s="1">
        <v>2</v>
      </c>
      <c r="B3101" s="1" t="str">
        <f>"قطعات و لوازم يدكي"</f>
        <v>قطعات و لوازم يدكي</v>
      </c>
      <c r="C3101" s="1">
        <v>205</v>
      </c>
      <c r="D3101" s="1" t="str">
        <f>"انبار قطعات و لوازم يدكي بندرعباس"</f>
        <v>انبار قطعات و لوازم يدكي بندرعباس</v>
      </c>
      <c r="E3101" s="1" t="str">
        <f>"1800000230"</f>
        <v>1800000230</v>
      </c>
      <c r="F3101" s="1" t="str">
        <f>"پريز باراني تکفاز"</f>
        <v>پريز باراني تکفاز</v>
      </c>
      <c r="G3101" s="1" t="str">
        <f>"عدد"</f>
        <v>عدد</v>
      </c>
      <c r="H3101" s="1">
        <v>4</v>
      </c>
      <c r="I3101" s="1">
        <v>280000</v>
      </c>
      <c r="J3101" s="1">
        <v>0</v>
      </c>
      <c r="K3101" s="1">
        <v>0</v>
      </c>
      <c r="L3101" s="1">
        <v>4</v>
      </c>
      <c r="M3101" s="1">
        <v>280000</v>
      </c>
      <c r="O3101" s="1">
        <v>97</v>
      </c>
      <c r="P3101" s="1">
        <f t="shared" si="144"/>
        <v>0</v>
      </c>
      <c r="Q3101" s="1">
        <f t="shared" si="145"/>
        <v>0</v>
      </c>
      <c r="R3101" s="1" t="e">
        <f t="shared" si="146"/>
        <v>#DIV/0!</v>
      </c>
    </row>
    <row r="3102" spans="1:18" hidden="1">
      <c r="A3102" s="1">
        <v>2</v>
      </c>
      <c r="B3102" s="1" t="str">
        <f>"قطعات و لوازم يدكي"</f>
        <v>قطعات و لوازم يدكي</v>
      </c>
      <c r="C3102" s="1">
        <v>205</v>
      </c>
      <c r="D3102" s="1" t="str">
        <f>"انبار قطعات و لوازم يدكي بندرعباس"</f>
        <v>انبار قطعات و لوازم يدكي بندرعباس</v>
      </c>
      <c r="E3102" s="1" t="str">
        <f>"1800000236"</f>
        <v>1800000236</v>
      </c>
      <c r="F3102" s="1" t="str">
        <f>"پلاگ نري سه فاز 63"</f>
        <v>پلاگ نري سه فاز 63</v>
      </c>
      <c r="G3102" s="1" t="str">
        <f>"عدد"</f>
        <v>عدد</v>
      </c>
      <c r="H3102" s="1">
        <v>2</v>
      </c>
      <c r="I3102" s="1">
        <v>400000</v>
      </c>
      <c r="J3102" s="1">
        <v>0</v>
      </c>
      <c r="K3102" s="1">
        <v>0</v>
      </c>
      <c r="L3102" s="1">
        <v>2</v>
      </c>
      <c r="M3102" s="1">
        <v>400000</v>
      </c>
      <c r="O3102" s="1">
        <v>97</v>
      </c>
      <c r="P3102" s="1">
        <f t="shared" si="144"/>
        <v>0</v>
      </c>
      <c r="Q3102" s="1">
        <f t="shared" si="145"/>
        <v>0</v>
      </c>
      <c r="R3102" s="1" t="e">
        <f t="shared" si="146"/>
        <v>#DIV/0!</v>
      </c>
    </row>
    <row r="3103" spans="1:18">
      <c r="A3103" s="1">
        <v>2</v>
      </c>
      <c r="B3103" s="1" t="str">
        <f>"قطعات و لوازم يدكي"</f>
        <v>قطعات و لوازم يدكي</v>
      </c>
      <c r="C3103" s="1">
        <v>205</v>
      </c>
      <c r="D3103" s="1" t="str">
        <f>"انبار قطعات و لوازم يدكي بندرعباس"</f>
        <v>انبار قطعات و لوازم يدكي بندرعباس</v>
      </c>
      <c r="E3103" s="1" t="str">
        <f>"1800000240"</f>
        <v>1800000240</v>
      </c>
      <c r="F3103" s="1" t="str">
        <f>"پودر مس کدولد"</f>
        <v>پودر مس کدولد</v>
      </c>
      <c r="G3103" s="1" t="str">
        <f>"عدد"</f>
        <v>عدد</v>
      </c>
      <c r="H3103" s="1">
        <v>4</v>
      </c>
      <c r="I3103" s="1">
        <v>160000</v>
      </c>
      <c r="J3103" s="1">
        <v>0</v>
      </c>
      <c r="K3103" s="1">
        <v>0</v>
      </c>
      <c r="L3103" s="1">
        <v>0</v>
      </c>
      <c r="M3103" s="1">
        <v>0</v>
      </c>
      <c r="O3103" s="1">
        <v>97</v>
      </c>
      <c r="P3103" s="4">
        <f t="shared" si="144"/>
        <v>160000</v>
      </c>
      <c r="Q3103" s="4">
        <f t="shared" si="145"/>
        <v>4</v>
      </c>
      <c r="R3103" s="4">
        <f t="shared" si="146"/>
        <v>40000</v>
      </c>
    </row>
    <row r="3104" spans="1:18">
      <c r="A3104" s="1">
        <v>2</v>
      </c>
      <c r="B3104" s="1" t="str">
        <f>"قطعات و لوازم يدكي"</f>
        <v>قطعات و لوازم يدكي</v>
      </c>
      <c r="C3104" s="1">
        <v>205</v>
      </c>
      <c r="D3104" s="1" t="str">
        <f>"انبار قطعات و لوازم يدكي بندرعباس"</f>
        <v>انبار قطعات و لوازم يدكي بندرعباس</v>
      </c>
      <c r="E3104" s="1" t="str">
        <f>"1800000244"</f>
        <v>1800000244</v>
      </c>
      <c r="F3104" s="1" t="str">
        <f>"پوشرنگ نقره اي"</f>
        <v>پوشرنگ نقره اي</v>
      </c>
      <c r="G3104" s="1" t="str">
        <f>"عدد"</f>
        <v>عدد</v>
      </c>
      <c r="H3104" s="1">
        <v>2</v>
      </c>
      <c r="I3104" s="1">
        <v>200000</v>
      </c>
      <c r="J3104" s="1">
        <v>0</v>
      </c>
      <c r="K3104" s="1">
        <v>0</v>
      </c>
      <c r="L3104" s="1">
        <v>0</v>
      </c>
      <c r="M3104" s="1">
        <v>0</v>
      </c>
      <c r="O3104" s="1">
        <v>97</v>
      </c>
      <c r="P3104" s="4">
        <f t="shared" si="144"/>
        <v>200000</v>
      </c>
      <c r="Q3104" s="4">
        <f t="shared" si="145"/>
        <v>2</v>
      </c>
      <c r="R3104" s="4">
        <f t="shared" si="146"/>
        <v>100000</v>
      </c>
    </row>
    <row r="3105" spans="1:18">
      <c r="A3105" s="1">
        <v>2</v>
      </c>
      <c r="B3105" s="1" t="str">
        <f>"قطعات و لوازم يدكي"</f>
        <v>قطعات و لوازم يدكي</v>
      </c>
      <c r="C3105" s="1">
        <v>205</v>
      </c>
      <c r="D3105" s="1" t="str">
        <f>"انبار قطعات و لوازم يدكي بندرعباس"</f>
        <v>انبار قطعات و لوازم يدكي بندرعباس</v>
      </c>
      <c r="E3105" s="1" t="str">
        <f>"1800000245"</f>
        <v>1800000245</v>
      </c>
      <c r="F3105" s="1" t="str">
        <f>"پيچ 160*16"</f>
        <v>پيچ 160*16</v>
      </c>
      <c r="G3105" s="1" t="str">
        <f>"عدد"</f>
        <v>عدد</v>
      </c>
      <c r="H3105" s="1">
        <v>4</v>
      </c>
      <c r="I3105" s="1">
        <v>2000</v>
      </c>
      <c r="J3105" s="1">
        <v>0</v>
      </c>
      <c r="K3105" s="1">
        <v>0</v>
      </c>
      <c r="L3105" s="1">
        <v>0</v>
      </c>
      <c r="M3105" s="1">
        <v>0</v>
      </c>
      <c r="O3105" s="1">
        <v>97</v>
      </c>
      <c r="P3105" s="4">
        <f t="shared" si="144"/>
        <v>2000</v>
      </c>
      <c r="Q3105" s="4">
        <f t="shared" si="145"/>
        <v>4</v>
      </c>
      <c r="R3105" s="4">
        <f t="shared" si="146"/>
        <v>500</v>
      </c>
    </row>
    <row r="3106" spans="1:18">
      <c r="A3106" s="1">
        <v>2</v>
      </c>
      <c r="B3106" s="1" t="str">
        <f>"قطعات و لوازم يدكي"</f>
        <v>قطعات و لوازم يدكي</v>
      </c>
      <c r="C3106" s="1">
        <v>205</v>
      </c>
      <c r="D3106" s="1" t="str">
        <f>"انبار قطعات و لوازم يدكي بندرعباس"</f>
        <v>انبار قطعات و لوازم يدكي بندرعباس</v>
      </c>
      <c r="E3106" s="1" t="str">
        <f>"1800000247"</f>
        <v>1800000247</v>
      </c>
      <c r="F3106" s="1" t="str">
        <f>"پيچ چوب"</f>
        <v>پيچ چوب</v>
      </c>
      <c r="G3106" s="1" t="str">
        <f>"عدد"</f>
        <v>عدد</v>
      </c>
      <c r="H3106" s="1">
        <v>20</v>
      </c>
      <c r="I3106" s="1">
        <v>10000</v>
      </c>
      <c r="J3106" s="1">
        <v>0</v>
      </c>
      <c r="K3106" s="1">
        <v>0</v>
      </c>
      <c r="L3106" s="1">
        <v>0</v>
      </c>
      <c r="M3106" s="1">
        <v>0</v>
      </c>
      <c r="O3106" s="1">
        <v>97</v>
      </c>
      <c r="P3106" s="4">
        <f t="shared" si="144"/>
        <v>10000</v>
      </c>
      <c r="Q3106" s="4">
        <f t="shared" si="145"/>
        <v>20</v>
      </c>
      <c r="R3106" s="4">
        <f t="shared" si="146"/>
        <v>500</v>
      </c>
    </row>
    <row r="3107" spans="1:18">
      <c r="A3107" s="1">
        <v>2</v>
      </c>
      <c r="B3107" s="1" t="str">
        <f>"قطعات و لوازم يدكي"</f>
        <v>قطعات و لوازم يدكي</v>
      </c>
      <c r="C3107" s="1">
        <v>205</v>
      </c>
      <c r="D3107" s="1" t="str">
        <f>"انبار قطعات و لوازم يدكي بندرعباس"</f>
        <v>انبار قطعات و لوازم يدكي بندرعباس</v>
      </c>
      <c r="E3107" s="1" t="str">
        <f>"1800000255"</f>
        <v>1800000255</v>
      </c>
      <c r="F3107" s="1" t="str">
        <f>"پيچ رول پلاک 8*2"</f>
        <v>پيچ رول پلاک 8*2</v>
      </c>
      <c r="G3107" s="1" t="str">
        <f>"عدد"</f>
        <v>عدد</v>
      </c>
      <c r="H3107" s="1">
        <v>76</v>
      </c>
      <c r="I3107" s="1">
        <v>38000</v>
      </c>
      <c r="J3107" s="1">
        <v>0</v>
      </c>
      <c r="K3107" s="1">
        <v>0</v>
      </c>
      <c r="L3107" s="1">
        <v>3</v>
      </c>
      <c r="M3107" s="1">
        <v>1500</v>
      </c>
      <c r="O3107" s="1">
        <v>97</v>
      </c>
      <c r="P3107" s="4">
        <f t="shared" si="144"/>
        <v>36500</v>
      </c>
      <c r="Q3107" s="4">
        <f t="shared" si="145"/>
        <v>73</v>
      </c>
      <c r="R3107" s="4">
        <f t="shared" si="146"/>
        <v>500</v>
      </c>
    </row>
    <row r="3108" spans="1:18" hidden="1">
      <c r="A3108" s="1">
        <v>5</v>
      </c>
      <c r="B3108" s="1" t="str">
        <f>"مواداوليه (وکيوم باتوم)"</f>
        <v>مواداوليه (وکيوم باتوم)</v>
      </c>
      <c r="C3108" s="1">
        <v>103</v>
      </c>
      <c r="D3108" s="1" t="str">
        <f>"انبار مواد اوليه اصفهان"</f>
        <v>انبار مواد اوليه اصفهان</v>
      </c>
      <c r="E3108" s="1" t="str">
        <f>"1000000025"</f>
        <v>1000000025</v>
      </c>
      <c r="F3108" s="1" t="str">
        <f>"وكيوم باتوم"</f>
        <v>وكيوم باتوم</v>
      </c>
      <c r="G3108" s="1" t="str">
        <f>"كيلوگرم"</f>
        <v>كيلوگرم</v>
      </c>
      <c r="H3108" s="1">
        <v>0</v>
      </c>
      <c r="I3108" s="1">
        <v>0</v>
      </c>
      <c r="J3108" s="1">
        <v>1329519679</v>
      </c>
      <c r="K3108" s="1">
        <v>24475253428680</v>
      </c>
      <c r="L3108" s="1">
        <v>1329519679</v>
      </c>
      <c r="M3108" s="1">
        <v>24475253428680</v>
      </c>
      <c r="O3108" s="1">
        <v>97</v>
      </c>
      <c r="P3108" s="1">
        <f t="shared" si="144"/>
        <v>0</v>
      </c>
      <c r="Q3108" s="1">
        <f t="shared" si="145"/>
        <v>0</v>
      </c>
      <c r="R3108" s="1" t="e">
        <f t="shared" si="146"/>
        <v>#DIV/0!</v>
      </c>
    </row>
    <row r="3109" spans="1:18">
      <c r="A3109" s="1">
        <v>6</v>
      </c>
      <c r="B3109" s="1" t="str">
        <f>"موجودي ملزومات اداري"</f>
        <v>موجودي ملزومات اداري</v>
      </c>
      <c r="C3109" s="1">
        <v>110</v>
      </c>
      <c r="D3109" s="1" t="str">
        <f>"ملزومات اداري اصفهان"</f>
        <v>ملزومات اداري اصفهان</v>
      </c>
      <c r="E3109" s="1" t="str">
        <f>"0000011132"</f>
        <v>0000011132</v>
      </c>
      <c r="F3109" s="1" t="str">
        <f>"مغزاتود بسته اي"</f>
        <v>مغزاتود بسته اي</v>
      </c>
      <c r="G3109" s="1" t="str">
        <f>"عدد"</f>
        <v>عدد</v>
      </c>
      <c r="H3109" s="1">
        <v>140</v>
      </c>
      <c r="I3109" s="1">
        <v>1293250</v>
      </c>
      <c r="J3109" s="1">
        <v>0</v>
      </c>
      <c r="K3109" s="1">
        <v>0</v>
      </c>
      <c r="L3109" s="1">
        <v>14</v>
      </c>
      <c r="M3109" s="1">
        <v>129325</v>
      </c>
      <c r="O3109" s="1">
        <v>97</v>
      </c>
      <c r="P3109" s="4">
        <f t="shared" si="144"/>
        <v>1163925</v>
      </c>
      <c r="Q3109" s="4">
        <f t="shared" si="145"/>
        <v>126</v>
      </c>
      <c r="R3109" s="4">
        <f t="shared" si="146"/>
        <v>9237.5</v>
      </c>
    </row>
    <row r="3110" spans="1:18">
      <c r="A3110" s="1">
        <v>6</v>
      </c>
      <c r="B3110" s="1" t="str">
        <f>"موجودي ملزومات اداري"</f>
        <v>موجودي ملزومات اداري</v>
      </c>
      <c r="C3110" s="1">
        <v>110</v>
      </c>
      <c r="D3110" s="1" t="str">
        <f>"ملزومات اداري اصفهان"</f>
        <v>ملزومات اداري اصفهان</v>
      </c>
      <c r="E3110" s="1" t="str">
        <f>"0000011212"</f>
        <v>0000011212</v>
      </c>
      <c r="F3110" s="1" t="str">
        <f>"دفتر 100 برگ."</f>
        <v>دفتر 100 برگ.</v>
      </c>
      <c r="G3110" s="1" t="str">
        <f>"عدد"</f>
        <v>عدد</v>
      </c>
      <c r="H3110" s="1">
        <v>19</v>
      </c>
      <c r="I3110" s="1">
        <v>342000</v>
      </c>
      <c r="J3110" s="1">
        <v>10</v>
      </c>
      <c r="K3110" s="1">
        <v>850000</v>
      </c>
      <c r="L3110" s="1">
        <v>21</v>
      </c>
      <c r="M3110" s="1">
        <v>750222</v>
      </c>
      <c r="O3110" s="1">
        <v>97</v>
      </c>
      <c r="P3110" s="4">
        <f t="shared" si="144"/>
        <v>441778</v>
      </c>
      <c r="Q3110" s="4">
        <f t="shared" si="145"/>
        <v>8</v>
      </c>
      <c r="R3110" s="4">
        <f t="shared" si="146"/>
        <v>55222.25</v>
      </c>
    </row>
    <row r="3111" spans="1:18" hidden="1">
      <c r="A3111" s="1">
        <v>6</v>
      </c>
      <c r="B3111" s="1" t="str">
        <f>"موجودي ملزومات اداري"</f>
        <v>موجودي ملزومات اداري</v>
      </c>
      <c r="C3111" s="1">
        <v>110</v>
      </c>
      <c r="D3111" s="1" t="str">
        <f>"ملزومات اداري اصفهان"</f>
        <v>ملزومات اداري اصفهان</v>
      </c>
      <c r="E3111" s="1" t="str">
        <f>"0000011432"</f>
        <v>0000011432</v>
      </c>
      <c r="F3111" s="1" t="str">
        <f>"خط كش 30 سانتي"</f>
        <v>خط كش 30 سانتي</v>
      </c>
      <c r="G3111" s="1" t="str">
        <f>"عدد"</f>
        <v>عدد</v>
      </c>
      <c r="H3111" s="1">
        <v>4</v>
      </c>
      <c r="I3111" s="1">
        <v>19274</v>
      </c>
      <c r="J3111" s="1">
        <v>0</v>
      </c>
      <c r="K3111" s="1">
        <v>0</v>
      </c>
      <c r="L3111" s="1">
        <v>4</v>
      </c>
      <c r="M3111" s="1">
        <v>19274</v>
      </c>
      <c r="O3111" s="1">
        <v>97</v>
      </c>
      <c r="P3111" s="1">
        <f t="shared" si="144"/>
        <v>0</v>
      </c>
      <c r="Q3111" s="1">
        <f t="shared" si="145"/>
        <v>0</v>
      </c>
      <c r="R3111" s="1" t="e">
        <f t="shared" si="146"/>
        <v>#DIV/0!</v>
      </c>
    </row>
    <row r="3112" spans="1:18">
      <c r="A3112" s="1">
        <v>6</v>
      </c>
      <c r="B3112" s="1" t="str">
        <f>"موجودي ملزومات اداري"</f>
        <v>موجودي ملزومات اداري</v>
      </c>
      <c r="C3112" s="1">
        <v>110</v>
      </c>
      <c r="D3112" s="1" t="str">
        <f>"ملزومات اداري اصفهان"</f>
        <v>ملزومات اداري اصفهان</v>
      </c>
      <c r="E3112" s="1" t="str">
        <f>"0000011462"</f>
        <v>0000011462</v>
      </c>
      <c r="F3112" s="1" t="str">
        <f>"نوار چسب پهن"</f>
        <v>نوار چسب پهن</v>
      </c>
      <c r="G3112" s="1" t="str">
        <f>"عدد"</f>
        <v>عدد</v>
      </c>
      <c r="H3112" s="1">
        <v>24</v>
      </c>
      <c r="I3112" s="1">
        <v>693679</v>
      </c>
      <c r="J3112" s="1">
        <v>40</v>
      </c>
      <c r="K3112" s="1">
        <v>1600000</v>
      </c>
      <c r="L3112" s="1">
        <v>50</v>
      </c>
      <c r="M3112" s="1">
        <v>1776048</v>
      </c>
      <c r="O3112" s="1">
        <v>97</v>
      </c>
      <c r="P3112" s="4">
        <f t="shared" si="144"/>
        <v>517631</v>
      </c>
      <c r="Q3112" s="4">
        <f t="shared" si="145"/>
        <v>14</v>
      </c>
      <c r="R3112" s="4">
        <f t="shared" si="146"/>
        <v>36973.642857142855</v>
      </c>
    </row>
    <row r="3113" spans="1:18" hidden="1">
      <c r="A3113" s="1">
        <v>6</v>
      </c>
      <c r="B3113" s="1" t="str">
        <f>"موجودي ملزومات اداري"</f>
        <v>موجودي ملزومات اداري</v>
      </c>
      <c r="C3113" s="1">
        <v>110</v>
      </c>
      <c r="D3113" s="1" t="str">
        <f>"ملزومات اداري اصفهان"</f>
        <v>ملزومات اداري اصفهان</v>
      </c>
      <c r="E3113" s="1" t="str">
        <f>"0000011742"</f>
        <v>0000011742</v>
      </c>
      <c r="F3113" s="1" t="str">
        <f>"كاور پلاستيكي A4"</f>
        <v>كاور پلاستيكي A4</v>
      </c>
      <c r="G3113" s="1" t="str">
        <f>"عدد"</f>
        <v>عدد</v>
      </c>
      <c r="H3113" s="1">
        <v>1</v>
      </c>
      <c r="I3113" s="1">
        <v>100000</v>
      </c>
      <c r="J3113" s="1">
        <v>10</v>
      </c>
      <c r="K3113" s="1">
        <v>1250000</v>
      </c>
      <c r="L3113" s="1">
        <v>21</v>
      </c>
      <c r="M3113" s="1">
        <v>2800000</v>
      </c>
      <c r="O3113" s="1">
        <v>97</v>
      </c>
      <c r="P3113" s="1">
        <f t="shared" si="144"/>
        <v>-1450000</v>
      </c>
      <c r="Q3113" s="1">
        <f t="shared" si="145"/>
        <v>-10</v>
      </c>
      <c r="R3113" s="1">
        <f t="shared" si="146"/>
        <v>145000</v>
      </c>
    </row>
    <row r="3114" spans="1:18">
      <c r="A3114" s="1">
        <v>6</v>
      </c>
      <c r="B3114" s="1" t="str">
        <f>"موجودي ملزومات اداري"</f>
        <v>موجودي ملزومات اداري</v>
      </c>
      <c r="C3114" s="1">
        <v>110</v>
      </c>
      <c r="D3114" s="1" t="str">
        <f>"ملزومات اداري اصفهان"</f>
        <v>ملزومات اداري اصفهان</v>
      </c>
      <c r="E3114" s="1" t="str">
        <f>"0000011812"</f>
        <v>0000011812</v>
      </c>
      <c r="F3114" s="1" t="str">
        <f>"دست تركن ( نمدان)"</f>
        <v>دست تركن ( نمدان)</v>
      </c>
      <c r="G3114" s="1" t="str">
        <f>"عدد"</f>
        <v>عدد</v>
      </c>
      <c r="H3114" s="1">
        <v>17</v>
      </c>
      <c r="I3114" s="1">
        <v>214625</v>
      </c>
      <c r="J3114" s="1">
        <v>0</v>
      </c>
      <c r="K3114" s="1">
        <v>0</v>
      </c>
      <c r="L3114" s="1">
        <v>3</v>
      </c>
      <c r="M3114" s="1">
        <v>37875</v>
      </c>
      <c r="O3114" s="1">
        <v>97</v>
      </c>
      <c r="P3114" s="4">
        <f t="shared" si="144"/>
        <v>176750</v>
      </c>
      <c r="Q3114" s="4">
        <f t="shared" si="145"/>
        <v>14</v>
      </c>
      <c r="R3114" s="4">
        <f t="shared" si="146"/>
        <v>12625</v>
      </c>
    </row>
    <row r="3115" spans="1:18">
      <c r="A3115" s="1">
        <v>6</v>
      </c>
      <c r="B3115" s="1" t="str">
        <f>"موجودي ملزومات اداري"</f>
        <v>موجودي ملزومات اداري</v>
      </c>
      <c r="C3115" s="1">
        <v>110</v>
      </c>
      <c r="D3115" s="1" t="str">
        <f>"ملزومات اداري اصفهان"</f>
        <v>ملزومات اداري اصفهان</v>
      </c>
      <c r="E3115" s="1" t="str">
        <f>"0000020102"</f>
        <v>0000020102</v>
      </c>
      <c r="F3115" s="1" t="str">
        <f>"ماسك فيلتر دار FFP2"</f>
        <v>ماسك فيلتر دار FFP2</v>
      </c>
      <c r="G3115" s="1" t="str">
        <f>"عدد"</f>
        <v>عدد</v>
      </c>
      <c r="H3115" s="1">
        <v>360</v>
      </c>
      <c r="I3115" s="1">
        <v>13476836</v>
      </c>
      <c r="J3115" s="1">
        <v>300</v>
      </c>
      <c r="K3115" s="1">
        <v>9000000</v>
      </c>
      <c r="L3115" s="1">
        <v>340</v>
      </c>
      <c r="M3115" s="1">
        <v>12238457</v>
      </c>
      <c r="O3115" s="1">
        <v>97</v>
      </c>
      <c r="P3115" s="4">
        <f t="shared" si="144"/>
        <v>10238379</v>
      </c>
      <c r="Q3115" s="4">
        <f t="shared" si="145"/>
        <v>320</v>
      </c>
      <c r="R3115" s="4">
        <f t="shared" si="146"/>
        <v>31994.934375000001</v>
      </c>
    </row>
    <row r="3116" spans="1:18">
      <c r="A3116" s="1">
        <v>6</v>
      </c>
      <c r="B3116" s="1" t="str">
        <f>"موجودي ملزومات اداري"</f>
        <v>موجودي ملزومات اداري</v>
      </c>
      <c r="C3116" s="1">
        <v>110</v>
      </c>
      <c r="D3116" s="1" t="str">
        <f>"ملزومات اداري اصفهان"</f>
        <v>ملزومات اداري اصفهان</v>
      </c>
      <c r="E3116" s="1" t="str">
        <f>"0000020103"</f>
        <v>0000020103</v>
      </c>
      <c r="F3116" s="1" t="str">
        <f>"ماسک فيلتردار JFY 3231"</f>
        <v>ماسک فيلتردار JFY 3231</v>
      </c>
      <c r="G3116" s="1" t="str">
        <f>"عدد"</f>
        <v>عدد</v>
      </c>
      <c r="H3116" s="1">
        <v>34</v>
      </c>
      <c r="I3116" s="1">
        <v>1604314</v>
      </c>
      <c r="J3116" s="1">
        <v>0</v>
      </c>
      <c r="K3116" s="1">
        <v>0</v>
      </c>
      <c r="L3116" s="1">
        <v>0</v>
      </c>
      <c r="M3116" s="1">
        <v>0</v>
      </c>
      <c r="O3116" s="1">
        <v>97</v>
      </c>
      <c r="P3116" s="4">
        <f t="shared" si="144"/>
        <v>1604314</v>
      </c>
      <c r="Q3116" s="4">
        <f t="shared" si="145"/>
        <v>34</v>
      </c>
      <c r="R3116" s="4">
        <f t="shared" si="146"/>
        <v>47185.705882352944</v>
      </c>
    </row>
    <row r="3117" spans="1:18">
      <c r="A3117" s="1">
        <v>6</v>
      </c>
      <c r="B3117" s="1" t="str">
        <f>"موجودي ملزومات اداري"</f>
        <v>موجودي ملزومات اداري</v>
      </c>
      <c r="C3117" s="1">
        <v>110</v>
      </c>
      <c r="D3117" s="1" t="str">
        <f>"ملزومات اداري اصفهان"</f>
        <v>ملزومات اداري اصفهان</v>
      </c>
      <c r="E3117" s="1" t="str">
        <f>"0000020152"</f>
        <v>0000020152</v>
      </c>
      <c r="F3117" s="1" t="str">
        <f>"گوشي ايمني (گوشي روي گوش)"</f>
        <v>گوشي ايمني (گوشي روي گوش)</v>
      </c>
      <c r="G3117" s="1" t="str">
        <f>"عدد"</f>
        <v>عدد</v>
      </c>
      <c r="H3117" s="1">
        <v>16</v>
      </c>
      <c r="I3117" s="1">
        <v>3842824</v>
      </c>
      <c r="J3117" s="1">
        <v>0</v>
      </c>
      <c r="K3117" s="1">
        <v>0</v>
      </c>
      <c r="L3117" s="1">
        <v>6</v>
      </c>
      <c r="M3117" s="1">
        <v>1441059</v>
      </c>
      <c r="O3117" s="1">
        <v>97</v>
      </c>
      <c r="P3117" s="4">
        <f t="shared" si="144"/>
        <v>2401765</v>
      </c>
      <c r="Q3117" s="4">
        <f t="shared" si="145"/>
        <v>10</v>
      </c>
      <c r="R3117" s="4">
        <f t="shared" si="146"/>
        <v>240176.5</v>
      </c>
    </row>
    <row r="3118" spans="1:18" hidden="1">
      <c r="A3118" s="1">
        <v>6</v>
      </c>
      <c r="B3118" s="1" t="str">
        <f>"موجودي ملزومات اداري"</f>
        <v>موجودي ملزومات اداري</v>
      </c>
      <c r="C3118" s="1">
        <v>110</v>
      </c>
      <c r="D3118" s="1" t="str">
        <f>"ملزومات اداري اصفهان"</f>
        <v>ملزومات اداري اصفهان</v>
      </c>
      <c r="E3118" s="1" t="str">
        <f>"0000054672"</f>
        <v>0000054672</v>
      </c>
      <c r="F3118" s="1" t="str">
        <f>"چسب موش"</f>
        <v>چسب موش</v>
      </c>
      <c r="G3118" s="1" t="str">
        <f>"عدد"</f>
        <v>عدد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O3118" s="1">
        <v>97</v>
      </c>
      <c r="P3118" s="1">
        <f t="shared" si="144"/>
        <v>0</v>
      </c>
      <c r="Q3118" s="1">
        <f t="shared" si="145"/>
        <v>0</v>
      </c>
      <c r="R3118" s="1" t="e">
        <f t="shared" si="146"/>
        <v>#DIV/0!</v>
      </c>
    </row>
    <row r="3119" spans="1:18" hidden="1">
      <c r="A3119" s="1">
        <v>6</v>
      </c>
      <c r="B3119" s="1" t="str">
        <f>"موجودي ملزومات اداري"</f>
        <v>موجودي ملزومات اداري</v>
      </c>
      <c r="C3119" s="1">
        <v>110</v>
      </c>
      <c r="D3119" s="1" t="str">
        <f>"ملزومات اداري اصفهان"</f>
        <v>ملزومات اداري اصفهان</v>
      </c>
      <c r="E3119" s="1" t="str">
        <f>"0000054992"</f>
        <v>0000054992</v>
      </c>
      <c r="F3119" s="1" t="str">
        <f>"سرم شستشو"</f>
        <v>سرم شستشو</v>
      </c>
      <c r="G3119" s="1" t="str">
        <f>"عدد"</f>
        <v>عدد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O3119" s="1">
        <v>97</v>
      </c>
      <c r="P3119" s="1">
        <f t="shared" si="144"/>
        <v>0</v>
      </c>
      <c r="Q3119" s="1">
        <f t="shared" si="145"/>
        <v>0</v>
      </c>
      <c r="R3119" s="1" t="e">
        <f t="shared" si="146"/>
        <v>#DIV/0!</v>
      </c>
    </row>
    <row r="3120" spans="1:18" hidden="1">
      <c r="A3120" s="1">
        <v>6</v>
      </c>
      <c r="B3120" s="1" t="str">
        <f>"موجودي ملزومات اداري"</f>
        <v>موجودي ملزومات اداري</v>
      </c>
      <c r="C3120" s="1">
        <v>110</v>
      </c>
      <c r="D3120" s="1" t="str">
        <f>"ملزومات اداري اصفهان"</f>
        <v>ملزومات اداري اصفهان</v>
      </c>
      <c r="E3120" s="1" t="str">
        <f>"1501020102"</f>
        <v>1501020102</v>
      </c>
      <c r="F3120" s="1" t="str">
        <f>"باند زخم بند"</f>
        <v>باند زخم بند</v>
      </c>
      <c r="G3120" s="1" t="str">
        <f>"عدد"</f>
        <v>عدد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O3120" s="1">
        <v>97</v>
      </c>
      <c r="P3120" s="1">
        <f t="shared" si="144"/>
        <v>0</v>
      </c>
      <c r="Q3120" s="1">
        <f t="shared" si="145"/>
        <v>0</v>
      </c>
      <c r="R3120" s="1" t="e">
        <f t="shared" si="146"/>
        <v>#DIV/0!</v>
      </c>
    </row>
    <row r="3121" spans="1:18">
      <c r="A3121" s="1">
        <v>6</v>
      </c>
      <c r="B3121" s="1" t="str">
        <f>"موجودي ملزومات اداري"</f>
        <v>موجودي ملزومات اداري</v>
      </c>
      <c r="C3121" s="1">
        <v>110</v>
      </c>
      <c r="D3121" s="1" t="str">
        <f>"ملزومات اداري اصفهان"</f>
        <v>ملزومات اداري اصفهان</v>
      </c>
      <c r="E3121" s="1" t="str">
        <f>"1501021022"</f>
        <v>1501021022</v>
      </c>
      <c r="F3121" s="1" t="str">
        <f>"لباس گرم"</f>
        <v>لباس گرم</v>
      </c>
      <c r="G3121" s="1" t="str">
        <f>"دست"</f>
        <v>دست</v>
      </c>
      <c r="H3121" s="1">
        <v>9</v>
      </c>
      <c r="I3121" s="1">
        <v>3072484</v>
      </c>
      <c r="J3121" s="1">
        <v>118</v>
      </c>
      <c r="K3121" s="1">
        <v>75520000</v>
      </c>
      <c r="L3121" s="1">
        <v>117</v>
      </c>
      <c r="M3121" s="1">
        <v>72404099</v>
      </c>
      <c r="O3121" s="1">
        <v>97</v>
      </c>
      <c r="P3121" s="4">
        <f t="shared" si="144"/>
        <v>6188385</v>
      </c>
      <c r="Q3121" s="4">
        <f t="shared" si="145"/>
        <v>10</v>
      </c>
      <c r="R3121" s="4">
        <f t="shared" si="146"/>
        <v>618838.5</v>
      </c>
    </row>
    <row r="3122" spans="1:18">
      <c r="A3122" s="1">
        <v>6</v>
      </c>
      <c r="B3122" s="1" t="str">
        <f>"موجودي ملزومات اداري"</f>
        <v>موجودي ملزومات اداري</v>
      </c>
      <c r="C3122" s="1">
        <v>110</v>
      </c>
      <c r="D3122" s="1" t="str">
        <f>"ملزومات اداري اصفهان"</f>
        <v>ملزومات اداري اصفهان</v>
      </c>
      <c r="E3122" s="1" t="str">
        <f>"1501021092"</f>
        <v>1501021092</v>
      </c>
      <c r="F3122" s="1" t="str">
        <f>"قفل آويز بزرگ"</f>
        <v>قفل آويز بزرگ</v>
      </c>
      <c r="G3122" s="1" t="str">
        <f>"عدد"</f>
        <v>عدد</v>
      </c>
      <c r="H3122" s="1">
        <v>29</v>
      </c>
      <c r="I3122" s="1">
        <v>2320000</v>
      </c>
      <c r="J3122" s="1">
        <v>0</v>
      </c>
      <c r="K3122" s="1">
        <v>0</v>
      </c>
      <c r="L3122" s="1">
        <v>6</v>
      </c>
      <c r="M3122" s="1">
        <v>480000</v>
      </c>
      <c r="O3122" s="1">
        <v>97</v>
      </c>
      <c r="P3122" s="4">
        <f t="shared" si="144"/>
        <v>1840000</v>
      </c>
      <c r="Q3122" s="4">
        <f t="shared" si="145"/>
        <v>23</v>
      </c>
      <c r="R3122" s="4">
        <f t="shared" si="146"/>
        <v>80000</v>
      </c>
    </row>
    <row r="3123" spans="1:18" hidden="1">
      <c r="A3123" s="1">
        <v>6</v>
      </c>
      <c r="B3123" s="1" t="str">
        <f>"موجودي ملزومات اداري"</f>
        <v>موجودي ملزومات اداري</v>
      </c>
      <c r="C3123" s="1">
        <v>110</v>
      </c>
      <c r="D3123" s="1" t="str">
        <f>"ملزومات اداري اصفهان"</f>
        <v>ملزومات اداري اصفهان</v>
      </c>
      <c r="E3123" s="1" t="str">
        <f>"1501021102"</f>
        <v>1501021102</v>
      </c>
      <c r="F3123" s="1" t="str">
        <f>"اورکت"</f>
        <v>اورکت</v>
      </c>
      <c r="G3123" s="1" t="str">
        <f>"عدد"</f>
        <v>عدد</v>
      </c>
      <c r="H3123" s="1">
        <v>0</v>
      </c>
      <c r="I3123" s="1">
        <v>0</v>
      </c>
      <c r="J3123" s="1">
        <v>0</v>
      </c>
      <c r="K3123" s="1">
        <v>0</v>
      </c>
      <c r="L3123" s="1">
        <v>0</v>
      </c>
      <c r="M3123" s="1">
        <v>0</v>
      </c>
      <c r="O3123" s="1">
        <v>97</v>
      </c>
      <c r="P3123" s="1">
        <f t="shared" si="144"/>
        <v>0</v>
      </c>
      <c r="Q3123" s="1">
        <f t="shared" si="145"/>
        <v>0</v>
      </c>
      <c r="R3123" s="1" t="e">
        <f t="shared" si="146"/>
        <v>#DIV/0!</v>
      </c>
    </row>
    <row r="3124" spans="1:18" hidden="1">
      <c r="A3124" s="1">
        <v>6</v>
      </c>
      <c r="B3124" s="1" t="str">
        <f>"موجودي ملزومات اداري"</f>
        <v>موجودي ملزومات اداري</v>
      </c>
      <c r="C3124" s="1">
        <v>110</v>
      </c>
      <c r="D3124" s="1" t="str">
        <f>"ملزومات اداري اصفهان"</f>
        <v>ملزومات اداري اصفهان</v>
      </c>
      <c r="E3124" s="1" t="str">
        <f>"1501021342"</f>
        <v>1501021342</v>
      </c>
      <c r="F3124" s="1" t="str">
        <f>"پلاستيک زباله 70*90"</f>
        <v>پلاستيک زباله 70*90</v>
      </c>
      <c r="G3124" s="1" t="str">
        <f>"كيلوگرم"</f>
        <v>كيلوگرم</v>
      </c>
      <c r="H3124" s="1">
        <v>0</v>
      </c>
      <c r="I3124" s="1">
        <v>0</v>
      </c>
      <c r="J3124" s="1">
        <v>70</v>
      </c>
      <c r="K3124" s="1">
        <v>3360000</v>
      </c>
      <c r="L3124" s="1">
        <v>70</v>
      </c>
      <c r="M3124" s="1">
        <v>3360000</v>
      </c>
      <c r="O3124" s="1">
        <v>97</v>
      </c>
      <c r="P3124" s="1">
        <f t="shared" si="144"/>
        <v>0</v>
      </c>
      <c r="Q3124" s="1">
        <f t="shared" si="145"/>
        <v>0</v>
      </c>
      <c r="R3124" s="1" t="e">
        <f t="shared" si="146"/>
        <v>#DIV/0!</v>
      </c>
    </row>
    <row r="3125" spans="1:18">
      <c r="A3125" s="1">
        <v>6</v>
      </c>
      <c r="B3125" s="1" t="str">
        <f>"موجودي ملزومات اداري"</f>
        <v>موجودي ملزومات اداري</v>
      </c>
      <c r="C3125" s="1">
        <v>110</v>
      </c>
      <c r="D3125" s="1" t="str">
        <f>"ملزومات اداري اصفهان"</f>
        <v>ملزومات اداري اصفهان</v>
      </c>
      <c r="E3125" s="1" t="str">
        <f>"1501021362"</f>
        <v>1501021362</v>
      </c>
      <c r="F3125" s="1" t="str">
        <f>"عينك ايمني آفتابي"</f>
        <v>عينك ايمني آفتابي</v>
      </c>
      <c r="G3125" s="1" t="str">
        <f>"عدد"</f>
        <v>عدد</v>
      </c>
      <c r="H3125" s="1">
        <v>0</v>
      </c>
      <c r="I3125" s="1">
        <v>0</v>
      </c>
      <c r="J3125" s="1">
        <v>89</v>
      </c>
      <c r="K3125" s="1">
        <v>99680000</v>
      </c>
      <c r="L3125" s="1">
        <v>81</v>
      </c>
      <c r="M3125" s="1">
        <v>90720000</v>
      </c>
      <c r="O3125" s="1">
        <v>97</v>
      </c>
      <c r="P3125" s="4">
        <f t="shared" si="144"/>
        <v>8960000</v>
      </c>
      <c r="Q3125" s="4">
        <f t="shared" si="145"/>
        <v>8</v>
      </c>
      <c r="R3125" s="4">
        <f t="shared" si="146"/>
        <v>1120000</v>
      </c>
    </row>
    <row r="3126" spans="1:18">
      <c r="A3126" s="1">
        <v>6</v>
      </c>
      <c r="B3126" s="1" t="str">
        <f>"موجودي ملزومات اداري"</f>
        <v>موجودي ملزومات اداري</v>
      </c>
      <c r="C3126" s="1">
        <v>110</v>
      </c>
      <c r="D3126" s="1" t="str">
        <f>"ملزومات اداري اصفهان"</f>
        <v>ملزومات اداري اصفهان</v>
      </c>
      <c r="E3126" s="1" t="str">
        <f>"1501021382"</f>
        <v>1501021382</v>
      </c>
      <c r="F3126" s="1" t="str">
        <f>"مجوز کار سرد"</f>
        <v>مجوز کار سرد</v>
      </c>
      <c r="G3126" s="1" t="str">
        <f>"پد"</f>
        <v>پد</v>
      </c>
      <c r="H3126" s="1">
        <v>0</v>
      </c>
      <c r="I3126" s="1">
        <v>0</v>
      </c>
      <c r="J3126" s="1">
        <v>100</v>
      </c>
      <c r="K3126" s="1">
        <v>13000000</v>
      </c>
      <c r="L3126" s="1">
        <v>0</v>
      </c>
      <c r="M3126" s="1">
        <v>0</v>
      </c>
      <c r="O3126" s="1">
        <v>97</v>
      </c>
      <c r="P3126" s="4">
        <f t="shared" si="144"/>
        <v>13000000</v>
      </c>
      <c r="Q3126" s="4">
        <f t="shared" si="145"/>
        <v>100</v>
      </c>
      <c r="R3126" s="4">
        <f t="shared" si="146"/>
        <v>130000</v>
      </c>
    </row>
    <row r="3127" spans="1:18" hidden="1">
      <c r="A3127" s="1">
        <v>6</v>
      </c>
      <c r="B3127" s="1" t="str">
        <f>"موجودي ملزومات اداري"</f>
        <v>موجودي ملزومات اداري</v>
      </c>
      <c r="C3127" s="1">
        <v>110</v>
      </c>
      <c r="D3127" s="1" t="str">
        <f>"ملزومات اداري اصفهان"</f>
        <v>ملزومات اداري اصفهان</v>
      </c>
      <c r="E3127" s="1" t="str">
        <f>"1501030052"</f>
        <v>1501030052</v>
      </c>
      <c r="F3127" s="1" t="str">
        <f>"کارتريج 78A"</f>
        <v>کارتريج 78A</v>
      </c>
      <c r="G3127" s="1" t="str">
        <f>"عدد"</f>
        <v>عدد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O3127" s="1">
        <v>97</v>
      </c>
      <c r="P3127" s="1">
        <f t="shared" si="144"/>
        <v>0</v>
      </c>
      <c r="Q3127" s="1">
        <f t="shared" si="145"/>
        <v>0</v>
      </c>
      <c r="R3127" s="1" t="e">
        <f t="shared" si="146"/>
        <v>#DIV/0!</v>
      </c>
    </row>
    <row r="3128" spans="1:18" hidden="1">
      <c r="A3128" s="1">
        <v>6</v>
      </c>
      <c r="B3128" s="1" t="str">
        <f>"موجودي ملزومات اداري"</f>
        <v>موجودي ملزومات اداري</v>
      </c>
      <c r="C3128" s="1">
        <v>110</v>
      </c>
      <c r="D3128" s="1" t="str">
        <f>"ملزومات اداري اصفهان"</f>
        <v>ملزومات اداري اصفهان</v>
      </c>
      <c r="E3128" s="1" t="str">
        <f>"1502030022"</f>
        <v>1502030022</v>
      </c>
      <c r="F3128" s="1" t="str">
        <f>"کمپرسور يخچال"</f>
        <v>کمپرسور يخچال</v>
      </c>
      <c r="G3128" s="1" t="str">
        <f>"عدد"</f>
        <v>عدد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O3128" s="1">
        <v>97</v>
      </c>
      <c r="P3128" s="1">
        <f t="shared" si="144"/>
        <v>0</v>
      </c>
      <c r="Q3128" s="1">
        <f t="shared" si="145"/>
        <v>0</v>
      </c>
      <c r="R3128" s="1" t="e">
        <f t="shared" si="146"/>
        <v>#DIV/0!</v>
      </c>
    </row>
    <row r="3129" spans="1:18" hidden="1">
      <c r="A3129" s="1">
        <v>6</v>
      </c>
      <c r="B3129" s="1" t="str">
        <f>"موجودي ملزومات اداري"</f>
        <v>موجودي ملزومات اداري</v>
      </c>
      <c r="C3129" s="1">
        <v>110</v>
      </c>
      <c r="D3129" s="1" t="str">
        <f>"ملزومات اداري اصفهان"</f>
        <v>ملزومات اداري اصفهان</v>
      </c>
      <c r="E3129" s="1" t="str">
        <f>"1502030122"</f>
        <v>1502030122</v>
      </c>
      <c r="F3129" s="1" t="str">
        <f>"قاب خاتم"</f>
        <v>قاب خاتم</v>
      </c>
      <c r="G3129" s="1" t="str">
        <f>"عدد"</f>
        <v>عدد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O3129" s="1">
        <v>97</v>
      </c>
      <c r="P3129" s="1">
        <f t="shared" si="144"/>
        <v>0</v>
      </c>
      <c r="Q3129" s="1">
        <f t="shared" si="145"/>
        <v>0</v>
      </c>
      <c r="R3129" s="1" t="e">
        <f t="shared" si="146"/>
        <v>#DIV/0!</v>
      </c>
    </row>
    <row r="3130" spans="1:18">
      <c r="A3130" s="1">
        <v>6</v>
      </c>
      <c r="B3130" s="1" t="str">
        <f>"موجودي ملزومات اداري"</f>
        <v>موجودي ملزومات اداري</v>
      </c>
      <c r="C3130" s="1">
        <v>110</v>
      </c>
      <c r="D3130" s="1" t="str">
        <f>"ملزومات اداري اصفهان"</f>
        <v>ملزومات اداري اصفهان</v>
      </c>
      <c r="E3130" s="1" t="str">
        <f>"1502030132"</f>
        <v>1502030132</v>
      </c>
      <c r="F3130" s="1" t="str">
        <f>"کلاه يکبار مصرف"</f>
        <v>کلاه يکبار مصرف</v>
      </c>
      <c r="G3130" s="1" t="str">
        <f>"عدد"</f>
        <v>عدد</v>
      </c>
      <c r="H3130" s="1">
        <v>700</v>
      </c>
      <c r="I3130" s="1">
        <v>805000</v>
      </c>
      <c r="J3130" s="1">
        <v>0</v>
      </c>
      <c r="K3130" s="1">
        <v>0</v>
      </c>
      <c r="L3130" s="1">
        <v>100</v>
      </c>
      <c r="M3130" s="1">
        <v>115000</v>
      </c>
      <c r="O3130" s="1">
        <v>97</v>
      </c>
      <c r="P3130" s="4">
        <f t="shared" si="144"/>
        <v>690000</v>
      </c>
      <c r="Q3130" s="4">
        <f t="shared" si="145"/>
        <v>600</v>
      </c>
      <c r="R3130" s="4">
        <f t="shared" si="146"/>
        <v>1150</v>
      </c>
    </row>
    <row r="3131" spans="1:18" hidden="1">
      <c r="A3131" s="1">
        <v>6</v>
      </c>
      <c r="B3131" s="1" t="str">
        <f>"موجودي ملزومات اداري"</f>
        <v>موجودي ملزومات اداري</v>
      </c>
      <c r="C3131" s="1">
        <v>110</v>
      </c>
      <c r="D3131" s="1" t="str">
        <f>"ملزومات اداري اصفهان"</f>
        <v>ملزومات اداري اصفهان</v>
      </c>
      <c r="E3131" s="1" t="str">
        <f>"1502030162"</f>
        <v>1502030162</v>
      </c>
      <c r="F3131" s="1" t="str">
        <f>"آچار فرانسه 12"</f>
        <v>آچار فرانسه 12</v>
      </c>
      <c r="G3131" s="1" t="str">
        <f>"عدد"</f>
        <v>عدد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O3131" s="1">
        <v>97</v>
      </c>
      <c r="P3131" s="1">
        <f t="shared" si="144"/>
        <v>0</v>
      </c>
      <c r="Q3131" s="1">
        <f t="shared" si="145"/>
        <v>0</v>
      </c>
      <c r="R3131" s="1" t="e">
        <f t="shared" si="146"/>
        <v>#DIV/0!</v>
      </c>
    </row>
    <row r="3132" spans="1:18" hidden="1">
      <c r="A3132" s="1">
        <v>6</v>
      </c>
      <c r="B3132" s="1" t="str">
        <f>"موجودي ملزومات اداري"</f>
        <v>موجودي ملزومات اداري</v>
      </c>
      <c r="C3132" s="1">
        <v>110</v>
      </c>
      <c r="D3132" s="1" t="str">
        <f>"ملزومات اداري اصفهان"</f>
        <v>ملزومات اداري اصفهان</v>
      </c>
      <c r="E3132" s="1" t="str">
        <f>"1502030212"</f>
        <v>1502030212</v>
      </c>
      <c r="F3132" s="1" t="str">
        <f>"فنر استيل"</f>
        <v>فنر استيل</v>
      </c>
      <c r="G3132" s="1" t="str">
        <f>"عدد"</f>
        <v>عدد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O3132" s="1">
        <v>97</v>
      </c>
      <c r="P3132" s="1">
        <f t="shared" si="144"/>
        <v>0</v>
      </c>
      <c r="Q3132" s="1">
        <f t="shared" si="145"/>
        <v>0</v>
      </c>
      <c r="R3132" s="1" t="e">
        <f t="shared" si="146"/>
        <v>#DIV/0!</v>
      </c>
    </row>
    <row r="3133" spans="1:18" hidden="1">
      <c r="A3133" s="1">
        <v>6</v>
      </c>
      <c r="B3133" s="1" t="str">
        <f>"موجودي ملزومات اداري"</f>
        <v>موجودي ملزومات اداري</v>
      </c>
      <c r="C3133" s="1">
        <v>110</v>
      </c>
      <c r="D3133" s="1" t="str">
        <f>"ملزومات اداري اصفهان"</f>
        <v>ملزومات اداري اصفهان</v>
      </c>
      <c r="E3133" s="1" t="str">
        <f>"1502030222"</f>
        <v>1502030222</v>
      </c>
      <c r="F3133" s="1" t="str">
        <f>"کيف دستي"</f>
        <v>کيف دستي</v>
      </c>
      <c r="G3133" s="1" t="str">
        <f>"عدد"</f>
        <v>عدد</v>
      </c>
      <c r="H3133" s="1">
        <v>0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O3133" s="1">
        <v>97</v>
      </c>
      <c r="P3133" s="1">
        <f t="shared" si="144"/>
        <v>0</v>
      </c>
      <c r="Q3133" s="1">
        <f t="shared" si="145"/>
        <v>0</v>
      </c>
      <c r="R3133" s="1" t="e">
        <f t="shared" si="146"/>
        <v>#DIV/0!</v>
      </c>
    </row>
    <row r="3134" spans="1:18" hidden="1">
      <c r="A3134" s="1">
        <v>6</v>
      </c>
      <c r="B3134" s="1" t="str">
        <f>"موجودي ملزومات اداري"</f>
        <v>موجودي ملزومات اداري</v>
      </c>
      <c r="C3134" s="1">
        <v>110</v>
      </c>
      <c r="D3134" s="1" t="str">
        <f>"ملزومات اداري اصفهان"</f>
        <v>ملزومات اداري اصفهان</v>
      </c>
      <c r="E3134" s="1" t="str">
        <f>"1502030232"</f>
        <v>1502030232</v>
      </c>
      <c r="F3134" s="1" t="str">
        <f>"تونر 3000"</f>
        <v>تونر 3000</v>
      </c>
      <c r="G3134" s="1" t="str">
        <f>"عدد"</f>
        <v>عدد</v>
      </c>
      <c r="H3134" s="1">
        <v>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O3134" s="1">
        <v>97</v>
      </c>
      <c r="P3134" s="1">
        <f t="shared" si="144"/>
        <v>0</v>
      </c>
      <c r="Q3134" s="1">
        <f t="shared" si="145"/>
        <v>0</v>
      </c>
      <c r="R3134" s="1" t="e">
        <f t="shared" si="146"/>
        <v>#DIV/0!</v>
      </c>
    </row>
    <row r="3135" spans="1:18" hidden="1">
      <c r="A3135" s="1">
        <v>6</v>
      </c>
      <c r="B3135" s="1" t="str">
        <f>"موجودي ملزومات اداري"</f>
        <v>موجودي ملزومات اداري</v>
      </c>
      <c r="C3135" s="1">
        <v>110</v>
      </c>
      <c r="D3135" s="1" t="str">
        <f>"ملزومات اداري اصفهان"</f>
        <v>ملزومات اداري اصفهان</v>
      </c>
      <c r="E3135" s="1" t="str">
        <f>"1502030372"</f>
        <v>1502030372</v>
      </c>
      <c r="F3135" s="1" t="str">
        <f>"سه راهي مخصوص گاز"</f>
        <v>سه راهي مخصوص گاز</v>
      </c>
      <c r="G3135" s="1" t="str">
        <f>"عدد"</f>
        <v>عدد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O3135" s="1">
        <v>97</v>
      </c>
      <c r="P3135" s="1">
        <f t="shared" si="144"/>
        <v>0</v>
      </c>
      <c r="Q3135" s="1">
        <f t="shared" si="145"/>
        <v>0</v>
      </c>
      <c r="R3135" s="1" t="e">
        <f t="shared" si="146"/>
        <v>#DIV/0!</v>
      </c>
    </row>
    <row r="3136" spans="1:18" hidden="1">
      <c r="A3136" s="1">
        <v>6</v>
      </c>
      <c r="B3136" s="1" t="str">
        <f>"موجودي ملزومات اداري"</f>
        <v>موجودي ملزومات اداري</v>
      </c>
      <c r="C3136" s="1">
        <v>110</v>
      </c>
      <c r="D3136" s="1" t="str">
        <f>"ملزومات اداري اصفهان"</f>
        <v>ملزومات اداري اصفهان</v>
      </c>
      <c r="E3136" s="1" t="str">
        <f>"1502030482"</f>
        <v>1502030482</v>
      </c>
      <c r="F3136" s="1" t="str">
        <f>"مخزن 300 ليتري"</f>
        <v>مخزن 300 ليتري</v>
      </c>
      <c r="G3136" s="1" t="str">
        <f>"عدد"</f>
        <v>عدد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O3136" s="1">
        <v>97</v>
      </c>
      <c r="P3136" s="1">
        <f t="shared" si="144"/>
        <v>0</v>
      </c>
      <c r="Q3136" s="1">
        <f t="shared" si="145"/>
        <v>0</v>
      </c>
      <c r="R3136" s="1" t="e">
        <f t="shared" si="146"/>
        <v>#DIV/0!</v>
      </c>
    </row>
    <row r="3137" spans="1:18" hidden="1">
      <c r="A3137" s="1">
        <v>6</v>
      </c>
      <c r="B3137" s="1" t="str">
        <f>"موجودي ملزومات اداري"</f>
        <v>موجودي ملزومات اداري</v>
      </c>
      <c r="C3137" s="1">
        <v>110</v>
      </c>
      <c r="D3137" s="1" t="str">
        <f>"ملزومات اداري اصفهان"</f>
        <v>ملزومات اداري اصفهان</v>
      </c>
      <c r="E3137" s="1" t="str">
        <f>"1502030562"</f>
        <v>1502030562</v>
      </c>
      <c r="F3137" s="1" t="str">
        <f>"توپ واليبال."</f>
        <v>توپ واليبال.</v>
      </c>
      <c r="G3137" s="1" t="str">
        <f>"عدد"</f>
        <v>عدد</v>
      </c>
      <c r="H3137" s="1">
        <v>0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O3137" s="1">
        <v>97</v>
      </c>
      <c r="P3137" s="1">
        <f t="shared" si="144"/>
        <v>0</v>
      </c>
      <c r="Q3137" s="1">
        <f t="shared" si="145"/>
        <v>0</v>
      </c>
      <c r="R3137" s="1" t="e">
        <f t="shared" si="146"/>
        <v>#DIV/0!</v>
      </c>
    </row>
    <row r="3138" spans="1:18" hidden="1">
      <c r="A3138" s="1">
        <v>6</v>
      </c>
      <c r="B3138" s="1" t="str">
        <f>"موجودي ملزومات اداري"</f>
        <v>موجودي ملزومات اداري</v>
      </c>
      <c r="C3138" s="1">
        <v>110</v>
      </c>
      <c r="D3138" s="1" t="str">
        <f>"ملزومات اداري اصفهان"</f>
        <v>ملزومات اداري اصفهان</v>
      </c>
      <c r="E3138" s="1" t="str">
        <f>"1502030712"</f>
        <v>1502030712</v>
      </c>
      <c r="F3138" s="1" t="str">
        <f>"زغال"</f>
        <v>زغال</v>
      </c>
      <c r="G3138" s="1" t="str">
        <f>"كيلوگرم"</f>
        <v>كيلوگرم</v>
      </c>
      <c r="H3138" s="1">
        <v>0</v>
      </c>
      <c r="I3138" s="1">
        <v>0</v>
      </c>
      <c r="J3138" s="1">
        <v>400</v>
      </c>
      <c r="K3138" s="1">
        <v>11200000</v>
      </c>
      <c r="L3138" s="1">
        <v>400</v>
      </c>
      <c r="M3138" s="1">
        <v>11200000</v>
      </c>
      <c r="O3138" s="1">
        <v>97</v>
      </c>
      <c r="P3138" s="1">
        <f t="shared" si="144"/>
        <v>0</v>
      </c>
      <c r="Q3138" s="1">
        <f t="shared" si="145"/>
        <v>0</v>
      </c>
      <c r="R3138" s="1" t="e">
        <f t="shared" si="146"/>
        <v>#DIV/0!</v>
      </c>
    </row>
    <row r="3139" spans="1:18" hidden="1">
      <c r="A3139" s="1">
        <v>6</v>
      </c>
      <c r="B3139" s="1" t="str">
        <f>"موجودي ملزومات اداري"</f>
        <v>موجودي ملزومات اداري</v>
      </c>
      <c r="C3139" s="1">
        <v>110</v>
      </c>
      <c r="D3139" s="1" t="str">
        <f>"ملزومات اداري اصفهان"</f>
        <v>ملزومات اداري اصفهان</v>
      </c>
      <c r="E3139" s="1" t="str">
        <f>"1502030722"</f>
        <v>1502030722</v>
      </c>
      <c r="F3139" s="1" t="str">
        <f>"سنگ انگشتي"</f>
        <v>سنگ انگشتي</v>
      </c>
      <c r="G3139" s="1" t="str">
        <f>"عدد"</f>
        <v>عدد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O3139" s="1">
        <v>97</v>
      </c>
      <c r="P3139" s="1">
        <f t="shared" ref="P3139:P3202" si="147">I3139+K3139-M3139</f>
        <v>0</v>
      </c>
      <c r="Q3139" s="1">
        <f t="shared" ref="Q3139:Q3202" si="148">H3139+J3139-L3139</f>
        <v>0</v>
      </c>
      <c r="R3139" s="1" t="e">
        <f t="shared" ref="R3139:R3202" si="149">P3139/Q3139</f>
        <v>#DIV/0!</v>
      </c>
    </row>
    <row r="3140" spans="1:18">
      <c r="A3140" s="1">
        <v>6</v>
      </c>
      <c r="B3140" s="1" t="str">
        <f>"موجودي ملزومات اداري"</f>
        <v>موجودي ملزومات اداري</v>
      </c>
      <c r="C3140" s="1">
        <v>110</v>
      </c>
      <c r="D3140" s="1" t="str">
        <f>"ملزومات اداري اصفهان"</f>
        <v>ملزومات اداري اصفهان</v>
      </c>
      <c r="E3140" s="1" t="str">
        <f>"1502030812"</f>
        <v>1502030812</v>
      </c>
      <c r="F3140" s="1" t="str">
        <f>"شابلون (کليشه )حروف انگليسي"</f>
        <v>شابلون (کليشه )حروف انگليسي</v>
      </c>
      <c r="G3140" s="1" t="str">
        <f>"عدد"</f>
        <v>عدد</v>
      </c>
      <c r="H3140" s="1">
        <v>0</v>
      </c>
      <c r="I3140" s="1">
        <v>0</v>
      </c>
      <c r="J3140" s="1">
        <v>36</v>
      </c>
      <c r="K3140" s="1">
        <v>10800000</v>
      </c>
      <c r="L3140" s="1">
        <v>0</v>
      </c>
      <c r="M3140" s="1">
        <v>0</v>
      </c>
      <c r="O3140" s="1">
        <v>97</v>
      </c>
      <c r="P3140" s="4">
        <f t="shared" si="147"/>
        <v>10800000</v>
      </c>
      <c r="Q3140" s="4">
        <f t="shared" si="148"/>
        <v>36</v>
      </c>
      <c r="R3140" s="4">
        <f t="shared" si="149"/>
        <v>300000</v>
      </c>
    </row>
    <row r="3141" spans="1:18" hidden="1">
      <c r="A3141" s="1">
        <v>6</v>
      </c>
      <c r="B3141" s="1" t="str">
        <f>"موجودي ملزومات اداري"</f>
        <v>موجودي ملزومات اداري</v>
      </c>
      <c r="C3141" s="1">
        <v>110</v>
      </c>
      <c r="D3141" s="1" t="str">
        <f>"ملزومات اداري اصفهان"</f>
        <v>ملزومات اداري اصفهان</v>
      </c>
      <c r="E3141" s="1" t="str">
        <f>"1502030962"</f>
        <v>1502030962</v>
      </c>
      <c r="F3141" s="1" t="str">
        <f>"بالشت اليافي"</f>
        <v>بالشت اليافي</v>
      </c>
      <c r="G3141" s="1" t="str">
        <f>"عدد"</f>
        <v>عدد</v>
      </c>
      <c r="H3141" s="1">
        <v>0</v>
      </c>
      <c r="I3141" s="1">
        <v>0</v>
      </c>
      <c r="J3141" s="1">
        <v>60</v>
      </c>
      <c r="K3141" s="1">
        <v>9000000</v>
      </c>
      <c r="L3141" s="1">
        <v>60</v>
      </c>
      <c r="M3141" s="1">
        <v>9000000</v>
      </c>
      <c r="O3141" s="1">
        <v>97</v>
      </c>
      <c r="P3141" s="1">
        <f t="shared" si="147"/>
        <v>0</v>
      </c>
      <c r="Q3141" s="1">
        <f t="shared" si="148"/>
        <v>0</v>
      </c>
      <c r="R3141" s="1" t="e">
        <f t="shared" si="149"/>
        <v>#DIV/0!</v>
      </c>
    </row>
    <row r="3142" spans="1:18" hidden="1">
      <c r="A3142" s="1">
        <v>6</v>
      </c>
      <c r="B3142" s="1" t="str">
        <f>"موجودي ملزومات اداري"</f>
        <v>موجودي ملزومات اداري</v>
      </c>
      <c r="C3142" s="1">
        <v>110</v>
      </c>
      <c r="D3142" s="1" t="str">
        <f>"ملزومات اداري اصفهان"</f>
        <v>ملزومات اداري اصفهان</v>
      </c>
      <c r="E3142" s="1" t="str">
        <f>"1502030972"</f>
        <v>1502030972</v>
      </c>
      <c r="F3142" s="1" t="str">
        <f>"پتوگلبافت يک نفره"</f>
        <v>پتوگلبافت يک نفره</v>
      </c>
      <c r="G3142" s="1" t="str">
        <f>"عدد"</f>
        <v>عدد</v>
      </c>
      <c r="H3142" s="1">
        <v>0</v>
      </c>
      <c r="I3142" s="1">
        <v>0</v>
      </c>
      <c r="J3142" s="1">
        <v>50</v>
      </c>
      <c r="K3142" s="1">
        <v>37500000</v>
      </c>
      <c r="L3142" s="1">
        <v>50</v>
      </c>
      <c r="M3142" s="1">
        <v>37500000</v>
      </c>
      <c r="O3142" s="1">
        <v>97</v>
      </c>
      <c r="P3142" s="1">
        <f t="shared" si="147"/>
        <v>0</v>
      </c>
      <c r="Q3142" s="1">
        <f t="shared" si="148"/>
        <v>0</v>
      </c>
      <c r="R3142" s="1" t="e">
        <f t="shared" si="149"/>
        <v>#DIV/0!</v>
      </c>
    </row>
    <row r="3143" spans="1:18" hidden="1">
      <c r="A3143" s="1">
        <v>6</v>
      </c>
      <c r="B3143" s="1" t="str">
        <f>"موجودي ملزومات اداري"</f>
        <v>موجودي ملزومات اداري</v>
      </c>
      <c r="C3143" s="1">
        <v>110</v>
      </c>
      <c r="D3143" s="1" t="str">
        <f>"ملزومات اداري اصفهان"</f>
        <v>ملزومات اداري اصفهان</v>
      </c>
      <c r="E3143" s="1" t="str">
        <f>"1502030982"</f>
        <v>1502030982</v>
      </c>
      <c r="F3143" s="1" t="str">
        <f>"تشک (ويدا)طبي فنري 90*200"</f>
        <v>تشک (ويدا)طبي فنري 90*200</v>
      </c>
      <c r="G3143" s="1" t="str">
        <f>"عدد"</f>
        <v>عدد</v>
      </c>
      <c r="H3143" s="1">
        <v>0</v>
      </c>
      <c r="I3143" s="1">
        <v>0</v>
      </c>
      <c r="J3143" s="1">
        <v>15</v>
      </c>
      <c r="K3143" s="1">
        <v>66000000</v>
      </c>
      <c r="L3143" s="1">
        <v>15</v>
      </c>
      <c r="M3143" s="1">
        <v>66000000</v>
      </c>
      <c r="O3143" s="1">
        <v>97</v>
      </c>
      <c r="P3143" s="1">
        <f t="shared" si="147"/>
        <v>0</v>
      </c>
      <c r="Q3143" s="1">
        <f t="shared" si="148"/>
        <v>0</v>
      </c>
      <c r="R3143" s="1" t="e">
        <f t="shared" si="149"/>
        <v>#DIV/0!</v>
      </c>
    </row>
    <row r="3144" spans="1:18" hidden="1">
      <c r="A3144" s="1">
        <v>6</v>
      </c>
      <c r="B3144" s="1" t="str">
        <f>"موجودي ملزومات اداري"</f>
        <v>موجودي ملزومات اداري</v>
      </c>
      <c r="C3144" s="1">
        <v>110</v>
      </c>
      <c r="D3144" s="1" t="str">
        <f>"ملزومات اداري اصفهان"</f>
        <v>ملزومات اداري اصفهان</v>
      </c>
      <c r="E3144" s="1" t="str">
        <f>"1502031102"</f>
        <v>1502031102</v>
      </c>
      <c r="F3144" s="1" t="str">
        <f>"سرب پلمپ"</f>
        <v>سرب پلمپ</v>
      </c>
      <c r="G3144" s="1" t="str">
        <f>"كيلوگرم"</f>
        <v>كيلوگرم</v>
      </c>
      <c r="H3144" s="1">
        <v>0</v>
      </c>
      <c r="I3144" s="1">
        <v>0</v>
      </c>
      <c r="J3144" s="1">
        <v>2</v>
      </c>
      <c r="K3144" s="1">
        <v>480000</v>
      </c>
      <c r="L3144" s="1">
        <v>2</v>
      </c>
      <c r="M3144" s="1">
        <v>480000</v>
      </c>
      <c r="O3144" s="1">
        <v>97</v>
      </c>
      <c r="P3144" s="1">
        <f t="shared" si="147"/>
        <v>0</v>
      </c>
      <c r="Q3144" s="1">
        <f t="shared" si="148"/>
        <v>0</v>
      </c>
      <c r="R3144" s="1" t="e">
        <f t="shared" si="149"/>
        <v>#DIV/0!</v>
      </c>
    </row>
    <row r="3145" spans="1:18" hidden="1">
      <c r="A3145" s="1">
        <v>6</v>
      </c>
      <c r="B3145" s="1" t="str">
        <f>"موجودي ملزومات اداري"</f>
        <v>موجودي ملزومات اداري</v>
      </c>
      <c r="C3145" s="1">
        <v>110</v>
      </c>
      <c r="D3145" s="1" t="str">
        <f>"ملزومات اداري اصفهان"</f>
        <v>ملزومات اداري اصفهان</v>
      </c>
      <c r="E3145" s="1" t="str">
        <f>"1502031142"</f>
        <v>1502031142</v>
      </c>
      <c r="F3145" s="1" t="str">
        <f>"کفپوش عرض 2 متر"</f>
        <v>کفپوش عرض 2 متر</v>
      </c>
      <c r="G3145" s="1" t="str">
        <f>"متر"</f>
        <v>متر</v>
      </c>
      <c r="H3145" s="1">
        <v>0</v>
      </c>
      <c r="I3145" s="1">
        <v>0</v>
      </c>
      <c r="J3145" s="1">
        <v>40</v>
      </c>
      <c r="K3145" s="1">
        <v>5200000</v>
      </c>
      <c r="L3145" s="1">
        <v>40</v>
      </c>
      <c r="M3145" s="1">
        <v>5200000</v>
      </c>
      <c r="O3145" s="1">
        <v>97</v>
      </c>
      <c r="P3145" s="1">
        <f t="shared" si="147"/>
        <v>0</v>
      </c>
      <c r="Q3145" s="1">
        <f t="shared" si="148"/>
        <v>0</v>
      </c>
      <c r="R3145" s="1" t="e">
        <f t="shared" si="149"/>
        <v>#DIV/0!</v>
      </c>
    </row>
    <row r="3146" spans="1:18" hidden="1">
      <c r="A3146" s="1">
        <v>6</v>
      </c>
      <c r="B3146" s="1" t="str">
        <f>"موجودي ملزومات اداري"</f>
        <v>موجودي ملزومات اداري</v>
      </c>
      <c r="C3146" s="1">
        <v>110</v>
      </c>
      <c r="D3146" s="1" t="str">
        <f>"ملزومات اداري اصفهان"</f>
        <v>ملزومات اداري اصفهان</v>
      </c>
      <c r="E3146" s="1" t="str">
        <f>"1502031172"</f>
        <v>1502031172</v>
      </c>
      <c r="F3146" s="1" t="str">
        <f>"شير يکطرفه 3/4"</f>
        <v>شير يکطرفه 3/4</v>
      </c>
      <c r="G3146" s="1" t="str">
        <f>"عدد"</f>
        <v>عدد</v>
      </c>
      <c r="H3146" s="1">
        <v>0</v>
      </c>
      <c r="I3146" s="1">
        <v>0</v>
      </c>
      <c r="J3146" s="1">
        <v>2</v>
      </c>
      <c r="K3146" s="1">
        <v>680000</v>
      </c>
      <c r="L3146" s="1">
        <v>2</v>
      </c>
      <c r="M3146" s="1">
        <v>680000</v>
      </c>
      <c r="O3146" s="1">
        <v>97</v>
      </c>
      <c r="P3146" s="1">
        <f t="shared" si="147"/>
        <v>0</v>
      </c>
      <c r="Q3146" s="1">
        <f t="shared" si="148"/>
        <v>0</v>
      </c>
      <c r="R3146" s="1" t="e">
        <f t="shared" si="149"/>
        <v>#DIV/0!</v>
      </c>
    </row>
    <row r="3147" spans="1:18">
      <c r="A3147" s="1">
        <v>2</v>
      </c>
      <c r="B3147" s="1" t="str">
        <f>"قطعات و لوازم يدكي"</f>
        <v>قطعات و لوازم يدكي</v>
      </c>
      <c r="C3147" s="1">
        <v>205</v>
      </c>
      <c r="D3147" s="1" t="str">
        <f>"انبار قطعات و لوازم يدكي بندرعباس"</f>
        <v>انبار قطعات و لوازم يدكي بندرعباس</v>
      </c>
      <c r="E3147" s="1" t="str">
        <f>"1800000269"</f>
        <v>1800000269</v>
      </c>
      <c r="F3147" s="1" t="str">
        <f>"پيک فلزي 8"</f>
        <v>پيک فلزي 8</v>
      </c>
      <c r="G3147" s="1" t="str">
        <f>"عدد"</f>
        <v>عدد</v>
      </c>
      <c r="H3147" s="1">
        <v>1</v>
      </c>
      <c r="I3147" s="1">
        <v>12000000</v>
      </c>
      <c r="J3147" s="1">
        <v>0</v>
      </c>
      <c r="K3147" s="1">
        <v>0</v>
      </c>
      <c r="L3147" s="1">
        <v>0</v>
      </c>
      <c r="M3147" s="1">
        <v>0</v>
      </c>
      <c r="O3147" s="1">
        <v>97</v>
      </c>
      <c r="P3147" s="4">
        <f t="shared" si="147"/>
        <v>12000000</v>
      </c>
      <c r="Q3147" s="4">
        <f t="shared" si="148"/>
        <v>1</v>
      </c>
      <c r="R3147" s="4">
        <f t="shared" si="149"/>
        <v>12000000</v>
      </c>
    </row>
    <row r="3148" spans="1:18" hidden="1">
      <c r="A3148" s="1">
        <v>2</v>
      </c>
      <c r="B3148" s="1" t="str">
        <f>"قطعات و لوازم يدكي"</f>
        <v>قطعات و لوازم يدكي</v>
      </c>
      <c r="C3148" s="1">
        <v>205</v>
      </c>
      <c r="D3148" s="1" t="str">
        <f>"انبار قطعات و لوازم يدكي بندرعباس"</f>
        <v>انبار قطعات و لوازم يدكي بندرعباس</v>
      </c>
      <c r="E3148" s="1" t="str">
        <f>"1800000281"</f>
        <v>1800000281</v>
      </c>
      <c r="F3148" s="1" t="str">
        <f>"ترانس البرز تک 40"</f>
        <v>ترانس البرز تک 40</v>
      </c>
      <c r="G3148" s="1" t="str">
        <f>"عدد"</f>
        <v>عدد</v>
      </c>
      <c r="H3148" s="1">
        <v>3</v>
      </c>
      <c r="I3148" s="1">
        <v>28500000</v>
      </c>
      <c r="J3148" s="1">
        <v>0</v>
      </c>
      <c r="K3148" s="1">
        <v>0</v>
      </c>
      <c r="L3148" s="1">
        <v>3</v>
      </c>
      <c r="M3148" s="1">
        <v>28500000</v>
      </c>
      <c r="O3148" s="1">
        <v>97</v>
      </c>
      <c r="P3148" s="1">
        <f t="shared" si="147"/>
        <v>0</v>
      </c>
      <c r="Q3148" s="1">
        <f t="shared" si="148"/>
        <v>0</v>
      </c>
      <c r="R3148" s="1" t="e">
        <f t="shared" si="149"/>
        <v>#DIV/0!</v>
      </c>
    </row>
    <row r="3149" spans="1:18">
      <c r="A3149" s="1">
        <v>2</v>
      </c>
      <c r="B3149" s="1" t="str">
        <f>"قطعات و لوازم يدكي"</f>
        <v>قطعات و لوازم يدكي</v>
      </c>
      <c r="C3149" s="1">
        <v>205</v>
      </c>
      <c r="D3149" s="1" t="str">
        <f>"انبار قطعات و لوازم يدكي بندرعباس"</f>
        <v>انبار قطعات و لوازم يدكي بندرعباس</v>
      </c>
      <c r="E3149" s="1" t="str">
        <f>"1800000295"</f>
        <v>1800000295</v>
      </c>
      <c r="F3149" s="1" t="str">
        <f>"ترمينال ريلي rtp4"</f>
        <v>ترمينال ريلي rtp4</v>
      </c>
      <c r="G3149" s="1" t="str">
        <f>"عدد"</f>
        <v>عدد</v>
      </c>
      <c r="H3149" s="1">
        <v>20</v>
      </c>
      <c r="I3149" s="1">
        <v>30000</v>
      </c>
      <c r="J3149" s="1">
        <v>0</v>
      </c>
      <c r="K3149" s="1">
        <v>0</v>
      </c>
      <c r="L3149" s="1">
        <v>0</v>
      </c>
      <c r="M3149" s="1">
        <v>0</v>
      </c>
      <c r="O3149" s="1">
        <v>97</v>
      </c>
      <c r="P3149" s="4">
        <f t="shared" si="147"/>
        <v>30000</v>
      </c>
      <c r="Q3149" s="4">
        <f t="shared" si="148"/>
        <v>20</v>
      </c>
      <c r="R3149" s="4">
        <f t="shared" si="149"/>
        <v>1500</v>
      </c>
    </row>
    <row r="3150" spans="1:18" hidden="1">
      <c r="A3150" s="1">
        <v>2</v>
      </c>
      <c r="B3150" s="1" t="str">
        <f>"قطعات و لوازم يدكي"</f>
        <v>قطعات و لوازم يدكي</v>
      </c>
      <c r="C3150" s="1">
        <v>205</v>
      </c>
      <c r="D3150" s="1" t="str">
        <f>"انبار قطعات و لوازم يدكي بندرعباس"</f>
        <v>انبار قطعات و لوازم يدكي بندرعباس</v>
      </c>
      <c r="E3150" s="1" t="str">
        <f>"1800000308"</f>
        <v>1800000308</v>
      </c>
      <c r="F3150" s="1" t="str">
        <f>"تينرفوري 20000"</f>
        <v>تينرفوري 20000</v>
      </c>
      <c r="G3150" s="1" t="str">
        <f>"ليتر"</f>
        <v>ليتر</v>
      </c>
      <c r="H3150" s="1">
        <v>28.5</v>
      </c>
      <c r="I3150" s="1">
        <v>7254545</v>
      </c>
      <c r="J3150" s="1">
        <v>0</v>
      </c>
      <c r="K3150" s="1">
        <v>0</v>
      </c>
      <c r="L3150" s="1">
        <v>28.5</v>
      </c>
      <c r="M3150" s="1">
        <v>7254545</v>
      </c>
      <c r="O3150" s="1">
        <v>97</v>
      </c>
      <c r="P3150" s="1">
        <f t="shared" si="147"/>
        <v>0</v>
      </c>
      <c r="Q3150" s="1">
        <f t="shared" si="148"/>
        <v>0</v>
      </c>
      <c r="R3150" s="1" t="e">
        <f t="shared" si="149"/>
        <v>#DIV/0!</v>
      </c>
    </row>
    <row r="3151" spans="1:18">
      <c r="A3151" s="1">
        <v>2</v>
      </c>
      <c r="B3151" s="1" t="str">
        <f>"قطعات و لوازم يدكي"</f>
        <v>قطعات و لوازم يدكي</v>
      </c>
      <c r="C3151" s="1">
        <v>205</v>
      </c>
      <c r="D3151" s="1" t="str">
        <f>"انبار قطعات و لوازم يدكي بندرعباس"</f>
        <v>انبار قطعات و لوازم يدكي بندرعباس</v>
      </c>
      <c r="E3151" s="1" t="str">
        <f>"1800000313"</f>
        <v>1800000313</v>
      </c>
      <c r="F3151" s="1" t="str">
        <f>"چسب 3m"</f>
        <v>چسب 3m</v>
      </c>
      <c r="G3151" s="1" t="str">
        <f>"عدد"</f>
        <v>عدد</v>
      </c>
      <c r="H3151" s="1">
        <v>3</v>
      </c>
      <c r="I3151" s="1">
        <v>30000</v>
      </c>
      <c r="J3151" s="1">
        <v>0</v>
      </c>
      <c r="K3151" s="1">
        <v>0</v>
      </c>
      <c r="L3151" s="1">
        <v>0</v>
      </c>
      <c r="M3151" s="1">
        <v>0</v>
      </c>
      <c r="O3151" s="1">
        <v>97</v>
      </c>
      <c r="P3151" s="4">
        <f t="shared" si="147"/>
        <v>30000</v>
      </c>
      <c r="Q3151" s="4">
        <f t="shared" si="148"/>
        <v>3</v>
      </c>
      <c r="R3151" s="4">
        <f t="shared" si="149"/>
        <v>10000</v>
      </c>
    </row>
    <row r="3152" spans="1:18">
      <c r="A3152" s="1">
        <v>2</v>
      </c>
      <c r="B3152" s="1" t="str">
        <f>"قطعات و لوازم يدكي"</f>
        <v>قطعات و لوازم يدكي</v>
      </c>
      <c r="C3152" s="1">
        <v>205</v>
      </c>
      <c r="D3152" s="1" t="str">
        <f>"انبار قطعات و لوازم يدكي بندرعباس"</f>
        <v>انبار قطعات و لوازم يدكي بندرعباس</v>
      </c>
      <c r="E3152" s="1" t="str">
        <f>"1800000317"</f>
        <v>1800000317</v>
      </c>
      <c r="F3152" s="1" t="str">
        <f>"چسب پرماتکس"</f>
        <v>چسب پرماتکس</v>
      </c>
      <c r="G3152" s="1" t="str">
        <f>"عدد"</f>
        <v>عدد</v>
      </c>
      <c r="H3152" s="1">
        <v>9</v>
      </c>
      <c r="I3152" s="1">
        <v>900000</v>
      </c>
      <c r="J3152" s="1">
        <v>0</v>
      </c>
      <c r="K3152" s="1">
        <v>0</v>
      </c>
      <c r="L3152" s="1">
        <v>5</v>
      </c>
      <c r="M3152" s="1">
        <v>500000</v>
      </c>
      <c r="O3152" s="1">
        <v>97</v>
      </c>
      <c r="P3152" s="4">
        <f t="shared" si="147"/>
        <v>400000</v>
      </c>
      <c r="Q3152" s="4">
        <f t="shared" si="148"/>
        <v>4</v>
      </c>
      <c r="R3152" s="4">
        <f t="shared" si="149"/>
        <v>100000</v>
      </c>
    </row>
    <row r="3153" spans="1:18" hidden="1">
      <c r="A3153" s="1">
        <v>2</v>
      </c>
      <c r="B3153" s="1" t="str">
        <f>"قطعات و لوازم يدكي"</f>
        <v>قطعات و لوازم يدكي</v>
      </c>
      <c r="C3153" s="1">
        <v>205</v>
      </c>
      <c r="D3153" s="1" t="str">
        <f>"انبار قطعات و لوازم يدكي بندرعباس"</f>
        <v>انبار قطعات و لوازم يدكي بندرعباس</v>
      </c>
      <c r="E3153" s="1" t="str">
        <f>"1800000323"</f>
        <v>1800000323</v>
      </c>
      <c r="F3153" s="1" t="str">
        <f>"چسب نواري ارتينگ"</f>
        <v>چسب نواري ارتينگ</v>
      </c>
      <c r="G3153" s="1" t="str">
        <f>"عدد"</f>
        <v>عدد</v>
      </c>
      <c r="H3153" s="1">
        <v>1</v>
      </c>
      <c r="I3153" s="1">
        <v>12000</v>
      </c>
      <c r="J3153" s="1">
        <v>0</v>
      </c>
      <c r="K3153" s="1">
        <v>0</v>
      </c>
      <c r="L3153" s="1">
        <v>1</v>
      </c>
      <c r="M3153" s="1">
        <v>12000</v>
      </c>
      <c r="O3153" s="1">
        <v>97</v>
      </c>
      <c r="P3153" s="1">
        <f t="shared" si="147"/>
        <v>0</v>
      </c>
      <c r="Q3153" s="1">
        <f t="shared" si="148"/>
        <v>0</v>
      </c>
      <c r="R3153" s="1" t="e">
        <f t="shared" si="149"/>
        <v>#DIV/0!</v>
      </c>
    </row>
    <row r="3154" spans="1:18">
      <c r="A3154" s="1">
        <v>2</v>
      </c>
      <c r="B3154" s="1" t="str">
        <f>"قطعات و لوازم يدكي"</f>
        <v>قطعات و لوازم يدكي</v>
      </c>
      <c r="C3154" s="1">
        <v>205</v>
      </c>
      <c r="D3154" s="1" t="str">
        <f>"انبار قطعات و لوازم يدكي بندرعباس"</f>
        <v>انبار قطعات و لوازم يدكي بندرعباس</v>
      </c>
      <c r="E3154" s="1" t="str">
        <f>"1800000325"</f>
        <v>1800000325</v>
      </c>
      <c r="F3154" s="1" t="str">
        <f>"چسب 123"</f>
        <v>چسب 123</v>
      </c>
      <c r="G3154" s="1" t="str">
        <f>"عدد"</f>
        <v>عدد</v>
      </c>
      <c r="H3154" s="1">
        <v>4</v>
      </c>
      <c r="I3154" s="1">
        <v>480000</v>
      </c>
      <c r="J3154" s="1">
        <v>0</v>
      </c>
      <c r="K3154" s="1">
        <v>0</v>
      </c>
      <c r="L3154" s="1">
        <v>2</v>
      </c>
      <c r="M3154" s="1">
        <v>240000</v>
      </c>
      <c r="O3154" s="1">
        <v>97</v>
      </c>
      <c r="P3154" s="4">
        <f t="shared" si="147"/>
        <v>240000</v>
      </c>
      <c r="Q3154" s="4">
        <f t="shared" si="148"/>
        <v>2</v>
      </c>
      <c r="R3154" s="4">
        <f t="shared" si="149"/>
        <v>120000</v>
      </c>
    </row>
    <row r="3155" spans="1:18">
      <c r="A3155" s="1">
        <v>2</v>
      </c>
      <c r="B3155" s="1" t="str">
        <f>"قطعات و لوازم يدكي"</f>
        <v>قطعات و لوازم يدكي</v>
      </c>
      <c r="C3155" s="1">
        <v>205</v>
      </c>
      <c r="D3155" s="1" t="str">
        <f>"انبار قطعات و لوازم يدكي بندرعباس"</f>
        <v>انبار قطعات و لوازم يدكي بندرعباس</v>
      </c>
      <c r="E3155" s="1" t="str">
        <f>"1800000328"</f>
        <v>1800000328</v>
      </c>
      <c r="F3155" s="1" t="str">
        <f>"چک ولو 6"</f>
        <v>چک ولو 6</v>
      </c>
      <c r="G3155" s="1" t="str">
        <f>"عدد"</f>
        <v>عدد</v>
      </c>
      <c r="H3155" s="1">
        <v>2</v>
      </c>
      <c r="I3155" s="1">
        <v>38180000</v>
      </c>
      <c r="J3155" s="1">
        <v>0</v>
      </c>
      <c r="K3155" s="1">
        <v>0</v>
      </c>
      <c r="L3155" s="1">
        <v>0</v>
      </c>
      <c r="M3155" s="1">
        <v>0</v>
      </c>
      <c r="O3155" s="1">
        <v>97</v>
      </c>
      <c r="P3155" s="4">
        <f t="shared" si="147"/>
        <v>38180000</v>
      </c>
      <c r="Q3155" s="4">
        <f t="shared" si="148"/>
        <v>2</v>
      </c>
      <c r="R3155" s="4">
        <f t="shared" si="149"/>
        <v>19090000</v>
      </c>
    </row>
    <row r="3156" spans="1:18">
      <c r="A3156" s="1">
        <v>2</v>
      </c>
      <c r="B3156" s="1" t="str">
        <f>"قطعات و لوازم يدكي"</f>
        <v>قطعات و لوازم يدكي</v>
      </c>
      <c r="C3156" s="1">
        <v>205</v>
      </c>
      <c r="D3156" s="1" t="str">
        <f>"انبار قطعات و لوازم يدكي بندرعباس"</f>
        <v>انبار قطعات و لوازم يدكي بندرعباس</v>
      </c>
      <c r="E3156" s="1" t="str">
        <f>"1800000350"</f>
        <v>1800000350</v>
      </c>
      <c r="F3156" s="1" t="str">
        <f>"رديوسر گلند برق 32-50"</f>
        <v>رديوسر گلند برق 32-50</v>
      </c>
      <c r="G3156" s="1" t="str">
        <f>"عدد"</f>
        <v>عدد</v>
      </c>
      <c r="H3156" s="1">
        <v>2</v>
      </c>
      <c r="I3156" s="1">
        <v>500000</v>
      </c>
      <c r="J3156" s="1">
        <v>0</v>
      </c>
      <c r="K3156" s="1">
        <v>0</v>
      </c>
      <c r="L3156" s="1">
        <v>0</v>
      </c>
      <c r="M3156" s="1">
        <v>0</v>
      </c>
      <c r="O3156" s="1">
        <v>97</v>
      </c>
      <c r="P3156" s="4">
        <f t="shared" si="147"/>
        <v>500000</v>
      </c>
      <c r="Q3156" s="4">
        <f t="shared" si="148"/>
        <v>2</v>
      </c>
      <c r="R3156" s="4">
        <f t="shared" si="149"/>
        <v>250000</v>
      </c>
    </row>
    <row r="3157" spans="1:18">
      <c r="A3157" s="1">
        <v>2</v>
      </c>
      <c r="B3157" s="1" t="str">
        <f>"قطعات و لوازم يدكي"</f>
        <v>قطعات و لوازم يدكي</v>
      </c>
      <c r="C3157" s="1">
        <v>205</v>
      </c>
      <c r="D3157" s="1" t="str">
        <f>"انبار قطعات و لوازم يدكي بندرعباس"</f>
        <v>انبار قطعات و لوازم يدكي بندرعباس</v>
      </c>
      <c r="E3157" s="1" t="str">
        <f>"1800000354"</f>
        <v>1800000354</v>
      </c>
      <c r="F3157" s="1" t="str">
        <f>"رله بيمتال هيوندا 8-12"</f>
        <v>رله بيمتال هيوندا 8-12</v>
      </c>
      <c r="G3157" s="1" t="str">
        <f>"عدد"</f>
        <v>عدد</v>
      </c>
      <c r="H3157" s="1">
        <v>2</v>
      </c>
      <c r="I3157" s="1">
        <v>700000</v>
      </c>
      <c r="J3157" s="1">
        <v>0</v>
      </c>
      <c r="K3157" s="1">
        <v>0</v>
      </c>
      <c r="L3157" s="1">
        <v>0</v>
      </c>
      <c r="M3157" s="1">
        <v>0</v>
      </c>
      <c r="O3157" s="1">
        <v>97</v>
      </c>
      <c r="P3157" s="4">
        <f t="shared" si="147"/>
        <v>700000</v>
      </c>
      <c r="Q3157" s="4">
        <f t="shared" si="148"/>
        <v>2</v>
      </c>
      <c r="R3157" s="4">
        <f t="shared" si="149"/>
        <v>350000</v>
      </c>
    </row>
    <row r="3158" spans="1:18">
      <c r="A3158" s="1">
        <v>2</v>
      </c>
      <c r="B3158" s="1" t="str">
        <f>"قطعات و لوازم يدكي"</f>
        <v>قطعات و لوازم يدكي</v>
      </c>
      <c r="C3158" s="1">
        <v>205</v>
      </c>
      <c r="D3158" s="1" t="str">
        <f>"انبار قطعات و لوازم يدكي بندرعباس"</f>
        <v>انبار قطعات و لوازم يدكي بندرعباس</v>
      </c>
      <c r="E3158" s="1" t="str">
        <f>"1800000363"</f>
        <v>1800000363</v>
      </c>
      <c r="F3158" s="1" t="str">
        <f>"ولدولت 1/2*1-6"</f>
        <v>ولدولت 1/2*1-6</v>
      </c>
      <c r="G3158" s="1" t="str">
        <f>"عدد"</f>
        <v>عدد</v>
      </c>
      <c r="H3158" s="1">
        <v>2</v>
      </c>
      <c r="I3158" s="1">
        <v>324210</v>
      </c>
      <c r="J3158" s="1">
        <v>0</v>
      </c>
      <c r="K3158" s="1">
        <v>0</v>
      </c>
      <c r="L3158" s="1">
        <v>0</v>
      </c>
      <c r="M3158" s="1">
        <v>0</v>
      </c>
      <c r="O3158" s="1">
        <v>97</v>
      </c>
      <c r="P3158" s="4">
        <f t="shared" si="147"/>
        <v>324210</v>
      </c>
      <c r="Q3158" s="4">
        <f t="shared" si="148"/>
        <v>2</v>
      </c>
      <c r="R3158" s="4">
        <f t="shared" si="149"/>
        <v>162105</v>
      </c>
    </row>
    <row r="3159" spans="1:18">
      <c r="A3159" s="1">
        <v>2</v>
      </c>
      <c r="B3159" s="1" t="str">
        <f>"قطعات و لوازم يدكي"</f>
        <v>قطعات و لوازم يدكي</v>
      </c>
      <c r="C3159" s="1">
        <v>205</v>
      </c>
      <c r="D3159" s="1" t="str">
        <f>"انبار قطعات و لوازم يدكي بندرعباس"</f>
        <v>انبار قطعات و لوازم يدكي بندرعباس</v>
      </c>
      <c r="E3159" s="1" t="str">
        <f>"1800000365"</f>
        <v>1800000365</v>
      </c>
      <c r="F3159" s="1" t="str">
        <f>"روغن هيدروليک"</f>
        <v>روغن هيدروليک</v>
      </c>
      <c r="G3159" s="1" t="str">
        <f>"ليتر"</f>
        <v>ليتر</v>
      </c>
      <c r="H3159" s="1">
        <v>20</v>
      </c>
      <c r="I3159" s="1">
        <v>7000000</v>
      </c>
      <c r="J3159" s="1">
        <v>0</v>
      </c>
      <c r="K3159" s="1">
        <v>0</v>
      </c>
      <c r="L3159" s="1">
        <v>0</v>
      </c>
      <c r="M3159" s="1">
        <v>0</v>
      </c>
      <c r="O3159" s="1">
        <v>97</v>
      </c>
      <c r="P3159" s="4">
        <f t="shared" si="147"/>
        <v>7000000</v>
      </c>
      <c r="Q3159" s="4">
        <f t="shared" si="148"/>
        <v>20</v>
      </c>
      <c r="R3159" s="4">
        <f t="shared" si="149"/>
        <v>350000</v>
      </c>
    </row>
    <row r="3160" spans="1:18">
      <c r="A3160" s="1">
        <v>2</v>
      </c>
      <c r="B3160" s="1" t="str">
        <f>"قطعات و لوازم يدكي"</f>
        <v>قطعات و لوازم يدكي</v>
      </c>
      <c r="C3160" s="1">
        <v>205</v>
      </c>
      <c r="D3160" s="1" t="str">
        <f>"انبار قطعات و لوازم يدكي بندرعباس"</f>
        <v>انبار قطعات و لوازم يدكي بندرعباس</v>
      </c>
      <c r="E3160" s="1" t="str">
        <f>"1800000369"</f>
        <v>1800000369</v>
      </c>
      <c r="F3160" s="1" t="str">
        <f>"رول بولت 12-12"</f>
        <v>رول بولت 12-12</v>
      </c>
      <c r="G3160" s="1" t="str">
        <f>"عدد"</f>
        <v>عدد</v>
      </c>
      <c r="H3160" s="1">
        <v>85</v>
      </c>
      <c r="I3160" s="1">
        <v>3400000</v>
      </c>
      <c r="J3160" s="1">
        <v>0</v>
      </c>
      <c r="K3160" s="1">
        <v>0</v>
      </c>
      <c r="L3160" s="1">
        <v>63</v>
      </c>
      <c r="M3160" s="1">
        <v>2520000</v>
      </c>
      <c r="O3160" s="1">
        <v>97</v>
      </c>
      <c r="P3160" s="4">
        <f t="shared" si="147"/>
        <v>880000</v>
      </c>
      <c r="Q3160" s="4">
        <f t="shared" si="148"/>
        <v>22</v>
      </c>
      <c r="R3160" s="4">
        <f t="shared" si="149"/>
        <v>40000</v>
      </c>
    </row>
    <row r="3161" spans="1:18">
      <c r="A3161" s="1">
        <v>2</v>
      </c>
      <c r="B3161" s="1" t="str">
        <f>"قطعات و لوازم يدكي"</f>
        <v>قطعات و لوازم يدكي</v>
      </c>
      <c r="C3161" s="1">
        <v>205</v>
      </c>
      <c r="D3161" s="1" t="str">
        <f>"انبار قطعات و لوازم يدكي بندرعباس"</f>
        <v>انبار قطعات و لوازم يدكي بندرعباس</v>
      </c>
      <c r="E3161" s="1" t="str">
        <f>"1800000375"</f>
        <v>1800000375</v>
      </c>
      <c r="F3161" s="1" t="str">
        <f>"رول فيوز"</f>
        <v>رول فيوز</v>
      </c>
      <c r="G3161" s="1" t="str">
        <f>"عدد"</f>
        <v>عدد</v>
      </c>
      <c r="H3161" s="1">
        <v>9</v>
      </c>
      <c r="I3161" s="1">
        <v>450000</v>
      </c>
      <c r="J3161" s="1">
        <v>0</v>
      </c>
      <c r="K3161" s="1">
        <v>0</v>
      </c>
      <c r="L3161" s="1">
        <v>1</v>
      </c>
      <c r="M3161" s="1">
        <v>50000</v>
      </c>
      <c r="O3161" s="1">
        <v>97</v>
      </c>
      <c r="P3161" s="4">
        <f t="shared" si="147"/>
        <v>400000</v>
      </c>
      <c r="Q3161" s="4">
        <f t="shared" si="148"/>
        <v>8</v>
      </c>
      <c r="R3161" s="4">
        <f t="shared" si="149"/>
        <v>50000</v>
      </c>
    </row>
    <row r="3162" spans="1:18">
      <c r="A3162" s="1">
        <v>2</v>
      </c>
      <c r="B3162" s="1" t="str">
        <f>"قطعات و لوازم يدكي"</f>
        <v>قطعات و لوازم يدكي</v>
      </c>
      <c r="C3162" s="1">
        <v>205</v>
      </c>
      <c r="D3162" s="1" t="str">
        <f>"انبار قطعات و لوازم يدكي بندرعباس"</f>
        <v>انبار قطعات و لوازم يدكي بندرعباس</v>
      </c>
      <c r="E3162" s="1" t="str">
        <f>"1800000390"</f>
        <v>1800000390</v>
      </c>
      <c r="F3162" s="1" t="str">
        <f>"زانويي pvc 110*45"</f>
        <v>زانويي pvc 110*45</v>
      </c>
      <c r="G3162" s="1" t="str">
        <f>"عدد"</f>
        <v>عدد</v>
      </c>
      <c r="H3162" s="1">
        <v>1</v>
      </c>
      <c r="I3162" s="1">
        <v>120000</v>
      </c>
      <c r="J3162" s="1">
        <v>0</v>
      </c>
      <c r="K3162" s="1">
        <v>0</v>
      </c>
      <c r="L3162" s="1">
        <v>0</v>
      </c>
      <c r="M3162" s="1">
        <v>0</v>
      </c>
      <c r="O3162" s="1">
        <v>97</v>
      </c>
      <c r="P3162" s="4">
        <f t="shared" si="147"/>
        <v>120000</v>
      </c>
      <c r="Q3162" s="4">
        <f t="shared" si="148"/>
        <v>1</v>
      </c>
      <c r="R3162" s="4">
        <f t="shared" si="149"/>
        <v>120000</v>
      </c>
    </row>
    <row r="3163" spans="1:18" hidden="1">
      <c r="A3163" s="1">
        <v>2</v>
      </c>
      <c r="B3163" s="1" t="str">
        <f>"قطعات و لوازم يدكي"</f>
        <v>قطعات و لوازم يدكي</v>
      </c>
      <c r="C3163" s="1">
        <v>205</v>
      </c>
      <c r="D3163" s="1" t="str">
        <f>"انبار قطعات و لوازم يدكي بندرعباس"</f>
        <v>انبار قطعات و لوازم يدكي بندرعباس</v>
      </c>
      <c r="E3163" s="1" t="str">
        <f>"1800000403"</f>
        <v>1800000403</v>
      </c>
      <c r="F3163" s="1" t="str">
        <f>"واشر رگلاتور گاز"</f>
        <v>واشر رگلاتور گاز</v>
      </c>
      <c r="G3163" s="1" t="str">
        <f>"عدد"</f>
        <v>عدد</v>
      </c>
      <c r="H3163" s="1">
        <v>15</v>
      </c>
      <c r="I3163" s="1">
        <v>5029</v>
      </c>
      <c r="J3163" s="1">
        <v>0</v>
      </c>
      <c r="K3163" s="1">
        <v>0</v>
      </c>
      <c r="L3163" s="1">
        <v>15</v>
      </c>
      <c r="M3163" s="1">
        <v>5029</v>
      </c>
      <c r="O3163" s="1">
        <v>97</v>
      </c>
      <c r="P3163" s="1">
        <f t="shared" si="147"/>
        <v>0</v>
      </c>
      <c r="Q3163" s="1">
        <f t="shared" si="148"/>
        <v>0</v>
      </c>
      <c r="R3163" s="1" t="e">
        <f t="shared" si="149"/>
        <v>#DIV/0!</v>
      </c>
    </row>
    <row r="3164" spans="1:18">
      <c r="A3164" s="1">
        <v>2</v>
      </c>
      <c r="B3164" s="1" t="str">
        <f>"قطعات و لوازم يدكي"</f>
        <v>قطعات و لوازم يدكي</v>
      </c>
      <c r="C3164" s="1">
        <v>205</v>
      </c>
      <c r="D3164" s="1" t="str">
        <f>"انبار قطعات و لوازم يدكي بندرعباس"</f>
        <v>انبار قطعات و لوازم يدكي بندرعباس</v>
      </c>
      <c r="E3164" s="1" t="str">
        <f>"1800000421"</f>
        <v>1800000421</v>
      </c>
      <c r="F3164" s="1" t="str">
        <f>"سيم زرجوش"</f>
        <v>سيم زرجوش</v>
      </c>
      <c r="G3164" s="1" t="str">
        <f>"شاخه"</f>
        <v>شاخه</v>
      </c>
      <c r="H3164" s="1">
        <v>5</v>
      </c>
      <c r="I3164" s="1">
        <v>500000</v>
      </c>
      <c r="J3164" s="1">
        <v>0</v>
      </c>
      <c r="K3164" s="1">
        <v>0</v>
      </c>
      <c r="L3164" s="1">
        <v>0</v>
      </c>
      <c r="M3164" s="1">
        <v>0</v>
      </c>
      <c r="O3164" s="1">
        <v>97</v>
      </c>
      <c r="P3164" s="4">
        <f t="shared" si="147"/>
        <v>500000</v>
      </c>
      <c r="Q3164" s="4">
        <f t="shared" si="148"/>
        <v>5</v>
      </c>
      <c r="R3164" s="4">
        <f t="shared" si="149"/>
        <v>100000</v>
      </c>
    </row>
    <row r="3165" spans="1:18">
      <c r="A3165" s="1">
        <v>2</v>
      </c>
      <c r="B3165" s="1" t="str">
        <f>"قطعات و لوازم يدكي"</f>
        <v>قطعات و لوازم يدكي</v>
      </c>
      <c r="C3165" s="1">
        <v>205</v>
      </c>
      <c r="D3165" s="1" t="str">
        <f>"انبار قطعات و لوازم يدكي بندرعباس"</f>
        <v>انبار قطعات و لوازم يدكي بندرعباس</v>
      </c>
      <c r="E3165" s="1" t="str">
        <f>"1800000446"</f>
        <v>1800000446</v>
      </c>
      <c r="F3165" s="1" t="str">
        <f>"شير يکطرفه دريچه برنجي 2"</f>
        <v>شير يکطرفه دريچه برنجي 2</v>
      </c>
      <c r="G3165" s="1" t="str">
        <f>"عدد"</f>
        <v>عدد</v>
      </c>
      <c r="H3165" s="1">
        <v>1</v>
      </c>
      <c r="I3165" s="1">
        <v>200000</v>
      </c>
      <c r="J3165" s="1">
        <v>0</v>
      </c>
      <c r="K3165" s="1">
        <v>0</v>
      </c>
      <c r="L3165" s="1">
        <v>0</v>
      </c>
      <c r="M3165" s="1">
        <v>0</v>
      </c>
      <c r="O3165" s="1">
        <v>97</v>
      </c>
      <c r="P3165" s="4">
        <f t="shared" si="147"/>
        <v>200000</v>
      </c>
      <c r="Q3165" s="4">
        <f t="shared" si="148"/>
        <v>1</v>
      </c>
      <c r="R3165" s="4">
        <f t="shared" si="149"/>
        <v>200000</v>
      </c>
    </row>
    <row r="3166" spans="1:18">
      <c r="A3166" s="1">
        <v>2</v>
      </c>
      <c r="B3166" s="1" t="str">
        <f>"قطعات و لوازم يدكي"</f>
        <v>قطعات و لوازم يدكي</v>
      </c>
      <c r="C3166" s="1">
        <v>205</v>
      </c>
      <c r="D3166" s="1" t="str">
        <f>"انبار قطعات و لوازم يدكي بندرعباس"</f>
        <v>انبار قطعات و لوازم يدكي بندرعباس</v>
      </c>
      <c r="E3166" s="1" t="str">
        <f>"1800000447"</f>
        <v>1800000447</v>
      </c>
      <c r="F3166" s="1" t="str">
        <f>"شيلنگ سيم دار 1"</f>
        <v>شيلنگ سيم دار 1</v>
      </c>
      <c r="G3166" s="1" t="str">
        <f>"متر"</f>
        <v>متر</v>
      </c>
      <c r="H3166" s="1">
        <v>18</v>
      </c>
      <c r="I3166" s="1">
        <v>3600000</v>
      </c>
      <c r="J3166" s="1">
        <v>50</v>
      </c>
      <c r="K3166" s="1">
        <v>3000000</v>
      </c>
      <c r="L3166" s="1">
        <v>50</v>
      </c>
      <c r="M3166" s="1">
        <v>4852941</v>
      </c>
      <c r="O3166" s="1">
        <v>97</v>
      </c>
      <c r="P3166" s="4">
        <f t="shared" si="147"/>
        <v>1747059</v>
      </c>
      <c r="Q3166" s="4">
        <f t="shared" si="148"/>
        <v>18</v>
      </c>
      <c r="R3166" s="4">
        <f t="shared" si="149"/>
        <v>97058.833333333328</v>
      </c>
    </row>
    <row r="3167" spans="1:18">
      <c r="A3167" s="1">
        <v>2</v>
      </c>
      <c r="B3167" s="1" t="str">
        <f>"قطعات و لوازم يدكي"</f>
        <v>قطعات و لوازم يدكي</v>
      </c>
      <c r="C3167" s="1">
        <v>205</v>
      </c>
      <c r="D3167" s="1" t="str">
        <f>"انبار قطعات و لوازم يدكي بندرعباس"</f>
        <v>انبار قطعات و لوازم يدكي بندرعباس</v>
      </c>
      <c r="E3167" s="1" t="str">
        <f>"1800000498"</f>
        <v>1800000498</v>
      </c>
      <c r="F3167" s="1" t="str">
        <f>"فيوز حفاظت جان اشنايدر 25"</f>
        <v>فيوز حفاظت جان اشنايدر 25</v>
      </c>
      <c r="G3167" s="1" t="str">
        <f>"عدد"</f>
        <v>عدد</v>
      </c>
      <c r="H3167" s="1">
        <v>2</v>
      </c>
      <c r="I3167" s="1">
        <v>2400000</v>
      </c>
      <c r="J3167" s="1">
        <v>0</v>
      </c>
      <c r="K3167" s="1">
        <v>0</v>
      </c>
      <c r="L3167" s="1">
        <v>0</v>
      </c>
      <c r="M3167" s="1">
        <v>0</v>
      </c>
      <c r="O3167" s="1">
        <v>97</v>
      </c>
      <c r="P3167" s="4">
        <f t="shared" si="147"/>
        <v>2400000</v>
      </c>
      <c r="Q3167" s="4">
        <f t="shared" si="148"/>
        <v>2</v>
      </c>
      <c r="R3167" s="4">
        <f t="shared" si="149"/>
        <v>1200000</v>
      </c>
    </row>
    <row r="3168" spans="1:18">
      <c r="A3168" s="1">
        <v>2</v>
      </c>
      <c r="B3168" s="1" t="str">
        <f>"قطعات و لوازم يدكي"</f>
        <v>قطعات و لوازم يدكي</v>
      </c>
      <c r="C3168" s="1">
        <v>205</v>
      </c>
      <c r="D3168" s="1" t="str">
        <f>"انبار قطعات و لوازم يدكي بندرعباس"</f>
        <v>انبار قطعات و لوازم يدكي بندرعباس</v>
      </c>
      <c r="E3168" s="1" t="str">
        <f>"1800000502"</f>
        <v>1800000502</v>
      </c>
      <c r="F3168" s="1" t="str">
        <f>"قفل کمدي 808"</f>
        <v>قفل کمدي 808</v>
      </c>
      <c r="G3168" s="1" t="str">
        <f>"عدد"</f>
        <v>عدد</v>
      </c>
      <c r="H3168" s="1">
        <v>8</v>
      </c>
      <c r="I3168" s="1">
        <v>400000</v>
      </c>
      <c r="J3168" s="1">
        <v>0</v>
      </c>
      <c r="K3168" s="1">
        <v>0</v>
      </c>
      <c r="L3168" s="1">
        <v>4</v>
      </c>
      <c r="M3168" s="1">
        <v>200000</v>
      </c>
      <c r="O3168" s="1">
        <v>97</v>
      </c>
      <c r="P3168" s="4">
        <f t="shared" si="147"/>
        <v>200000</v>
      </c>
      <c r="Q3168" s="4">
        <f t="shared" si="148"/>
        <v>4</v>
      </c>
      <c r="R3168" s="4">
        <f t="shared" si="149"/>
        <v>50000</v>
      </c>
    </row>
    <row r="3169" spans="1:18">
      <c r="A3169" s="1">
        <v>2</v>
      </c>
      <c r="B3169" s="1" t="str">
        <f>"قطعات و لوازم يدكي"</f>
        <v>قطعات و لوازم يدكي</v>
      </c>
      <c r="C3169" s="1">
        <v>205</v>
      </c>
      <c r="D3169" s="1" t="str">
        <f>"انبار قطعات و لوازم يدكي بندرعباس"</f>
        <v>انبار قطعات و لوازم يدكي بندرعباس</v>
      </c>
      <c r="E3169" s="1" t="str">
        <f>"1800000507"</f>
        <v>1800000507</v>
      </c>
      <c r="F3169" s="1" t="str">
        <f>"کابل ارت روکشدار"</f>
        <v>کابل ارت روکشدار</v>
      </c>
      <c r="G3169" s="1" t="str">
        <f>"متر"</f>
        <v>متر</v>
      </c>
      <c r="H3169" s="1">
        <v>15</v>
      </c>
      <c r="I3169" s="1">
        <v>3750000</v>
      </c>
      <c r="J3169" s="1">
        <v>0</v>
      </c>
      <c r="K3169" s="1">
        <v>0</v>
      </c>
      <c r="L3169" s="1">
        <v>2</v>
      </c>
      <c r="M3169" s="1">
        <v>500000</v>
      </c>
      <c r="O3169" s="1">
        <v>97</v>
      </c>
      <c r="P3169" s="4">
        <f t="shared" si="147"/>
        <v>3250000</v>
      </c>
      <c r="Q3169" s="4">
        <f t="shared" si="148"/>
        <v>13</v>
      </c>
      <c r="R3169" s="4">
        <f t="shared" si="149"/>
        <v>250000</v>
      </c>
    </row>
    <row r="3170" spans="1:18">
      <c r="A3170" s="1">
        <v>2</v>
      </c>
      <c r="B3170" s="1" t="str">
        <f>"قطعات و لوازم يدكي"</f>
        <v>قطعات و لوازم يدكي</v>
      </c>
      <c r="C3170" s="1">
        <v>205</v>
      </c>
      <c r="D3170" s="1" t="str">
        <f>"انبار قطعات و لوازم يدكي بندرعباس"</f>
        <v>انبار قطعات و لوازم يدكي بندرعباس</v>
      </c>
      <c r="E3170" s="1" t="str">
        <f>"1800000512"</f>
        <v>1800000512</v>
      </c>
      <c r="F3170" s="1" t="str">
        <f>"کابل مسي روکشدار ارتينگ 35*1"</f>
        <v>کابل مسي روکشدار ارتينگ 35*1</v>
      </c>
      <c r="G3170" s="1" t="str">
        <f>"متر"</f>
        <v>متر</v>
      </c>
      <c r="H3170" s="1">
        <v>73</v>
      </c>
      <c r="I3170" s="1">
        <v>14600000</v>
      </c>
      <c r="J3170" s="1">
        <v>0</v>
      </c>
      <c r="K3170" s="1">
        <v>0</v>
      </c>
      <c r="L3170" s="1">
        <v>0</v>
      </c>
      <c r="M3170" s="1">
        <v>0</v>
      </c>
      <c r="O3170" s="1">
        <v>97</v>
      </c>
      <c r="P3170" s="4">
        <f t="shared" si="147"/>
        <v>14600000</v>
      </c>
      <c r="Q3170" s="4">
        <f t="shared" si="148"/>
        <v>73</v>
      </c>
      <c r="R3170" s="4">
        <f t="shared" si="149"/>
        <v>200000</v>
      </c>
    </row>
    <row r="3171" spans="1:18" hidden="1">
      <c r="A3171" s="1">
        <v>2</v>
      </c>
      <c r="B3171" s="1" t="str">
        <f>"قطعات و لوازم يدكي"</f>
        <v>قطعات و لوازم يدكي</v>
      </c>
      <c r="C3171" s="1">
        <v>205</v>
      </c>
      <c r="D3171" s="1" t="str">
        <f>"انبار قطعات و لوازم يدكي بندرعباس"</f>
        <v>انبار قطعات و لوازم يدكي بندرعباس</v>
      </c>
      <c r="E3171" s="1" t="str">
        <f>"1800000515"</f>
        <v>1800000515</v>
      </c>
      <c r="F3171" s="1" t="str">
        <f>"کابلشو فلزي 8*25"</f>
        <v>کابلشو فلزي 8*25</v>
      </c>
      <c r="G3171" s="1" t="str">
        <f>"عدد"</f>
        <v>عدد</v>
      </c>
      <c r="H3171" s="1">
        <v>6</v>
      </c>
      <c r="I3171" s="1">
        <v>165000</v>
      </c>
      <c r="J3171" s="1">
        <v>0</v>
      </c>
      <c r="K3171" s="1">
        <v>0</v>
      </c>
      <c r="L3171" s="1">
        <v>6</v>
      </c>
      <c r="M3171" s="1">
        <v>165000</v>
      </c>
      <c r="O3171" s="1">
        <v>97</v>
      </c>
      <c r="P3171" s="1">
        <f t="shared" si="147"/>
        <v>0</v>
      </c>
      <c r="Q3171" s="1">
        <f t="shared" si="148"/>
        <v>0</v>
      </c>
      <c r="R3171" s="1" t="e">
        <f t="shared" si="149"/>
        <v>#DIV/0!</v>
      </c>
    </row>
    <row r="3172" spans="1:18">
      <c r="A3172" s="1">
        <v>2</v>
      </c>
      <c r="B3172" s="1" t="str">
        <f>"قطعات و لوازم يدكي"</f>
        <v>قطعات و لوازم يدكي</v>
      </c>
      <c r="C3172" s="1">
        <v>205</v>
      </c>
      <c r="D3172" s="1" t="str">
        <f>"انبار قطعات و لوازم يدكي بندرعباس"</f>
        <v>انبار قطعات و لوازم يدكي بندرعباس</v>
      </c>
      <c r="E3172" s="1" t="str">
        <f>"1800000517"</f>
        <v>1800000517</v>
      </c>
      <c r="F3172" s="1" t="str">
        <f>"کابلشو فلزي 12*120"</f>
        <v>کابلشو فلزي 12*120</v>
      </c>
      <c r="G3172" s="1" t="str">
        <f>"عدد"</f>
        <v>عدد</v>
      </c>
      <c r="H3172" s="1">
        <v>5</v>
      </c>
      <c r="I3172" s="1">
        <v>275000</v>
      </c>
      <c r="J3172" s="1">
        <v>0</v>
      </c>
      <c r="K3172" s="1">
        <v>0</v>
      </c>
      <c r="L3172" s="1">
        <v>1</v>
      </c>
      <c r="M3172" s="1">
        <v>55000</v>
      </c>
      <c r="O3172" s="1">
        <v>97</v>
      </c>
      <c r="P3172" s="4">
        <f t="shared" si="147"/>
        <v>220000</v>
      </c>
      <c r="Q3172" s="4">
        <f t="shared" si="148"/>
        <v>4</v>
      </c>
      <c r="R3172" s="4">
        <f t="shared" si="149"/>
        <v>55000</v>
      </c>
    </row>
    <row r="3173" spans="1:18">
      <c r="A3173" s="1">
        <v>2</v>
      </c>
      <c r="B3173" s="1" t="str">
        <f>"قطعات و لوازم يدكي"</f>
        <v>قطعات و لوازم يدكي</v>
      </c>
      <c r="C3173" s="1">
        <v>205</v>
      </c>
      <c r="D3173" s="1" t="str">
        <f>"انبار قطعات و لوازم يدكي بندرعباس"</f>
        <v>انبار قطعات و لوازم يدكي بندرعباس</v>
      </c>
      <c r="E3173" s="1" t="str">
        <f>"1800000528"</f>
        <v>1800000528</v>
      </c>
      <c r="F3173" s="1" t="str">
        <f>"کال پوينت شيشه اي اعلام حريق"</f>
        <v>کال پوينت شيشه اي اعلام حريق</v>
      </c>
      <c r="G3173" s="1" t="str">
        <f>"عدد"</f>
        <v>عدد</v>
      </c>
      <c r="H3173" s="1">
        <v>3</v>
      </c>
      <c r="I3173" s="1">
        <v>2250000</v>
      </c>
      <c r="J3173" s="1">
        <v>0</v>
      </c>
      <c r="K3173" s="1">
        <v>0</v>
      </c>
      <c r="L3173" s="1">
        <v>0</v>
      </c>
      <c r="M3173" s="1">
        <v>0</v>
      </c>
      <c r="O3173" s="1">
        <v>97</v>
      </c>
      <c r="P3173" s="4">
        <f t="shared" si="147"/>
        <v>2250000</v>
      </c>
      <c r="Q3173" s="4">
        <f t="shared" si="148"/>
        <v>3</v>
      </c>
      <c r="R3173" s="4">
        <f t="shared" si="149"/>
        <v>750000</v>
      </c>
    </row>
    <row r="3174" spans="1:18">
      <c r="A3174" s="1">
        <v>2</v>
      </c>
      <c r="B3174" s="1" t="str">
        <f>"قطعات و لوازم يدكي"</f>
        <v>قطعات و لوازم يدكي</v>
      </c>
      <c r="C3174" s="1">
        <v>205</v>
      </c>
      <c r="D3174" s="1" t="str">
        <f>"انبار قطعات و لوازم يدكي بندرعباس"</f>
        <v>انبار قطعات و لوازم يدكي بندرعباس</v>
      </c>
      <c r="E3174" s="1" t="str">
        <f>"1800000529"</f>
        <v>1800000529</v>
      </c>
      <c r="F3174" s="1" t="str">
        <f>"کالر (بوشن) 1/2"</f>
        <v>کالر (بوشن) 1/2</v>
      </c>
      <c r="G3174" s="1" t="str">
        <f>"عدد"</f>
        <v>عدد</v>
      </c>
      <c r="H3174" s="1">
        <v>3</v>
      </c>
      <c r="I3174" s="1">
        <v>15000</v>
      </c>
      <c r="J3174" s="1">
        <v>0</v>
      </c>
      <c r="K3174" s="1">
        <v>0</v>
      </c>
      <c r="L3174" s="1">
        <v>2</v>
      </c>
      <c r="M3174" s="1">
        <v>10000</v>
      </c>
      <c r="O3174" s="1">
        <v>97</v>
      </c>
      <c r="P3174" s="4">
        <f t="shared" si="147"/>
        <v>5000</v>
      </c>
      <c r="Q3174" s="4">
        <f t="shared" si="148"/>
        <v>1</v>
      </c>
      <c r="R3174" s="4">
        <f t="shared" si="149"/>
        <v>5000</v>
      </c>
    </row>
    <row r="3175" spans="1:18">
      <c r="A3175" s="1">
        <v>2</v>
      </c>
      <c r="B3175" s="1" t="str">
        <f>"قطعات و لوازم يدكي"</f>
        <v>قطعات و لوازم يدكي</v>
      </c>
      <c r="C3175" s="1">
        <v>205</v>
      </c>
      <c r="D3175" s="1" t="str">
        <f>"انبار قطعات و لوازم يدكي بندرعباس"</f>
        <v>انبار قطعات و لوازم يدكي بندرعباس</v>
      </c>
      <c r="E3175" s="1" t="str">
        <f>"1800000539"</f>
        <v>1800000539</v>
      </c>
      <c r="F3175" s="1" t="str">
        <f>"کليد سلکتوري اشنايدر"</f>
        <v>کليد سلکتوري اشنايدر</v>
      </c>
      <c r="G3175" s="1" t="str">
        <f>"عدد"</f>
        <v>عدد</v>
      </c>
      <c r="H3175" s="1">
        <v>3</v>
      </c>
      <c r="I3175" s="1">
        <v>750000</v>
      </c>
      <c r="J3175" s="1">
        <v>0</v>
      </c>
      <c r="K3175" s="1">
        <v>0</v>
      </c>
      <c r="L3175" s="1">
        <v>0</v>
      </c>
      <c r="M3175" s="1">
        <v>0</v>
      </c>
      <c r="O3175" s="1">
        <v>97</v>
      </c>
      <c r="P3175" s="4">
        <f t="shared" si="147"/>
        <v>750000</v>
      </c>
      <c r="Q3175" s="4">
        <f t="shared" si="148"/>
        <v>3</v>
      </c>
      <c r="R3175" s="4">
        <f t="shared" si="149"/>
        <v>250000</v>
      </c>
    </row>
    <row r="3176" spans="1:18">
      <c r="A3176" s="1">
        <v>2</v>
      </c>
      <c r="B3176" s="1" t="str">
        <f>"قطعات و لوازم يدكي"</f>
        <v>قطعات و لوازم يدكي</v>
      </c>
      <c r="C3176" s="1">
        <v>205</v>
      </c>
      <c r="D3176" s="1" t="str">
        <f>"انبار قطعات و لوازم يدكي بندرعباس"</f>
        <v>انبار قطعات و لوازم يدكي بندرعباس</v>
      </c>
      <c r="E3176" s="1" t="str">
        <f>"1800000549"</f>
        <v>1800000549</v>
      </c>
      <c r="F3176" s="1" t="str">
        <f>"کمربند پلي اتيلن"</f>
        <v>کمربند پلي اتيلن</v>
      </c>
      <c r="G3176" s="1" t="str">
        <f>"عدد"</f>
        <v>عدد</v>
      </c>
      <c r="H3176" s="1">
        <v>3</v>
      </c>
      <c r="I3176" s="1">
        <v>22620000</v>
      </c>
      <c r="J3176" s="1">
        <v>0</v>
      </c>
      <c r="K3176" s="1">
        <v>0</v>
      </c>
      <c r="L3176" s="1">
        <v>2</v>
      </c>
      <c r="M3176" s="1">
        <v>15080000</v>
      </c>
      <c r="O3176" s="1">
        <v>97</v>
      </c>
      <c r="P3176" s="4">
        <f t="shared" si="147"/>
        <v>7540000</v>
      </c>
      <c r="Q3176" s="4">
        <f t="shared" si="148"/>
        <v>1</v>
      </c>
      <c r="R3176" s="4">
        <f t="shared" si="149"/>
        <v>7540000</v>
      </c>
    </row>
    <row r="3177" spans="1:18" hidden="1">
      <c r="A3177" s="1">
        <v>2</v>
      </c>
      <c r="B3177" s="1" t="str">
        <f>"قطعات و لوازم يدكي"</f>
        <v>قطعات و لوازم يدكي</v>
      </c>
      <c r="C3177" s="1">
        <v>205</v>
      </c>
      <c r="D3177" s="1" t="str">
        <f>"انبار قطعات و لوازم يدكي بندرعباس"</f>
        <v>انبار قطعات و لوازم يدكي بندرعباس</v>
      </c>
      <c r="E3177" s="1" t="str">
        <f>"1800000555"</f>
        <v>1800000555</v>
      </c>
      <c r="F3177" s="1" t="str">
        <f>"کنف آب بندي"</f>
        <v>کنف آب بندي</v>
      </c>
      <c r="G3177" s="1" t="str">
        <f>"بسته"</f>
        <v>بسته</v>
      </c>
      <c r="H3177" s="1">
        <v>1</v>
      </c>
      <c r="I3177" s="1">
        <v>100000</v>
      </c>
      <c r="J3177" s="1">
        <v>0</v>
      </c>
      <c r="K3177" s="1">
        <v>0</v>
      </c>
      <c r="L3177" s="1">
        <v>1</v>
      </c>
      <c r="M3177" s="1">
        <v>100000</v>
      </c>
      <c r="O3177" s="1">
        <v>97</v>
      </c>
      <c r="P3177" s="1">
        <f t="shared" si="147"/>
        <v>0</v>
      </c>
      <c r="Q3177" s="1">
        <f t="shared" si="148"/>
        <v>0</v>
      </c>
      <c r="R3177" s="1" t="e">
        <f t="shared" si="149"/>
        <v>#DIV/0!</v>
      </c>
    </row>
    <row r="3178" spans="1:18" hidden="1">
      <c r="A3178" s="1">
        <v>2</v>
      </c>
      <c r="B3178" s="1" t="str">
        <f>"قطعات و لوازم يدكي"</f>
        <v>قطعات و لوازم يدكي</v>
      </c>
      <c r="C3178" s="1">
        <v>205</v>
      </c>
      <c r="D3178" s="1" t="str">
        <f>"انبار قطعات و لوازم يدكي بندرعباس"</f>
        <v>انبار قطعات و لوازم يدكي بندرعباس</v>
      </c>
      <c r="E3178" s="1" t="str">
        <f>"1800000560"</f>
        <v>1800000560</v>
      </c>
      <c r="F3178" s="1" t="str">
        <f>"کوپلينگ آلمينيوم"</f>
        <v>کوپلينگ آلمينيوم</v>
      </c>
      <c r="G3178" s="1" t="str">
        <f>"عدد"</f>
        <v>عدد</v>
      </c>
      <c r="H3178" s="1">
        <v>1</v>
      </c>
      <c r="I3178" s="1">
        <v>1000000</v>
      </c>
      <c r="J3178" s="1">
        <v>0</v>
      </c>
      <c r="K3178" s="1">
        <v>0</v>
      </c>
      <c r="L3178" s="1">
        <v>1</v>
      </c>
      <c r="M3178" s="1">
        <v>1000000</v>
      </c>
      <c r="O3178" s="1">
        <v>97</v>
      </c>
      <c r="P3178" s="1">
        <f t="shared" si="147"/>
        <v>0</v>
      </c>
      <c r="Q3178" s="1">
        <f t="shared" si="148"/>
        <v>0</v>
      </c>
      <c r="R3178" s="1" t="e">
        <f t="shared" si="149"/>
        <v>#DIV/0!</v>
      </c>
    </row>
    <row r="3179" spans="1:18" hidden="1">
      <c r="A3179" s="1">
        <v>2</v>
      </c>
      <c r="B3179" s="1" t="str">
        <f>"قطعات و لوازم يدكي"</f>
        <v>قطعات و لوازم يدكي</v>
      </c>
      <c r="C3179" s="1">
        <v>205</v>
      </c>
      <c r="D3179" s="1" t="str">
        <f>"انبار قطعات و لوازم يدكي بندرعباس"</f>
        <v>انبار قطعات و لوازم يدكي بندرعباس</v>
      </c>
      <c r="E3179" s="1" t="str">
        <f>"1800000564"</f>
        <v>1800000564</v>
      </c>
      <c r="F3179" s="1" t="str">
        <f>"گريس"</f>
        <v>گريس</v>
      </c>
      <c r="G3179" s="1" t="str">
        <f>"كيلوگرم"</f>
        <v>كيلوگرم</v>
      </c>
      <c r="H3179" s="1">
        <v>36.5</v>
      </c>
      <c r="I3179" s="1">
        <v>20440000</v>
      </c>
      <c r="J3179" s="1">
        <v>0</v>
      </c>
      <c r="K3179" s="1">
        <v>0</v>
      </c>
      <c r="L3179" s="1">
        <v>36.5</v>
      </c>
      <c r="M3179" s="1">
        <v>20440000</v>
      </c>
      <c r="O3179" s="1">
        <v>97</v>
      </c>
      <c r="P3179" s="1">
        <f t="shared" si="147"/>
        <v>0</v>
      </c>
      <c r="Q3179" s="1">
        <f t="shared" si="148"/>
        <v>0</v>
      </c>
      <c r="R3179" s="1" t="e">
        <f t="shared" si="149"/>
        <v>#DIV/0!</v>
      </c>
    </row>
    <row r="3180" spans="1:18">
      <c r="A3180" s="1">
        <v>2</v>
      </c>
      <c r="B3180" s="1" t="str">
        <f>"قطعات و لوازم يدكي"</f>
        <v>قطعات و لوازم يدكي</v>
      </c>
      <c r="C3180" s="1">
        <v>205</v>
      </c>
      <c r="D3180" s="1" t="str">
        <f>"انبار قطعات و لوازم يدكي بندرعباس"</f>
        <v>انبار قطعات و لوازم يدكي بندرعباس</v>
      </c>
      <c r="E3180" s="1" t="str">
        <f>"1800000569"</f>
        <v>1800000569</v>
      </c>
      <c r="F3180" s="1" t="str">
        <f>"گسکت فلزي 14"</f>
        <v>گسکت فلزي 14</v>
      </c>
      <c r="G3180" s="1" t="str">
        <f>"عدد"</f>
        <v>عدد</v>
      </c>
      <c r="H3180" s="1">
        <v>13</v>
      </c>
      <c r="I3180" s="1">
        <v>9685000</v>
      </c>
      <c r="J3180" s="1">
        <v>0</v>
      </c>
      <c r="K3180" s="1">
        <v>0</v>
      </c>
      <c r="L3180" s="1">
        <v>6</v>
      </c>
      <c r="M3180" s="1">
        <v>4470000</v>
      </c>
      <c r="O3180" s="1">
        <v>97</v>
      </c>
      <c r="P3180" s="4">
        <f t="shared" si="147"/>
        <v>5215000</v>
      </c>
      <c r="Q3180" s="4">
        <f t="shared" si="148"/>
        <v>7</v>
      </c>
      <c r="R3180" s="4">
        <f t="shared" si="149"/>
        <v>745000</v>
      </c>
    </row>
    <row r="3181" spans="1:18">
      <c r="A3181" s="1">
        <v>2</v>
      </c>
      <c r="B3181" s="1" t="str">
        <f>"قطعات و لوازم يدكي"</f>
        <v>قطعات و لوازم يدكي</v>
      </c>
      <c r="C3181" s="1">
        <v>205</v>
      </c>
      <c r="D3181" s="1" t="str">
        <f>"انبار قطعات و لوازم يدكي بندرعباس"</f>
        <v>انبار قطعات و لوازم يدكي بندرعباس</v>
      </c>
      <c r="E3181" s="1" t="str">
        <f>"1800000574"</f>
        <v>1800000574</v>
      </c>
      <c r="F3181" s="1" t="str">
        <f>"گسکت فلزي 3"</f>
        <v>گسکت فلزي 3</v>
      </c>
      <c r="G3181" s="1" t="str">
        <f>"عدد"</f>
        <v>عدد</v>
      </c>
      <c r="H3181" s="1">
        <v>15</v>
      </c>
      <c r="I3181" s="1">
        <v>2430000</v>
      </c>
      <c r="J3181" s="1">
        <v>0</v>
      </c>
      <c r="K3181" s="1">
        <v>0</v>
      </c>
      <c r="L3181" s="1">
        <v>3</v>
      </c>
      <c r="M3181" s="1">
        <v>486000</v>
      </c>
      <c r="O3181" s="1">
        <v>97</v>
      </c>
      <c r="P3181" s="4">
        <f t="shared" si="147"/>
        <v>1944000</v>
      </c>
      <c r="Q3181" s="4">
        <f t="shared" si="148"/>
        <v>12</v>
      </c>
      <c r="R3181" s="4">
        <f t="shared" si="149"/>
        <v>162000</v>
      </c>
    </row>
    <row r="3182" spans="1:18">
      <c r="A3182" s="1">
        <v>2</v>
      </c>
      <c r="B3182" s="1" t="str">
        <f>"قطعات و لوازم يدكي"</f>
        <v>قطعات و لوازم يدكي</v>
      </c>
      <c r="C3182" s="1">
        <v>205</v>
      </c>
      <c r="D3182" s="1" t="str">
        <f>"انبار قطعات و لوازم يدكي بندرعباس"</f>
        <v>انبار قطعات و لوازم يدكي بندرعباس</v>
      </c>
      <c r="E3182" s="1" t="str">
        <f>"1800000577"</f>
        <v>1800000577</v>
      </c>
      <c r="F3182" s="1" t="str">
        <f>"گسکت فلزي 1/2"</f>
        <v>گسکت فلزي 1/2</v>
      </c>
      <c r="G3182" s="1" t="str">
        <f>"عدد"</f>
        <v>عدد</v>
      </c>
      <c r="H3182" s="1">
        <v>20</v>
      </c>
      <c r="I3182" s="1">
        <v>2360000</v>
      </c>
      <c r="J3182" s="1">
        <v>0</v>
      </c>
      <c r="K3182" s="1">
        <v>0</v>
      </c>
      <c r="L3182" s="1">
        <v>0</v>
      </c>
      <c r="M3182" s="1">
        <v>0</v>
      </c>
      <c r="O3182" s="1">
        <v>97</v>
      </c>
      <c r="P3182" s="4">
        <f t="shared" si="147"/>
        <v>2360000</v>
      </c>
      <c r="Q3182" s="4">
        <f t="shared" si="148"/>
        <v>20</v>
      </c>
      <c r="R3182" s="4">
        <f t="shared" si="149"/>
        <v>118000</v>
      </c>
    </row>
    <row r="3183" spans="1:18">
      <c r="A3183" s="1">
        <v>2</v>
      </c>
      <c r="B3183" s="1" t="str">
        <f>"قطعات و لوازم يدكي"</f>
        <v>قطعات و لوازم يدكي</v>
      </c>
      <c r="C3183" s="1">
        <v>205</v>
      </c>
      <c r="D3183" s="1" t="str">
        <f>"انبار قطعات و لوازم يدكي بندرعباس"</f>
        <v>انبار قطعات و لوازم يدكي بندرعباس</v>
      </c>
      <c r="E3183" s="1" t="str">
        <f>"1800000578"</f>
        <v>1800000578</v>
      </c>
      <c r="F3183" s="1" t="str">
        <f>"گسکت فلزي 1/2*1"</f>
        <v>گسکت فلزي 1/2*1</v>
      </c>
      <c r="G3183" s="1" t="str">
        <f>"عدد"</f>
        <v>عدد</v>
      </c>
      <c r="H3183" s="1">
        <v>13</v>
      </c>
      <c r="I3183" s="1">
        <v>1118000</v>
      </c>
      <c r="J3183" s="1">
        <v>0</v>
      </c>
      <c r="K3183" s="1">
        <v>0</v>
      </c>
      <c r="L3183" s="1">
        <v>0</v>
      </c>
      <c r="M3183" s="1">
        <v>0</v>
      </c>
      <c r="O3183" s="1">
        <v>97</v>
      </c>
      <c r="P3183" s="4">
        <f t="shared" si="147"/>
        <v>1118000</v>
      </c>
      <c r="Q3183" s="4">
        <f t="shared" si="148"/>
        <v>13</v>
      </c>
      <c r="R3183" s="4">
        <f t="shared" si="149"/>
        <v>86000</v>
      </c>
    </row>
    <row r="3184" spans="1:18" hidden="1">
      <c r="A3184" s="1">
        <v>6</v>
      </c>
      <c r="B3184" s="1" t="str">
        <f>"موجودي ملزومات اداري"</f>
        <v>موجودي ملزومات اداري</v>
      </c>
      <c r="C3184" s="1">
        <v>110</v>
      </c>
      <c r="D3184" s="1" t="str">
        <f>"ملزومات اداري اصفهان"</f>
        <v>ملزومات اداري اصفهان</v>
      </c>
      <c r="E3184" s="1" t="str">
        <f>"1502031262"</f>
        <v>1502031262</v>
      </c>
      <c r="F3184" s="1" t="str">
        <f>"جا صابوني"</f>
        <v>جا صابوني</v>
      </c>
      <c r="G3184" s="1" t="str">
        <f>"عدد"</f>
        <v>عدد</v>
      </c>
      <c r="H3184" s="1">
        <v>0</v>
      </c>
      <c r="I3184" s="1">
        <v>0</v>
      </c>
      <c r="J3184" s="1">
        <v>2</v>
      </c>
      <c r="K3184" s="1">
        <v>1300000</v>
      </c>
      <c r="L3184" s="1">
        <v>2</v>
      </c>
      <c r="M3184" s="1">
        <v>1300000</v>
      </c>
      <c r="O3184" s="1">
        <v>97</v>
      </c>
      <c r="P3184" s="1">
        <f t="shared" si="147"/>
        <v>0</v>
      </c>
      <c r="Q3184" s="1">
        <f t="shared" si="148"/>
        <v>0</v>
      </c>
      <c r="R3184" s="1" t="e">
        <f t="shared" si="149"/>
        <v>#DIV/0!</v>
      </c>
    </row>
    <row r="3185" spans="1:18" hidden="1">
      <c r="A3185" s="1">
        <v>6</v>
      </c>
      <c r="B3185" s="1" t="str">
        <f>"موجودي ملزومات اداري"</f>
        <v>موجودي ملزومات اداري</v>
      </c>
      <c r="C3185" s="1">
        <v>110</v>
      </c>
      <c r="D3185" s="1" t="str">
        <f>"ملزومات اداري اصفهان"</f>
        <v>ملزومات اداري اصفهان</v>
      </c>
      <c r="E3185" s="1" t="str">
        <f>"1502031322"</f>
        <v>1502031322</v>
      </c>
      <c r="F3185" s="1" t="str">
        <f>"جاي مجله اي ابگل"</f>
        <v>جاي مجله اي ابگل</v>
      </c>
      <c r="G3185" s="1" t="str">
        <f>"عدد"</f>
        <v>عدد</v>
      </c>
      <c r="H3185" s="1">
        <v>0</v>
      </c>
      <c r="I3185" s="1">
        <v>0</v>
      </c>
      <c r="J3185" s="1">
        <v>20</v>
      </c>
      <c r="K3185" s="1">
        <v>3300000</v>
      </c>
      <c r="L3185" s="1">
        <v>20</v>
      </c>
      <c r="M3185" s="1">
        <v>3300000</v>
      </c>
      <c r="O3185" s="1">
        <v>97</v>
      </c>
      <c r="P3185" s="1">
        <f t="shared" si="147"/>
        <v>0</v>
      </c>
      <c r="Q3185" s="1">
        <f t="shared" si="148"/>
        <v>0</v>
      </c>
      <c r="R3185" s="1" t="e">
        <f t="shared" si="149"/>
        <v>#DIV/0!</v>
      </c>
    </row>
    <row r="3186" spans="1:18" hidden="1">
      <c r="A3186" s="1">
        <v>6</v>
      </c>
      <c r="B3186" s="1" t="str">
        <f>"موجودي ملزومات اداري"</f>
        <v>موجودي ملزومات اداري</v>
      </c>
      <c r="C3186" s="1">
        <v>205</v>
      </c>
      <c r="D3186" s="1" t="str">
        <f>"انبار قطعات و لوازم يدكي بندرعباس"</f>
        <v>انبار قطعات و لوازم يدكي بندرعباس</v>
      </c>
      <c r="E3186" s="1" t="str">
        <f>"0000009145"</f>
        <v>0000009145</v>
      </c>
      <c r="F3186" s="1" t="str">
        <f>"قفل مغزي"</f>
        <v>قفل مغزي</v>
      </c>
      <c r="G3186" s="1" t="str">
        <f>"عدد"</f>
        <v>عدد</v>
      </c>
      <c r="H3186" s="1">
        <v>0</v>
      </c>
      <c r="I3186" s="1">
        <v>0</v>
      </c>
      <c r="J3186" s="1">
        <v>1</v>
      </c>
      <c r="K3186" s="1">
        <v>420000</v>
      </c>
      <c r="L3186" s="1">
        <v>1</v>
      </c>
      <c r="M3186" s="1">
        <v>420000</v>
      </c>
      <c r="O3186" s="1">
        <v>97</v>
      </c>
      <c r="P3186" s="1">
        <f t="shared" si="147"/>
        <v>0</v>
      </c>
      <c r="Q3186" s="1">
        <f t="shared" si="148"/>
        <v>0</v>
      </c>
      <c r="R3186" s="1" t="e">
        <f t="shared" si="149"/>
        <v>#DIV/0!</v>
      </c>
    </row>
    <row r="3187" spans="1:18">
      <c r="A3187" s="1">
        <v>6</v>
      </c>
      <c r="B3187" s="1" t="str">
        <f>"موجودي ملزومات اداري"</f>
        <v>موجودي ملزومات اداري</v>
      </c>
      <c r="C3187" s="1">
        <v>205</v>
      </c>
      <c r="D3187" s="1" t="str">
        <f>"انبار قطعات و لوازم يدكي بندرعباس"</f>
        <v>انبار قطعات و لوازم يدكي بندرعباس</v>
      </c>
      <c r="E3187" s="1" t="str">
        <f>"0000052862"</f>
        <v>0000052862</v>
      </c>
      <c r="F3187" s="1" t="str">
        <f>"لامپ 600 سديم"</f>
        <v>لامپ 600 سديم</v>
      </c>
      <c r="G3187" s="1" t="str">
        <f>"عدد"</f>
        <v>عدد</v>
      </c>
      <c r="H3187" s="1">
        <v>0</v>
      </c>
      <c r="I3187" s="1">
        <v>0</v>
      </c>
      <c r="J3187" s="1">
        <v>24</v>
      </c>
      <c r="K3187" s="1">
        <v>17952000</v>
      </c>
      <c r="L3187" s="1">
        <v>13</v>
      </c>
      <c r="M3187" s="1">
        <v>9724000</v>
      </c>
      <c r="O3187" s="1">
        <v>97</v>
      </c>
      <c r="P3187" s="4">
        <f t="shared" si="147"/>
        <v>8228000</v>
      </c>
      <c r="Q3187" s="4">
        <f t="shared" si="148"/>
        <v>11</v>
      </c>
      <c r="R3187" s="4">
        <f t="shared" si="149"/>
        <v>748000</v>
      </c>
    </row>
    <row r="3188" spans="1:18">
      <c r="A3188" s="1">
        <v>9</v>
      </c>
      <c r="B3188" s="1" t="str">
        <f>"موجودي داراييهاي ثابت نزد انبار"</f>
        <v>موجودي داراييهاي ثابت نزد انبار</v>
      </c>
      <c r="C3188" s="1">
        <v>117</v>
      </c>
      <c r="D3188" s="1" t="str">
        <f>"انبار دارايي ثابت اصفهان"</f>
        <v>انبار دارايي ثابت اصفهان</v>
      </c>
      <c r="E3188" s="1" t="str">
        <f>"0000060262"</f>
        <v>0000060262</v>
      </c>
      <c r="F3188" s="1" t="str">
        <f>"نرم افزار کنترل و مانيتورينگ در ترمينال داخلي"</f>
        <v>نرم افزار کنترل و مانيتورينگ در ترمينال داخلي</v>
      </c>
      <c r="G3188" s="1" t="str">
        <f>"عدد"</f>
        <v>عدد</v>
      </c>
      <c r="H3188" s="1">
        <v>1</v>
      </c>
      <c r="I3188" s="1">
        <v>322098800</v>
      </c>
      <c r="J3188" s="1">
        <v>0</v>
      </c>
      <c r="K3188" s="1">
        <v>0</v>
      </c>
      <c r="L3188" s="1">
        <v>0</v>
      </c>
      <c r="M3188" s="1">
        <v>0</v>
      </c>
      <c r="O3188" s="1">
        <v>97</v>
      </c>
      <c r="P3188" s="4">
        <f t="shared" si="147"/>
        <v>322098800</v>
      </c>
      <c r="Q3188" s="4">
        <f t="shared" si="148"/>
        <v>1</v>
      </c>
      <c r="R3188" s="4">
        <f t="shared" si="149"/>
        <v>322098800</v>
      </c>
    </row>
    <row r="3189" spans="1:18" hidden="1">
      <c r="A3189" s="1">
        <v>9</v>
      </c>
      <c r="B3189" s="1" t="str">
        <f>"موجودي داراييهاي ثابت نزد انبار"</f>
        <v>موجودي داراييهاي ثابت نزد انبار</v>
      </c>
      <c r="C3189" s="1">
        <v>117</v>
      </c>
      <c r="D3189" s="1" t="str">
        <f>"انبار دارايي ثابت اصفهان"</f>
        <v>انبار دارايي ثابت اصفهان</v>
      </c>
      <c r="E3189" s="1" t="str">
        <f>"1301020532"</f>
        <v>1301020532</v>
      </c>
      <c r="F3189" s="1" t="str">
        <f>"قفسه بندي"</f>
        <v>قفسه بندي</v>
      </c>
      <c r="G3189" s="1" t="str">
        <f>"مجموعه"</f>
        <v>مجموعه</v>
      </c>
      <c r="H3189" s="1">
        <v>0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O3189" s="1">
        <v>97</v>
      </c>
      <c r="P3189" s="1">
        <f t="shared" si="147"/>
        <v>0</v>
      </c>
      <c r="Q3189" s="1">
        <f t="shared" si="148"/>
        <v>0</v>
      </c>
      <c r="R3189" s="1" t="e">
        <f t="shared" si="149"/>
        <v>#DIV/0!</v>
      </c>
    </row>
    <row r="3190" spans="1:18" hidden="1">
      <c r="A3190" s="1">
        <v>9</v>
      </c>
      <c r="B3190" s="1" t="str">
        <f>"موجودي داراييهاي ثابت نزد انبار"</f>
        <v>موجودي داراييهاي ثابت نزد انبار</v>
      </c>
      <c r="C3190" s="1">
        <v>117</v>
      </c>
      <c r="D3190" s="1" t="str">
        <f>"انبار دارايي ثابت اصفهان"</f>
        <v>انبار دارايي ثابت اصفهان</v>
      </c>
      <c r="E3190" s="1" t="str">
        <f>"1301021212"</f>
        <v>1301021212</v>
      </c>
      <c r="F3190" s="1" t="str">
        <f>"باسکول نيسان کش ابعاد 4*2"</f>
        <v>باسکول نيسان کش ابعاد 4*2</v>
      </c>
      <c r="G3190" s="1" t="str">
        <f>"دستگاه"</f>
        <v>دستگاه</v>
      </c>
      <c r="H3190" s="1">
        <v>0</v>
      </c>
      <c r="I3190" s="1">
        <v>0</v>
      </c>
      <c r="J3190" s="1">
        <v>1</v>
      </c>
      <c r="K3190" s="1">
        <v>116000000</v>
      </c>
      <c r="L3190" s="1">
        <v>1</v>
      </c>
      <c r="M3190" s="1">
        <v>116000000</v>
      </c>
      <c r="O3190" s="1">
        <v>97</v>
      </c>
      <c r="P3190" s="1">
        <f t="shared" si="147"/>
        <v>0</v>
      </c>
      <c r="Q3190" s="1">
        <f t="shared" si="148"/>
        <v>0</v>
      </c>
      <c r="R3190" s="1" t="e">
        <f t="shared" si="149"/>
        <v>#DIV/0!</v>
      </c>
    </row>
    <row r="3191" spans="1:18" hidden="1">
      <c r="A3191" s="1">
        <v>9</v>
      </c>
      <c r="B3191" s="1" t="str">
        <f>"موجودي داراييهاي ثابت نزد انبار"</f>
        <v>موجودي داراييهاي ثابت نزد انبار</v>
      </c>
      <c r="C3191" s="1">
        <v>117</v>
      </c>
      <c r="D3191" s="1" t="str">
        <f>"انبار دارايي ثابت اصفهان"</f>
        <v>انبار دارايي ثابت اصفهان</v>
      </c>
      <c r="E3191" s="1" t="str">
        <f>"1301021292"</f>
        <v>1301021292</v>
      </c>
      <c r="F3191" s="1" t="str">
        <f>"کپسول 12 کيلوئي پودر و گاز"</f>
        <v>کپسول 12 کيلوئي پودر و گاز</v>
      </c>
      <c r="G3191" s="1" t="str">
        <f>"عدد"</f>
        <v>عدد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O3191" s="1">
        <v>97</v>
      </c>
      <c r="P3191" s="1">
        <f t="shared" si="147"/>
        <v>0</v>
      </c>
      <c r="Q3191" s="1">
        <f t="shared" si="148"/>
        <v>0</v>
      </c>
      <c r="R3191" s="1" t="e">
        <f t="shared" si="149"/>
        <v>#DIV/0!</v>
      </c>
    </row>
    <row r="3192" spans="1:18" hidden="1">
      <c r="A3192" s="1">
        <v>9</v>
      </c>
      <c r="B3192" s="1" t="str">
        <f>"موجودي داراييهاي ثابت نزد انبار"</f>
        <v>موجودي داراييهاي ثابت نزد انبار</v>
      </c>
      <c r="C3192" s="1">
        <v>117</v>
      </c>
      <c r="D3192" s="1" t="str">
        <f>"انبار دارايي ثابت اصفهان"</f>
        <v>انبار دارايي ثابت اصفهان</v>
      </c>
      <c r="E3192" s="1" t="str">
        <f>"1301021342"</f>
        <v>1301021342</v>
      </c>
      <c r="F3192" s="1" t="str">
        <f>"کانکس  2/40 * 6"</f>
        <v>کانکس  2/40 * 6</v>
      </c>
      <c r="G3192" s="1" t="str">
        <f>"دستگاه"</f>
        <v>دستگاه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O3192" s="1">
        <v>97</v>
      </c>
      <c r="P3192" s="1">
        <f t="shared" si="147"/>
        <v>0</v>
      </c>
      <c r="Q3192" s="1">
        <f t="shared" si="148"/>
        <v>0</v>
      </c>
      <c r="R3192" s="1" t="e">
        <f t="shared" si="149"/>
        <v>#DIV/0!</v>
      </c>
    </row>
    <row r="3193" spans="1:18" hidden="1">
      <c r="A3193" s="1">
        <v>9</v>
      </c>
      <c r="B3193" s="1" t="str">
        <f>"موجودي داراييهاي ثابت نزد انبار"</f>
        <v>موجودي داراييهاي ثابت نزد انبار</v>
      </c>
      <c r="C3193" s="1">
        <v>117</v>
      </c>
      <c r="D3193" s="1" t="str">
        <f>"انبار دارايي ثابت اصفهان"</f>
        <v>انبار دارايي ثابت اصفهان</v>
      </c>
      <c r="E3193" s="1" t="str">
        <f>"1301021442"</f>
        <v>1301021442</v>
      </c>
      <c r="F3193" s="1" t="str">
        <f>"کمد سه درب"</f>
        <v>کمد سه درب</v>
      </c>
      <c r="G3193" s="1" t="str">
        <f>"عدد"</f>
        <v>عدد</v>
      </c>
      <c r="H3193" s="1">
        <v>0</v>
      </c>
      <c r="I3193" s="1">
        <v>0</v>
      </c>
      <c r="J3193" s="1">
        <v>0</v>
      </c>
      <c r="K3193" s="1">
        <v>0</v>
      </c>
      <c r="L3193" s="1">
        <v>0</v>
      </c>
      <c r="M3193" s="1">
        <v>0</v>
      </c>
      <c r="O3193" s="1">
        <v>97</v>
      </c>
      <c r="P3193" s="1">
        <f t="shared" si="147"/>
        <v>0</v>
      </c>
      <c r="Q3193" s="1">
        <f t="shared" si="148"/>
        <v>0</v>
      </c>
      <c r="R3193" s="1" t="e">
        <f t="shared" si="149"/>
        <v>#DIV/0!</v>
      </c>
    </row>
    <row r="3194" spans="1:18" hidden="1">
      <c r="A3194" s="1">
        <v>9</v>
      </c>
      <c r="B3194" s="1" t="str">
        <f>"موجودي داراييهاي ثابت نزد انبار"</f>
        <v>موجودي داراييهاي ثابت نزد انبار</v>
      </c>
      <c r="C3194" s="1">
        <v>117</v>
      </c>
      <c r="D3194" s="1" t="str">
        <f>"انبار دارايي ثابت اصفهان"</f>
        <v>انبار دارايي ثابت اصفهان</v>
      </c>
      <c r="E3194" s="1" t="str">
        <f>"1301021492"</f>
        <v>1301021492</v>
      </c>
      <c r="F3194" s="1" t="str">
        <f>"چاي ساز"</f>
        <v>چاي ساز</v>
      </c>
      <c r="G3194" s="1" t="str">
        <f>"عدد"</f>
        <v>عدد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O3194" s="1">
        <v>97</v>
      </c>
      <c r="P3194" s="1">
        <f t="shared" si="147"/>
        <v>0</v>
      </c>
      <c r="Q3194" s="1">
        <f t="shared" si="148"/>
        <v>0</v>
      </c>
      <c r="R3194" s="1" t="e">
        <f t="shared" si="149"/>
        <v>#DIV/0!</v>
      </c>
    </row>
    <row r="3195" spans="1:18" hidden="1">
      <c r="A3195" s="1">
        <v>9</v>
      </c>
      <c r="B3195" s="1" t="str">
        <f>"موجودي داراييهاي ثابت نزد انبار"</f>
        <v>موجودي داراييهاي ثابت نزد انبار</v>
      </c>
      <c r="C3195" s="1">
        <v>117</v>
      </c>
      <c r="D3195" s="1" t="str">
        <f>"انبار دارايي ثابت اصفهان"</f>
        <v>انبار دارايي ثابت اصفهان</v>
      </c>
      <c r="E3195" s="1" t="str">
        <f>"1301021502"</f>
        <v>1301021502</v>
      </c>
      <c r="F3195" s="1" t="str">
        <f>"ماشين ظرفشويي"</f>
        <v>ماشين ظرفشويي</v>
      </c>
      <c r="G3195" s="1" t="str">
        <f>"دستگاه"</f>
        <v>دستگاه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</v>
      </c>
      <c r="O3195" s="1">
        <v>97</v>
      </c>
      <c r="P3195" s="1">
        <f t="shared" si="147"/>
        <v>0</v>
      </c>
      <c r="Q3195" s="1">
        <f t="shared" si="148"/>
        <v>0</v>
      </c>
      <c r="R3195" s="1" t="e">
        <f t="shared" si="149"/>
        <v>#DIV/0!</v>
      </c>
    </row>
    <row r="3196" spans="1:18">
      <c r="A3196" s="1">
        <v>9</v>
      </c>
      <c r="B3196" s="1" t="str">
        <f>"موجودي داراييهاي ثابت نزد انبار"</f>
        <v>موجودي داراييهاي ثابت نزد انبار</v>
      </c>
      <c r="C3196" s="1">
        <v>117</v>
      </c>
      <c r="D3196" s="1" t="str">
        <f>"انبار دارايي ثابت اصفهان"</f>
        <v>انبار دارايي ثابت اصفهان</v>
      </c>
      <c r="E3196" s="1" t="str">
        <f>"1301021622"</f>
        <v>1301021622</v>
      </c>
      <c r="F3196" s="1" t="str">
        <f>"هيتر سنگي دوقلو"</f>
        <v>هيتر سنگي دوقلو</v>
      </c>
      <c r="G3196" s="1" t="str">
        <f>"دستگاه"</f>
        <v>دستگاه</v>
      </c>
      <c r="H3196" s="1">
        <v>0</v>
      </c>
      <c r="I3196" s="1">
        <v>0</v>
      </c>
      <c r="J3196" s="1">
        <v>2</v>
      </c>
      <c r="K3196" s="1">
        <v>5200000</v>
      </c>
      <c r="L3196" s="1">
        <v>0</v>
      </c>
      <c r="M3196" s="1">
        <v>0</v>
      </c>
      <c r="O3196" s="1">
        <v>97</v>
      </c>
      <c r="P3196" s="4">
        <f t="shared" si="147"/>
        <v>5200000</v>
      </c>
      <c r="Q3196" s="4">
        <f t="shared" si="148"/>
        <v>2</v>
      </c>
      <c r="R3196" s="4">
        <f t="shared" si="149"/>
        <v>2600000</v>
      </c>
    </row>
    <row r="3197" spans="1:18" hidden="1">
      <c r="A3197" s="1">
        <v>9</v>
      </c>
      <c r="B3197" s="1" t="str">
        <f>"موجودي داراييهاي ثابت نزد انبار"</f>
        <v>موجودي داراييهاي ثابت نزد انبار</v>
      </c>
      <c r="C3197" s="1">
        <v>117</v>
      </c>
      <c r="D3197" s="1" t="str">
        <f>"انبار دارايي ثابت اصفهان"</f>
        <v>انبار دارايي ثابت اصفهان</v>
      </c>
      <c r="E3197" s="1" t="str">
        <f>"1301021652"</f>
        <v>1301021652</v>
      </c>
      <c r="F3197" s="1" t="str">
        <f>"پرينتر 4کاره HP426"</f>
        <v>پرينتر 4کاره HP426</v>
      </c>
      <c r="G3197" s="1" t="str">
        <f>"دستگاه"</f>
        <v>دستگاه</v>
      </c>
      <c r="H3197" s="1">
        <v>0</v>
      </c>
      <c r="I3197" s="1">
        <v>0</v>
      </c>
      <c r="J3197" s="1">
        <v>1</v>
      </c>
      <c r="K3197" s="1">
        <v>25850000</v>
      </c>
      <c r="L3197" s="1">
        <v>1</v>
      </c>
      <c r="M3197" s="1">
        <v>25850000</v>
      </c>
      <c r="O3197" s="1">
        <v>97</v>
      </c>
      <c r="P3197" s="1">
        <f t="shared" si="147"/>
        <v>0</v>
      </c>
      <c r="Q3197" s="1">
        <f t="shared" si="148"/>
        <v>0</v>
      </c>
      <c r="R3197" s="1" t="e">
        <f t="shared" si="149"/>
        <v>#DIV/0!</v>
      </c>
    </row>
    <row r="3198" spans="1:18" hidden="1">
      <c r="A3198" s="1">
        <v>9</v>
      </c>
      <c r="B3198" s="1" t="str">
        <f>"موجودي داراييهاي ثابت نزد انبار"</f>
        <v>موجودي داراييهاي ثابت نزد انبار</v>
      </c>
      <c r="C3198" s="1">
        <v>117</v>
      </c>
      <c r="D3198" s="1" t="str">
        <f>"انبار دارايي ثابت اصفهان"</f>
        <v>انبار دارايي ثابت اصفهان</v>
      </c>
      <c r="E3198" s="1" t="str">
        <f>"1301021662"</f>
        <v>1301021662</v>
      </c>
      <c r="F3198" s="1" t="str">
        <f>"ميز دوطبقه کامل ورق بادرب"</f>
        <v>ميز دوطبقه کامل ورق بادرب</v>
      </c>
      <c r="G3198" s="1" t="str">
        <f>"عدد"</f>
        <v>عدد</v>
      </c>
      <c r="H3198" s="1">
        <v>0</v>
      </c>
      <c r="I3198" s="1">
        <v>0</v>
      </c>
      <c r="J3198" s="1">
        <v>1</v>
      </c>
      <c r="K3198" s="1">
        <v>8700000</v>
      </c>
      <c r="L3198" s="1">
        <v>1</v>
      </c>
      <c r="M3198" s="1">
        <v>8700000</v>
      </c>
      <c r="O3198" s="1">
        <v>97</v>
      </c>
      <c r="P3198" s="1">
        <f t="shared" si="147"/>
        <v>0</v>
      </c>
      <c r="Q3198" s="1">
        <f t="shared" si="148"/>
        <v>0</v>
      </c>
      <c r="R3198" s="1" t="e">
        <f t="shared" si="149"/>
        <v>#DIV/0!</v>
      </c>
    </row>
    <row r="3199" spans="1:18" hidden="1">
      <c r="A3199" s="1">
        <v>9</v>
      </c>
      <c r="B3199" s="1" t="str">
        <f>"موجودي داراييهاي ثابت نزد انبار"</f>
        <v>موجودي داراييهاي ثابت نزد انبار</v>
      </c>
      <c r="C3199" s="1">
        <v>117</v>
      </c>
      <c r="D3199" s="1" t="str">
        <f>"انبار دارايي ثابت اصفهان"</f>
        <v>انبار دارايي ثابت اصفهان</v>
      </c>
      <c r="E3199" s="1" t="str">
        <f>"6001010042"</f>
        <v>6001010042</v>
      </c>
      <c r="F3199" s="1" t="str">
        <f>"Viscosity transmitter Manmex VS-4450"</f>
        <v>Viscosity transmitter Manmex VS-4450</v>
      </c>
      <c r="G3199" s="1" t="str">
        <f>"عدد"</f>
        <v>عدد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O3199" s="1">
        <v>97</v>
      </c>
      <c r="P3199" s="1">
        <f t="shared" si="147"/>
        <v>0</v>
      </c>
      <c r="Q3199" s="1">
        <f t="shared" si="148"/>
        <v>0</v>
      </c>
      <c r="R3199" s="1" t="e">
        <f t="shared" si="149"/>
        <v>#DIV/0!</v>
      </c>
    </row>
    <row r="3200" spans="1:18" hidden="1">
      <c r="A3200" s="1">
        <v>9</v>
      </c>
      <c r="B3200" s="1" t="str">
        <f>"موجودي داراييهاي ثابت نزد انبار"</f>
        <v>موجودي داراييهاي ثابت نزد انبار</v>
      </c>
      <c r="C3200" s="1">
        <v>119</v>
      </c>
      <c r="D3200" s="1" t="str">
        <f>"انبار دارايي ثابت تهران"</f>
        <v>انبار دارايي ثابت تهران</v>
      </c>
      <c r="E3200" s="1" t="str">
        <f>"0000009032"</f>
        <v>0000009032</v>
      </c>
      <c r="F3200" s="1" t="str">
        <f>"computer intel G3220"</f>
        <v>computer intel G3220</v>
      </c>
      <c r="G3200" s="1" t="str">
        <f>"دستگاه"</f>
        <v>دستگاه</v>
      </c>
      <c r="H3200" s="1">
        <v>1</v>
      </c>
      <c r="I3200" s="1">
        <v>11140000</v>
      </c>
      <c r="J3200" s="1">
        <v>0</v>
      </c>
      <c r="K3200" s="1">
        <v>0</v>
      </c>
      <c r="L3200" s="1">
        <v>1</v>
      </c>
      <c r="M3200" s="1">
        <v>11140000</v>
      </c>
      <c r="O3200" s="1">
        <v>97</v>
      </c>
      <c r="P3200" s="1">
        <f t="shared" si="147"/>
        <v>0</v>
      </c>
      <c r="Q3200" s="1">
        <f t="shared" si="148"/>
        <v>0</v>
      </c>
      <c r="R3200" s="1" t="e">
        <f t="shared" si="149"/>
        <v>#DIV/0!</v>
      </c>
    </row>
    <row r="3201" spans="1:18">
      <c r="A3201" s="1">
        <v>9</v>
      </c>
      <c r="B3201" s="1" t="str">
        <f>"موجودي داراييهاي ثابت نزد انبار"</f>
        <v>موجودي داراييهاي ثابت نزد انبار</v>
      </c>
      <c r="C3201" s="1">
        <v>119</v>
      </c>
      <c r="D3201" s="1" t="str">
        <f>"انبار دارايي ثابت تهران"</f>
        <v>انبار دارايي ثابت تهران</v>
      </c>
      <c r="E3201" s="1" t="str">
        <f>"0000009131"</f>
        <v>0000009131</v>
      </c>
      <c r="F3201" s="1" t="str">
        <f>"تلفن پاناسونيک TS-880MX"</f>
        <v>تلفن پاناسونيک TS-880MX</v>
      </c>
      <c r="G3201" s="1" t="str">
        <f>"دستگاه"</f>
        <v>دستگاه</v>
      </c>
      <c r="H3201" s="1">
        <v>1</v>
      </c>
      <c r="I3201" s="1">
        <v>1400000</v>
      </c>
      <c r="J3201" s="1">
        <v>0</v>
      </c>
      <c r="K3201" s="1">
        <v>0</v>
      </c>
      <c r="L3201" s="1">
        <v>0</v>
      </c>
      <c r="M3201" s="1">
        <v>0</v>
      </c>
      <c r="O3201" s="1">
        <v>97</v>
      </c>
      <c r="P3201" s="4">
        <f t="shared" si="147"/>
        <v>1400000</v>
      </c>
      <c r="Q3201" s="4">
        <f t="shared" si="148"/>
        <v>1</v>
      </c>
      <c r="R3201" s="4">
        <f t="shared" si="149"/>
        <v>1400000</v>
      </c>
    </row>
    <row r="3202" spans="1:18">
      <c r="A3202" s="1">
        <v>9</v>
      </c>
      <c r="B3202" s="1" t="str">
        <f>"موجودي داراييهاي ثابت نزد انبار"</f>
        <v>موجودي داراييهاي ثابت نزد انبار</v>
      </c>
      <c r="C3202" s="1">
        <v>119</v>
      </c>
      <c r="D3202" s="1" t="str">
        <f>"انبار دارايي ثابت تهران"</f>
        <v>انبار دارايي ثابت تهران</v>
      </c>
      <c r="E3202" s="1" t="str">
        <f>"0000009539"</f>
        <v>0000009539</v>
      </c>
      <c r="F3202" s="1" t="str">
        <f>"printer hp loserjet m609dn"</f>
        <v>printer hp loserjet m609dn</v>
      </c>
      <c r="G3202" s="1" t="str">
        <f>"دستگاه"</f>
        <v>دستگاه</v>
      </c>
      <c r="H3202" s="1">
        <v>0</v>
      </c>
      <c r="I3202" s="1">
        <v>0</v>
      </c>
      <c r="J3202" s="1">
        <v>1</v>
      </c>
      <c r="K3202" s="1">
        <v>48500000</v>
      </c>
      <c r="L3202" s="1">
        <v>0</v>
      </c>
      <c r="M3202" s="1">
        <v>0</v>
      </c>
      <c r="O3202" s="1">
        <v>97</v>
      </c>
      <c r="P3202" s="4">
        <f t="shared" si="147"/>
        <v>48500000</v>
      </c>
      <c r="Q3202" s="4">
        <f t="shared" si="148"/>
        <v>1</v>
      </c>
      <c r="R3202" s="4">
        <f t="shared" si="149"/>
        <v>48500000</v>
      </c>
    </row>
    <row r="3203" spans="1:18" hidden="1">
      <c r="A3203" s="1">
        <v>9</v>
      </c>
      <c r="B3203" s="1" t="str">
        <f>"موجودي داراييهاي ثابت نزد انبار"</f>
        <v>موجودي داراييهاي ثابت نزد انبار</v>
      </c>
      <c r="C3203" s="1">
        <v>119</v>
      </c>
      <c r="D3203" s="1" t="str">
        <f>"انبار دارايي ثابت تهران"</f>
        <v>انبار دارايي ثابت تهران</v>
      </c>
      <c r="E3203" s="1" t="str">
        <f>"0000009553"</f>
        <v>0000009553</v>
      </c>
      <c r="F3203" s="1" t="str">
        <f>"دوربين فيلمبرداري Sony HDR-PJ410 Camcorder  همراه با كيف و سه پايه"</f>
        <v>دوربين فيلمبرداري Sony HDR-PJ410 Camcorder  همراه با كيف و سه پايه</v>
      </c>
      <c r="G3203" s="1" t="str">
        <f>"دستگاه"</f>
        <v>دستگاه</v>
      </c>
      <c r="H3203" s="1">
        <v>0</v>
      </c>
      <c r="I3203" s="1">
        <v>0</v>
      </c>
      <c r="J3203" s="1">
        <v>1</v>
      </c>
      <c r="K3203" s="1">
        <v>50000000</v>
      </c>
      <c r="L3203" s="1">
        <v>1</v>
      </c>
      <c r="M3203" s="1">
        <v>50000000</v>
      </c>
      <c r="O3203" s="1">
        <v>97</v>
      </c>
      <c r="P3203" s="1">
        <f t="shared" ref="P3203:P3266" si="150">I3203+K3203-M3203</f>
        <v>0</v>
      </c>
      <c r="Q3203" s="1">
        <f t="shared" ref="Q3203:Q3266" si="151">H3203+J3203-L3203</f>
        <v>0</v>
      </c>
      <c r="R3203" s="1" t="e">
        <f t="shared" ref="R3203:R3266" si="152">P3203/Q3203</f>
        <v>#DIV/0!</v>
      </c>
    </row>
    <row r="3204" spans="1:18">
      <c r="A3204" s="1">
        <v>2</v>
      </c>
      <c r="B3204" s="1" t="str">
        <f>"قطعات و لوازم يدكي"</f>
        <v>قطعات و لوازم يدكي</v>
      </c>
      <c r="C3204" s="1">
        <v>205</v>
      </c>
      <c r="D3204" s="1" t="str">
        <f>"انبار قطعات و لوازم يدكي بندرعباس"</f>
        <v>انبار قطعات و لوازم يدكي بندرعباس</v>
      </c>
      <c r="E3204" s="1" t="str">
        <f>"1800000581"</f>
        <v>1800000581</v>
      </c>
      <c r="F3204" s="1" t="str">
        <f>"گسکت کاغذي 3/4"</f>
        <v>گسکت کاغذي 3/4</v>
      </c>
      <c r="G3204" s="1" t="str">
        <f>"عدد"</f>
        <v>عدد</v>
      </c>
      <c r="H3204" s="1">
        <v>7</v>
      </c>
      <c r="I3204" s="1">
        <v>602000</v>
      </c>
      <c r="J3204" s="1">
        <v>0</v>
      </c>
      <c r="K3204" s="1">
        <v>0</v>
      </c>
      <c r="L3204" s="1">
        <v>0</v>
      </c>
      <c r="M3204" s="1">
        <v>0</v>
      </c>
      <c r="O3204" s="1">
        <v>97</v>
      </c>
      <c r="P3204" s="4">
        <f t="shared" si="150"/>
        <v>602000</v>
      </c>
      <c r="Q3204" s="4">
        <f t="shared" si="151"/>
        <v>7</v>
      </c>
      <c r="R3204" s="4">
        <f t="shared" si="152"/>
        <v>86000</v>
      </c>
    </row>
    <row r="3205" spans="1:18">
      <c r="A3205" s="1">
        <v>2</v>
      </c>
      <c r="B3205" s="1" t="str">
        <f>"قطعات و لوازم يدكي"</f>
        <v>قطعات و لوازم يدكي</v>
      </c>
      <c r="C3205" s="1">
        <v>205</v>
      </c>
      <c r="D3205" s="1" t="str">
        <f>"انبار قطعات و لوازم يدكي بندرعباس"</f>
        <v>انبار قطعات و لوازم يدكي بندرعباس</v>
      </c>
      <c r="E3205" s="1" t="str">
        <f>"1800000586"</f>
        <v>1800000586</v>
      </c>
      <c r="F3205" s="1" t="str">
        <f>"گسکت کاغذي 12"</f>
        <v>گسکت کاغذي 12</v>
      </c>
      <c r="G3205" s="1" t="str">
        <f>"عدد"</f>
        <v>عدد</v>
      </c>
      <c r="H3205" s="1">
        <v>5</v>
      </c>
      <c r="I3205" s="1">
        <v>3200000</v>
      </c>
      <c r="J3205" s="1">
        <v>0</v>
      </c>
      <c r="K3205" s="1">
        <v>0</v>
      </c>
      <c r="L3205" s="1">
        <v>0</v>
      </c>
      <c r="M3205" s="1">
        <v>0</v>
      </c>
      <c r="O3205" s="1">
        <v>97</v>
      </c>
      <c r="P3205" s="4">
        <f t="shared" si="150"/>
        <v>3200000</v>
      </c>
      <c r="Q3205" s="4">
        <f t="shared" si="151"/>
        <v>5</v>
      </c>
      <c r="R3205" s="4">
        <f t="shared" si="152"/>
        <v>640000</v>
      </c>
    </row>
    <row r="3206" spans="1:18">
      <c r="A3206" s="1">
        <v>2</v>
      </c>
      <c r="B3206" s="1" t="str">
        <f>"قطعات و لوازم يدكي"</f>
        <v>قطعات و لوازم يدكي</v>
      </c>
      <c r="C3206" s="1">
        <v>205</v>
      </c>
      <c r="D3206" s="1" t="str">
        <f>"انبار قطعات و لوازم يدكي بندرعباس"</f>
        <v>انبار قطعات و لوازم يدكي بندرعباس</v>
      </c>
      <c r="E3206" s="1" t="str">
        <f>"1800000632"</f>
        <v>1800000632</v>
      </c>
      <c r="F3206" s="1" t="str">
        <f>"لوله پلي اتيلن 16"</f>
        <v>لوله پلي اتيلن 16</v>
      </c>
      <c r="G3206" s="1" t="str">
        <f>"رول"</f>
        <v>رول</v>
      </c>
      <c r="H3206" s="1">
        <v>1</v>
      </c>
      <c r="I3206" s="1">
        <v>80000</v>
      </c>
      <c r="J3206" s="1">
        <v>0</v>
      </c>
      <c r="K3206" s="1">
        <v>0</v>
      </c>
      <c r="L3206" s="1">
        <v>0</v>
      </c>
      <c r="M3206" s="1">
        <v>0</v>
      </c>
      <c r="O3206" s="1">
        <v>97</v>
      </c>
      <c r="P3206" s="4">
        <f t="shared" si="150"/>
        <v>80000</v>
      </c>
      <c r="Q3206" s="4">
        <f t="shared" si="151"/>
        <v>1</v>
      </c>
      <c r="R3206" s="4">
        <f t="shared" si="152"/>
        <v>80000</v>
      </c>
    </row>
    <row r="3207" spans="1:18">
      <c r="A3207" s="1">
        <v>2</v>
      </c>
      <c r="B3207" s="1" t="str">
        <f>"قطعات و لوازم يدكي"</f>
        <v>قطعات و لوازم يدكي</v>
      </c>
      <c r="C3207" s="1">
        <v>205</v>
      </c>
      <c r="D3207" s="1" t="str">
        <f>"انبار قطعات و لوازم يدكي بندرعباس"</f>
        <v>انبار قطعات و لوازم يدكي بندرعباس</v>
      </c>
      <c r="E3207" s="1" t="str">
        <f>"1800000642"</f>
        <v>1800000642</v>
      </c>
      <c r="F3207" s="1" t="str">
        <f>"لوله کاندويت 21"</f>
        <v>لوله کاندويت 21</v>
      </c>
      <c r="G3207" s="1" t="str">
        <f>"متر"</f>
        <v>متر</v>
      </c>
      <c r="H3207" s="1">
        <v>27</v>
      </c>
      <c r="I3207" s="1">
        <v>3240000</v>
      </c>
      <c r="J3207" s="1">
        <v>0</v>
      </c>
      <c r="K3207" s="1">
        <v>0</v>
      </c>
      <c r="L3207" s="1">
        <v>0</v>
      </c>
      <c r="M3207" s="1">
        <v>0</v>
      </c>
      <c r="O3207" s="1">
        <v>97</v>
      </c>
      <c r="P3207" s="4">
        <f t="shared" si="150"/>
        <v>3240000</v>
      </c>
      <c r="Q3207" s="4">
        <f t="shared" si="151"/>
        <v>27</v>
      </c>
      <c r="R3207" s="4">
        <f t="shared" si="152"/>
        <v>120000</v>
      </c>
    </row>
    <row r="3208" spans="1:18">
      <c r="A3208" s="1">
        <v>2</v>
      </c>
      <c r="B3208" s="1" t="str">
        <f>"قطعات و لوازم يدكي"</f>
        <v>قطعات و لوازم يدكي</v>
      </c>
      <c r="C3208" s="1">
        <v>205</v>
      </c>
      <c r="D3208" s="1" t="str">
        <f>"انبار قطعات و لوازم يدكي بندرعباس"</f>
        <v>انبار قطعات و لوازم يدكي بندرعباس</v>
      </c>
      <c r="E3208" s="1" t="str">
        <f>"1800000645"</f>
        <v>1800000645</v>
      </c>
      <c r="F3208" s="1" t="str">
        <f>"لوله و اتصالات 3 اينچ"</f>
        <v>لوله و اتصالات 3 اينچ</v>
      </c>
      <c r="G3208" s="1" t="str">
        <f>"عدد"</f>
        <v>عدد</v>
      </c>
      <c r="H3208" s="1">
        <v>1</v>
      </c>
      <c r="I3208" s="1">
        <v>250000</v>
      </c>
      <c r="J3208" s="1">
        <v>0</v>
      </c>
      <c r="K3208" s="1">
        <v>0</v>
      </c>
      <c r="L3208" s="1">
        <v>0</v>
      </c>
      <c r="M3208" s="1">
        <v>0</v>
      </c>
      <c r="O3208" s="1">
        <v>97</v>
      </c>
      <c r="P3208" s="4">
        <f t="shared" si="150"/>
        <v>250000</v>
      </c>
      <c r="Q3208" s="4">
        <f t="shared" si="151"/>
        <v>1</v>
      </c>
      <c r="R3208" s="4">
        <f t="shared" si="152"/>
        <v>250000</v>
      </c>
    </row>
    <row r="3209" spans="1:18">
      <c r="A3209" s="1">
        <v>2</v>
      </c>
      <c r="B3209" s="1" t="str">
        <f>"قطعات و لوازم يدكي"</f>
        <v>قطعات و لوازم يدكي</v>
      </c>
      <c r="C3209" s="1">
        <v>205</v>
      </c>
      <c r="D3209" s="1" t="str">
        <f>"انبار قطعات و لوازم يدكي بندرعباس"</f>
        <v>انبار قطعات و لوازم يدكي بندرعباس</v>
      </c>
      <c r="E3209" s="1" t="str">
        <f>"1800000671"</f>
        <v>1800000671</v>
      </c>
      <c r="F3209" s="1" t="str">
        <f>"مکانيکال سيل پمپ روغن داغ"</f>
        <v>مکانيکال سيل پمپ روغن داغ</v>
      </c>
      <c r="G3209" s="1" t="str">
        <f>"ST"</f>
        <v>ST</v>
      </c>
      <c r="H3209" s="1">
        <v>6</v>
      </c>
      <c r="I3209" s="1">
        <v>48000000</v>
      </c>
      <c r="J3209" s="1">
        <v>0</v>
      </c>
      <c r="K3209" s="1">
        <v>0</v>
      </c>
      <c r="L3209" s="1">
        <v>2</v>
      </c>
      <c r="M3209" s="1">
        <v>16000000</v>
      </c>
      <c r="O3209" s="1">
        <v>97</v>
      </c>
      <c r="P3209" s="4">
        <f t="shared" si="150"/>
        <v>32000000</v>
      </c>
      <c r="Q3209" s="4">
        <f t="shared" si="151"/>
        <v>4</v>
      </c>
      <c r="R3209" s="4">
        <f t="shared" si="152"/>
        <v>8000000</v>
      </c>
    </row>
    <row r="3210" spans="1:18">
      <c r="A3210" s="1">
        <v>2</v>
      </c>
      <c r="B3210" s="1" t="str">
        <f>"قطعات و لوازم يدكي"</f>
        <v>قطعات و لوازم يدكي</v>
      </c>
      <c r="C3210" s="1">
        <v>205</v>
      </c>
      <c r="D3210" s="1" t="str">
        <f>"انبار قطعات و لوازم يدكي بندرعباس"</f>
        <v>انبار قطعات و لوازم يدكي بندرعباس</v>
      </c>
      <c r="E3210" s="1" t="str">
        <f>"1800000677"</f>
        <v>1800000677</v>
      </c>
      <c r="F3210" s="1" t="str">
        <f>"نواردرزگير"</f>
        <v>نواردرزگير</v>
      </c>
      <c r="G3210" s="1" t="str">
        <f>"عدد"</f>
        <v>عدد</v>
      </c>
      <c r="H3210" s="1">
        <v>3</v>
      </c>
      <c r="I3210" s="1">
        <v>300000</v>
      </c>
      <c r="J3210" s="1">
        <v>0</v>
      </c>
      <c r="K3210" s="1">
        <v>0</v>
      </c>
      <c r="L3210" s="1">
        <v>0</v>
      </c>
      <c r="M3210" s="1">
        <v>0</v>
      </c>
      <c r="O3210" s="1">
        <v>97</v>
      </c>
      <c r="P3210" s="4">
        <f t="shared" si="150"/>
        <v>300000</v>
      </c>
      <c r="Q3210" s="4">
        <f t="shared" si="151"/>
        <v>3</v>
      </c>
      <c r="R3210" s="4">
        <f t="shared" si="152"/>
        <v>100000</v>
      </c>
    </row>
    <row r="3211" spans="1:18">
      <c r="A3211" s="1">
        <v>2</v>
      </c>
      <c r="B3211" s="1" t="str">
        <f>"قطعات و لوازم يدكي"</f>
        <v>قطعات و لوازم يدكي</v>
      </c>
      <c r="C3211" s="1">
        <v>205</v>
      </c>
      <c r="D3211" s="1" t="str">
        <f>"انبار قطعات و لوازم يدكي بندرعباس"</f>
        <v>انبار قطعات و لوازم يدكي بندرعباس</v>
      </c>
      <c r="E3211" s="1" t="str">
        <f>"1800000690"</f>
        <v>1800000690</v>
      </c>
      <c r="F3211" s="1" t="str">
        <f>"واشر فنري 1"</f>
        <v>واشر فنري 1</v>
      </c>
      <c r="G3211" s="1" t="str">
        <f>"عدد"</f>
        <v>عدد</v>
      </c>
      <c r="H3211" s="1">
        <v>20</v>
      </c>
      <c r="I3211" s="1">
        <v>4000</v>
      </c>
      <c r="J3211" s="1">
        <v>0</v>
      </c>
      <c r="K3211" s="1">
        <v>0</v>
      </c>
      <c r="L3211" s="1">
        <v>0</v>
      </c>
      <c r="M3211" s="1">
        <v>0</v>
      </c>
      <c r="O3211" s="1">
        <v>97</v>
      </c>
      <c r="P3211" s="4">
        <f t="shared" si="150"/>
        <v>4000</v>
      </c>
      <c r="Q3211" s="4">
        <f t="shared" si="151"/>
        <v>20</v>
      </c>
      <c r="R3211" s="4">
        <f t="shared" si="152"/>
        <v>200</v>
      </c>
    </row>
    <row r="3212" spans="1:18" hidden="1">
      <c r="A3212" s="1">
        <v>2</v>
      </c>
      <c r="B3212" s="1" t="str">
        <f>"قطعات و لوازم يدكي"</f>
        <v>قطعات و لوازم يدكي</v>
      </c>
      <c r="C3212" s="1">
        <v>205</v>
      </c>
      <c r="D3212" s="1" t="str">
        <f>"انبار قطعات و لوازم يدكي بندرعباس"</f>
        <v>انبار قطعات و لوازم يدكي بندرعباس</v>
      </c>
      <c r="E3212" s="1" t="str">
        <f>"1800000705"</f>
        <v>1800000705</v>
      </c>
      <c r="F3212" s="1" t="str">
        <f>"پيچ خودکار 1/2*1*10"</f>
        <v>پيچ خودکار 1/2*1*10</v>
      </c>
      <c r="G3212" s="1" t="str">
        <f>"عدد"</f>
        <v>عدد</v>
      </c>
      <c r="H3212" s="1">
        <v>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O3212" s="1">
        <v>97</v>
      </c>
      <c r="P3212" s="1">
        <f t="shared" si="150"/>
        <v>0</v>
      </c>
      <c r="Q3212" s="1">
        <f t="shared" si="151"/>
        <v>0</v>
      </c>
      <c r="R3212" s="1" t="e">
        <f t="shared" si="152"/>
        <v>#DIV/0!</v>
      </c>
    </row>
    <row r="3213" spans="1:18" hidden="1">
      <c r="A3213" s="1">
        <v>2</v>
      </c>
      <c r="B3213" s="1" t="str">
        <f>"قطعات و لوازم يدكي"</f>
        <v>قطعات و لوازم يدكي</v>
      </c>
      <c r="C3213" s="1">
        <v>205</v>
      </c>
      <c r="D3213" s="1" t="str">
        <f>"انبار قطعات و لوازم يدكي بندرعباس"</f>
        <v>انبار قطعات و لوازم يدكي بندرعباس</v>
      </c>
      <c r="E3213" s="1" t="str">
        <f>"1800000709"</f>
        <v>1800000709</v>
      </c>
      <c r="F3213" s="1" t="str">
        <f>"سه راهي تبديل 2*3 مانيسمان"</f>
        <v>سه راهي تبديل 2*3 مانيسمان</v>
      </c>
      <c r="G3213" s="1" t="str">
        <f>"عدد"</f>
        <v>عدد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O3213" s="1">
        <v>97</v>
      </c>
      <c r="P3213" s="1">
        <f t="shared" si="150"/>
        <v>0</v>
      </c>
      <c r="Q3213" s="1">
        <f t="shared" si="151"/>
        <v>0</v>
      </c>
      <c r="R3213" s="1" t="e">
        <f t="shared" si="152"/>
        <v>#DIV/0!</v>
      </c>
    </row>
    <row r="3214" spans="1:18">
      <c r="A3214" s="1">
        <v>2</v>
      </c>
      <c r="B3214" s="1" t="str">
        <f>"قطعات و لوازم يدكي"</f>
        <v>قطعات و لوازم يدكي</v>
      </c>
      <c r="C3214" s="1">
        <v>205</v>
      </c>
      <c r="D3214" s="1" t="str">
        <f>"انبار قطعات و لوازم يدكي بندرعباس"</f>
        <v>انبار قطعات و لوازم يدكي بندرعباس</v>
      </c>
      <c r="E3214" s="1" t="str">
        <f>"1800000732"</f>
        <v>1800000732</v>
      </c>
      <c r="F3214" s="1" t="str">
        <f>"پرشر سوئيچ ويکا"</f>
        <v>پرشر سوئيچ ويکا</v>
      </c>
      <c r="G3214" s="1" t="str">
        <f>"عدد"</f>
        <v>عدد</v>
      </c>
      <c r="H3214" s="1">
        <v>2</v>
      </c>
      <c r="I3214" s="1">
        <v>18000000</v>
      </c>
      <c r="J3214" s="1">
        <v>0</v>
      </c>
      <c r="K3214" s="1">
        <v>0</v>
      </c>
      <c r="L3214" s="1">
        <v>0</v>
      </c>
      <c r="M3214" s="1">
        <v>0</v>
      </c>
      <c r="O3214" s="1">
        <v>97</v>
      </c>
      <c r="P3214" s="4">
        <f t="shared" si="150"/>
        <v>18000000</v>
      </c>
      <c r="Q3214" s="4">
        <f t="shared" si="151"/>
        <v>2</v>
      </c>
      <c r="R3214" s="4">
        <f t="shared" si="152"/>
        <v>9000000</v>
      </c>
    </row>
    <row r="3215" spans="1:18">
      <c r="A3215" s="1">
        <v>2</v>
      </c>
      <c r="B3215" s="1" t="str">
        <f>"قطعات و لوازم يدكي"</f>
        <v>قطعات و لوازم يدكي</v>
      </c>
      <c r="C3215" s="1">
        <v>205</v>
      </c>
      <c r="D3215" s="1" t="str">
        <f>"انبار قطعات و لوازم يدكي بندرعباس"</f>
        <v>انبار قطعات و لوازم يدكي بندرعباس</v>
      </c>
      <c r="E3215" s="1" t="str">
        <f>"1800000734"</f>
        <v>1800000734</v>
      </c>
      <c r="F3215" s="1" t="str">
        <f>"ترمومتر صفح ه اي با پايه"</f>
        <v>ترمومتر صفح ه اي با پايه</v>
      </c>
      <c r="G3215" s="1" t="str">
        <f>"عدد"</f>
        <v>عدد</v>
      </c>
      <c r="H3215" s="1">
        <v>2</v>
      </c>
      <c r="I3215" s="1">
        <v>900000</v>
      </c>
      <c r="J3215" s="1">
        <v>0</v>
      </c>
      <c r="K3215" s="1">
        <v>0</v>
      </c>
      <c r="L3215" s="1">
        <v>1</v>
      </c>
      <c r="M3215" s="1">
        <v>450000</v>
      </c>
      <c r="O3215" s="1">
        <v>97</v>
      </c>
      <c r="P3215" s="4">
        <f t="shared" si="150"/>
        <v>450000</v>
      </c>
      <c r="Q3215" s="4">
        <f t="shared" si="151"/>
        <v>1</v>
      </c>
      <c r="R3215" s="4">
        <f t="shared" si="152"/>
        <v>450000</v>
      </c>
    </row>
    <row r="3216" spans="1:18">
      <c r="A3216" s="1">
        <v>2</v>
      </c>
      <c r="B3216" s="1" t="str">
        <f>"قطعات و لوازم يدكي"</f>
        <v>قطعات و لوازم يدكي</v>
      </c>
      <c r="C3216" s="1">
        <v>205</v>
      </c>
      <c r="D3216" s="1" t="str">
        <f>"انبار قطعات و لوازم يدكي بندرعباس"</f>
        <v>انبار قطعات و لوازم يدكي بندرعباس</v>
      </c>
      <c r="E3216" s="1" t="str">
        <f>"1800000740"</f>
        <v>1800000740</v>
      </c>
      <c r="F3216" s="1" t="str">
        <f>"پيچ و مهره m10"</f>
        <v>پيچ و مهره m10</v>
      </c>
      <c r="G3216" s="1" t="str">
        <f>"عدد"</f>
        <v>عدد</v>
      </c>
      <c r="H3216" s="1">
        <v>50</v>
      </c>
      <c r="I3216" s="1">
        <v>1250000</v>
      </c>
      <c r="J3216" s="1">
        <v>0</v>
      </c>
      <c r="K3216" s="1">
        <v>0</v>
      </c>
      <c r="L3216" s="1">
        <v>5</v>
      </c>
      <c r="M3216" s="1">
        <v>125000</v>
      </c>
      <c r="O3216" s="1">
        <v>97</v>
      </c>
      <c r="P3216" s="4">
        <f t="shared" si="150"/>
        <v>1125000</v>
      </c>
      <c r="Q3216" s="4">
        <f t="shared" si="151"/>
        <v>45</v>
      </c>
      <c r="R3216" s="4">
        <f t="shared" si="152"/>
        <v>25000</v>
      </c>
    </row>
    <row r="3217" spans="1:18">
      <c r="A3217" s="1">
        <v>2</v>
      </c>
      <c r="B3217" s="1" t="str">
        <f>"قطعات و لوازم يدكي"</f>
        <v>قطعات و لوازم يدكي</v>
      </c>
      <c r="C3217" s="1">
        <v>205</v>
      </c>
      <c r="D3217" s="1" t="str">
        <f>"انبار قطعات و لوازم يدكي بندرعباس"</f>
        <v>انبار قطعات و لوازم يدكي بندرعباس</v>
      </c>
      <c r="E3217" s="1" t="str">
        <f>"1800000741"</f>
        <v>1800000741</v>
      </c>
      <c r="F3217" s="1" t="str">
        <f>"پيچ و مهره m12"</f>
        <v>پيچ و مهره m12</v>
      </c>
      <c r="G3217" s="1" t="str">
        <f>"عدد"</f>
        <v>عدد</v>
      </c>
      <c r="H3217" s="1">
        <v>50</v>
      </c>
      <c r="I3217" s="1">
        <v>1750000</v>
      </c>
      <c r="J3217" s="1">
        <v>0</v>
      </c>
      <c r="K3217" s="1">
        <v>0</v>
      </c>
      <c r="L3217" s="1">
        <v>18</v>
      </c>
      <c r="M3217" s="1">
        <v>630000</v>
      </c>
      <c r="O3217" s="1">
        <v>97</v>
      </c>
      <c r="P3217" s="4">
        <f t="shared" si="150"/>
        <v>1120000</v>
      </c>
      <c r="Q3217" s="4">
        <f t="shared" si="151"/>
        <v>32</v>
      </c>
      <c r="R3217" s="4">
        <f t="shared" si="152"/>
        <v>35000</v>
      </c>
    </row>
    <row r="3218" spans="1:18" hidden="1">
      <c r="A3218" s="1">
        <v>2</v>
      </c>
      <c r="B3218" s="1" t="str">
        <f>"قطعات و لوازم يدكي"</f>
        <v>قطعات و لوازم يدكي</v>
      </c>
      <c r="C3218" s="1">
        <v>205</v>
      </c>
      <c r="D3218" s="1" t="str">
        <f>"انبار قطعات و لوازم يدكي بندرعباس"</f>
        <v>انبار قطعات و لوازم يدكي بندرعباس</v>
      </c>
      <c r="E3218" s="1" t="str">
        <f>"1800000747"</f>
        <v>1800000747</v>
      </c>
      <c r="F3218" s="1" t="str">
        <f>"بلبرينگ 63062rsc3"</f>
        <v>بلبرينگ 63062rsc3</v>
      </c>
      <c r="G3218" s="1" t="str">
        <f>"عدد"</f>
        <v>عدد</v>
      </c>
      <c r="H3218" s="1">
        <v>0</v>
      </c>
      <c r="I3218" s="1">
        <v>0</v>
      </c>
      <c r="J3218" s="1">
        <v>2</v>
      </c>
      <c r="K3218" s="1">
        <v>600000</v>
      </c>
      <c r="L3218" s="1">
        <v>2</v>
      </c>
      <c r="M3218" s="1">
        <v>600000</v>
      </c>
      <c r="O3218" s="1">
        <v>97</v>
      </c>
      <c r="P3218" s="1">
        <f t="shared" si="150"/>
        <v>0</v>
      </c>
      <c r="Q3218" s="1">
        <f t="shared" si="151"/>
        <v>0</v>
      </c>
      <c r="R3218" s="1" t="e">
        <f t="shared" si="152"/>
        <v>#DIV/0!</v>
      </c>
    </row>
    <row r="3219" spans="1:18">
      <c r="A3219" s="1">
        <v>2</v>
      </c>
      <c r="B3219" s="1" t="str">
        <f>"قطعات و لوازم يدكي"</f>
        <v>قطعات و لوازم يدكي</v>
      </c>
      <c r="C3219" s="1">
        <v>205</v>
      </c>
      <c r="D3219" s="1" t="str">
        <f>"انبار قطعات و لوازم يدكي بندرعباس"</f>
        <v>انبار قطعات و لوازم يدكي بندرعباس</v>
      </c>
      <c r="E3219" s="1" t="str">
        <f>"1800000756"</f>
        <v>1800000756</v>
      </c>
      <c r="F3219" s="1" t="str">
        <f>"صفحه برش استيل 180"</f>
        <v>صفحه برش استيل 180</v>
      </c>
      <c r="G3219" s="1" t="str">
        <f>"عدد"</f>
        <v>عدد</v>
      </c>
      <c r="H3219" s="1">
        <v>0</v>
      </c>
      <c r="I3219" s="1">
        <v>0</v>
      </c>
      <c r="J3219" s="1">
        <v>25</v>
      </c>
      <c r="K3219" s="1">
        <v>2150000</v>
      </c>
      <c r="L3219" s="1">
        <v>15</v>
      </c>
      <c r="M3219" s="1">
        <v>850000</v>
      </c>
      <c r="O3219" s="1">
        <v>97</v>
      </c>
      <c r="P3219" s="4">
        <f t="shared" si="150"/>
        <v>1300000</v>
      </c>
      <c r="Q3219" s="4">
        <f t="shared" si="151"/>
        <v>10</v>
      </c>
      <c r="R3219" s="4">
        <f t="shared" si="152"/>
        <v>130000</v>
      </c>
    </row>
    <row r="3220" spans="1:18" hidden="1">
      <c r="A3220" s="1">
        <v>2</v>
      </c>
      <c r="B3220" s="1" t="str">
        <f>"قطعات و لوازم يدكي"</f>
        <v>قطعات و لوازم يدكي</v>
      </c>
      <c r="C3220" s="1">
        <v>205</v>
      </c>
      <c r="D3220" s="1" t="str">
        <f>"انبار قطعات و لوازم يدكي بندرعباس"</f>
        <v>انبار قطعات و لوازم يدكي بندرعباس</v>
      </c>
      <c r="E3220" s="1" t="str">
        <f>"1800000766"</f>
        <v>1800000766</v>
      </c>
      <c r="F3220" s="1" t="str">
        <f>"لامپ مهتابي بروکس"</f>
        <v>لامپ مهتابي بروکس</v>
      </c>
      <c r="G3220" s="1" t="str">
        <f>"عدد"</f>
        <v>عدد</v>
      </c>
      <c r="H3220" s="1">
        <v>0</v>
      </c>
      <c r="I3220" s="1">
        <v>0</v>
      </c>
      <c r="J3220" s="1">
        <v>5</v>
      </c>
      <c r="K3220" s="1">
        <v>130000</v>
      </c>
      <c r="L3220" s="1">
        <v>5</v>
      </c>
      <c r="M3220" s="1">
        <v>130000</v>
      </c>
      <c r="O3220" s="1">
        <v>97</v>
      </c>
      <c r="P3220" s="1">
        <f t="shared" si="150"/>
        <v>0</v>
      </c>
      <c r="Q3220" s="1">
        <f t="shared" si="151"/>
        <v>0</v>
      </c>
      <c r="R3220" s="1" t="e">
        <f t="shared" si="152"/>
        <v>#DIV/0!</v>
      </c>
    </row>
    <row r="3221" spans="1:18" hidden="1">
      <c r="A3221" s="1">
        <v>2</v>
      </c>
      <c r="B3221" s="1" t="str">
        <f>"قطعات و لوازم يدكي"</f>
        <v>قطعات و لوازم يدكي</v>
      </c>
      <c r="C3221" s="1">
        <v>205</v>
      </c>
      <c r="D3221" s="1" t="str">
        <f>"انبار قطعات و لوازم يدكي بندرعباس"</f>
        <v>انبار قطعات و لوازم يدكي بندرعباس</v>
      </c>
      <c r="E3221" s="1" t="str">
        <f>"1800000768"</f>
        <v>1800000768</v>
      </c>
      <c r="F3221" s="1" t="str">
        <f>"گريس شاسي کلسيمي"</f>
        <v>گريس شاسي کلسيمي</v>
      </c>
      <c r="G3221" s="1" t="str">
        <f>"ليتر"</f>
        <v>ليتر</v>
      </c>
      <c r="H3221" s="1">
        <v>0</v>
      </c>
      <c r="I3221" s="1">
        <v>0</v>
      </c>
      <c r="J3221" s="1">
        <v>105</v>
      </c>
      <c r="K3221" s="1">
        <v>7300000</v>
      </c>
      <c r="L3221" s="1">
        <v>105</v>
      </c>
      <c r="M3221" s="1">
        <v>7300000</v>
      </c>
      <c r="O3221" s="1">
        <v>97</v>
      </c>
      <c r="P3221" s="1">
        <f t="shared" si="150"/>
        <v>0</v>
      </c>
      <c r="Q3221" s="1">
        <f t="shared" si="151"/>
        <v>0</v>
      </c>
      <c r="R3221" s="1" t="e">
        <f t="shared" si="152"/>
        <v>#DIV/0!</v>
      </c>
    </row>
    <row r="3222" spans="1:18">
      <c r="A3222" s="1">
        <v>2</v>
      </c>
      <c r="B3222" s="1" t="str">
        <f>"قطعات و لوازم يدكي"</f>
        <v>قطعات و لوازم يدكي</v>
      </c>
      <c r="C3222" s="1">
        <v>205</v>
      </c>
      <c r="D3222" s="1" t="str">
        <f>"انبار قطعات و لوازم يدكي بندرعباس"</f>
        <v>انبار قطعات و لوازم يدكي بندرعباس</v>
      </c>
      <c r="E3222" s="1" t="str">
        <f>"1800000781"</f>
        <v>1800000781</v>
      </c>
      <c r="F3222" s="1" t="str">
        <f>"سرسيم گرد 4-2/5"</f>
        <v>سرسيم گرد 4-2/5</v>
      </c>
      <c r="G3222" s="1" t="str">
        <f>"عدد"</f>
        <v>عدد</v>
      </c>
      <c r="H3222" s="1">
        <v>0</v>
      </c>
      <c r="I3222" s="1">
        <v>0</v>
      </c>
      <c r="J3222" s="1">
        <v>200</v>
      </c>
      <c r="K3222" s="1">
        <v>270000</v>
      </c>
      <c r="L3222" s="1">
        <v>100</v>
      </c>
      <c r="M3222" s="1">
        <v>135000</v>
      </c>
      <c r="O3222" s="1">
        <v>97</v>
      </c>
      <c r="P3222" s="4">
        <f t="shared" si="150"/>
        <v>135000</v>
      </c>
      <c r="Q3222" s="4">
        <f t="shared" si="151"/>
        <v>100</v>
      </c>
      <c r="R3222" s="4">
        <f t="shared" si="152"/>
        <v>1350</v>
      </c>
    </row>
    <row r="3223" spans="1:18">
      <c r="A3223" s="1">
        <v>2</v>
      </c>
      <c r="B3223" s="1" t="str">
        <f>"قطعات و لوازم يدكي"</f>
        <v>قطعات و لوازم يدكي</v>
      </c>
      <c r="C3223" s="1">
        <v>205</v>
      </c>
      <c r="D3223" s="1" t="str">
        <f>"انبار قطعات و لوازم يدكي بندرعباس"</f>
        <v>انبار قطعات و لوازم يدكي بندرعباس</v>
      </c>
      <c r="E3223" s="1" t="str">
        <f>"1800000782"</f>
        <v>1800000782</v>
      </c>
      <c r="F3223" s="1" t="str">
        <f>"سرسيم گرد 4-6"</f>
        <v>سرسيم گرد 4-6</v>
      </c>
      <c r="G3223" s="1" t="str">
        <f>"عدد"</f>
        <v>عدد</v>
      </c>
      <c r="H3223" s="1">
        <v>0</v>
      </c>
      <c r="I3223" s="1">
        <v>0</v>
      </c>
      <c r="J3223" s="1">
        <v>200</v>
      </c>
      <c r="K3223" s="1">
        <v>370000</v>
      </c>
      <c r="L3223" s="1">
        <v>100</v>
      </c>
      <c r="M3223" s="1">
        <v>185000</v>
      </c>
      <c r="O3223" s="1">
        <v>97</v>
      </c>
      <c r="P3223" s="4">
        <f t="shared" si="150"/>
        <v>185000</v>
      </c>
      <c r="Q3223" s="4">
        <f t="shared" si="151"/>
        <v>100</v>
      </c>
      <c r="R3223" s="4">
        <f t="shared" si="152"/>
        <v>1850</v>
      </c>
    </row>
    <row r="3224" spans="1:18">
      <c r="A3224" s="1">
        <v>2</v>
      </c>
      <c r="B3224" s="1" t="str">
        <f>"قطعات و لوازم يدكي"</f>
        <v>قطعات و لوازم يدكي</v>
      </c>
      <c r="C3224" s="1">
        <v>205</v>
      </c>
      <c r="D3224" s="1" t="str">
        <f>"انبار قطعات و لوازم يدكي بندرعباس"</f>
        <v>انبار قطعات و لوازم يدكي بندرعباس</v>
      </c>
      <c r="E3224" s="1" t="str">
        <f>"1800000803"</f>
        <v>1800000803</v>
      </c>
      <c r="F3224" s="1" t="str">
        <f>"سيم نسوز 2/5"</f>
        <v>سيم نسوز 2/5</v>
      </c>
      <c r="G3224" s="1" t="str">
        <f>"متر"</f>
        <v>متر</v>
      </c>
      <c r="H3224" s="1">
        <v>0</v>
      </c>
      <c r="I3224" s="1">
        <v>0</v>
      </c>
      <c r="J3224" s="1">
        <v>10</v>
      </c>
      <c r="K3224" s="1">
        <v>650000</v>
      </c>
      <c r="L3224" s="1">
        <v>0</v>
      </c>
      <c r="M3224" s="1">
        <v>0</v>
      </c>
      <c r="O3224" s="1">
        <v>97</v>
      </c>
      <c r="P3224" s="4">
        <f t="shared" si="150"/>
        <v>650000</v>
      </c>
      <c r="Q3224" s="4">
        <f t="shared" si="151"/>
        <v>10</v>
      </c>
      <c r="R3224" s="4">
        <f t="shared" si="152"/>
        <v>65000</v>
      </c>
    </row>
    <row r="3225" spans="1:18" hidden="1">
      <c r="A3225" s="1">
        <v>2</v>
      </c>
      <c r="B3225" s="1" t="str">
        <f>"قطعات و لوازم يدكي"</f>
        <v>قطعات و لوازم يدكي</v>
      </c>
      <c r="C3225" s="1">
        <v>205</v>
      </c>
      <c r="D3225" s="1" t="str">
        <f>"انبار قطعات و لوازم يدكي بندرعباس"</f>
        <v>انبار قطعات و لوازم يدكي بندرعباس</v>
      </c>
      <c r="E3225" s="1" t="str">
        <f>"1800000833"</f>
        <v>1800000833</v>
      </c>
      <c r="F3225" s="1" t="str">
        <f>"رابط بکس 17"</f>
        <v>رابط بکس 17</v>
      </c>
      <c r="G3225" s="1" t="str">
        <f>"عدد"</f>
        <v>عدد</v>
      </c>
      <c r="H3225" s="1">
        <v>0</v>
      </c>
      <c r="I3225" s="1">
        <v>0</v>
      </c>
      <c r="J3225" s="1">
        <v>1</v>
      </c>
      <c r="K3225" s="1">
        <v>70000</v>
      </c>
      <c r="L3225" s="1">
        <v>1</v>
      </c>
      <c r="M3225" s="1">
        <v>70000</v>
      </c>
      <c r="O3225" s="1">
        <v>97</v>
      </c>
      <c r="P3225" s="1">
        <f t="shared" si="150"/>
        <v>0</v>
      </c>
      <c r="Q3225" s="1">
        <f t="shared" si="151"/>
        <v>0</v>
      </c>
      <c r="R3225" s="1" t="e">
        <f t="shared" si="152"/>
        <v>#DIV/0!</v>
      </c>
    </row>
    <row r="3226" spans="1:18">
      <c r="A3226" s="1">
        <v>2</v>
      </c>
      <c r="B3226" s="1" t="str">
        <f>"قطعات و لوازم يدكي"</f>
        <v>قطعات و لوازم يدكي</v>
      </c>
      <c r="C3226" s="1">
        <v>205</v>
      </c>
      <c r="D3226" s="1" t="str">
        <f>"انبار قطعات و لوازم يدكي بندرعباس"</f>
        <v>انبار قطعات و لوازم يدكي بندرعباس</v>
      </c>
      <c r="E3226" s="1" t="str">
        <f>"1800000860"</f>
        <v>1800000860</v>
      </c>
      <c r="F3226" s="1" t="str">
        <f>"قيچي شمشاد زن"</f>
        <v>قيچي شمشاد زن</v>
      </c>
      <c r="G3226" s="1" t="str">
        <f>"عدد"</f>
        <v>عدد</v>
      </c>
      <c r="H3226" s="1">
        <v>0</v>
      </c>
      <c r="I3226" s="1">
        <v>0</v>
      </c>
      <c r="J3226" s="1">
        <v>1</v>
      </c>
      <c r="K3226" s="1">
        <v>680000</v>
      </c>
      <c r="L3226" s="1">
        <v>0</v>
      </c>
      <c r="M3226" s="1">
        <v>0</v>
      </c>
      <c r="O3226" s="1">
        <v>97</v>
      </c>
      <c r="P3226" s="4">
        <f t="shared" si="150"/>
        <v>680000</v>
      </c>
      <c r="Q3226" s="4">
        <f t="shared" si="151"/>
        <v>1</v>
      </c>
      <c r="R3226" s="4">
        <f t="shared" si="152"/>
        <v>680000</v>
      </c>
    </row>
    <row r="3227" spans="1:18">
      <c r="A3227" s="1">
        <v>2</v>
      </c>
      <c r="B3227" s="1" t="str">
        <f>"قطعات و لوازم يدكي"</f>
        <v>قطعات و لوازم يدكي</v>
      </c>
      <c r="C3227" s="1">
        <v>205</v>
      </c>
      <c r="D3227" s="1" t="str">
        <f>"انبار قطعات و لوازم يدكي بندرعباس"</f>
        <v>انبار قطعات و لوازم يدكي بندرعباس</v>
      </c>
      <c r="E3227" s="1" t="str">
        <f>"1800000862"</f>
        <v>1800000862</v>
      </c>
      <c r="F3227" s="1" t="str">
        <f>"بتونه آماده"</f>
        <v>بتونه آماده</v>
      </c>
      <c r="G3227" s="1" t="str">
        <f>"كيلوگرم"</f>
        <v>كيلوگرم</v>
      </c>
      <c r="H3227" s="1">
        <v>0</v>
      </c>
      <c r="I3227" s="1">
        <v>0</v>
      </c>
      <c r="J3227" s="1">
        <v>5</v>
      </c>
      <c r="K3227" s="1">
        <v>560000</v>
      </c>
      <c r="L3227" s="1">
        <v>1</v>
      </c>
      <c r="M3227" s="1">
        <v>100000</v>
      </c>
      <c r="O3227" s="1">
        <v>97</v>
      </c>
      <c r="P3227" s="4">
        <f t="shared" si="150"/>
        <v>460000</v>
      </c>
      <c r="Q3227" s="4">
        <f t="shared" si="151"/>
        <v>4</v>
      </c>
      <c r="R3227" s="4">
        <f t="shared" si="152"/>
        <v>115000</v>
      </c>
    </row>
    <row r="3228" spans="1:18">
      <c r="A3228" s="1">
        <v>2</v>
      </c>
      <c r="B3228" s="1" t="str">
        <f>"قطعات و لوازم يدكي"</f>
        <v>قطعات و لوازم يدكي</v>
      </c>
      <c r="C3228" s="1">
        <v>205</v>
      </c>
      <c r="D3228" s="1" t="str">
        <f>"انبار قطعات و لوازم يدكي بندرعباس"</f>
        <v>انبار قطعات و لوازم يدكي بندرعباس</v>
      </c>
      <c r="E3228" s="1" t="str">
        <f>"1800000890"</f>
        <v>1800000890</v>
      </c>
      <c r="F3228" s="1" t="s">
        <v>176</v>
      </c>
      <c r="G3228" s="1" t="str">
        <f>"ST"</f>
        <v>ST</v>
      </c>
      <c r="H3228" s="1">
        <v>0</v>
      </c>
      <c r="I3228" s="1">
        <v>0</v>
      </c>
      <c r="J3228" s="1">
        <v>3</v>
      </c>
      <c r="K3228" s="1">
        <v>2683200</v>
      </c>
      <c r="L3228" s="1">
        <v>0</v>
      </c>
      <c r="M3228" s="1">
        <v>0</v>
      </c>
      <c r="O3228" s="1">
        <v>97</v>
      </c>
      <c r="P3228" s="4">
        <f t="shared" si="150"/>
        <v>2683200</v>
      </c>
      <c r="Q3228" s="4">
        <f t="shared" si="151"/>
        <v>3</v>
      </c>
      <c r="R3228" s="4">
        <f t="shared" si="152"/>
        <v>894400</v>
      </c>
    </row>
    <row r="3229" spans="1:18">
      <c r="A3229" s="1">
        <v>2</v>
      </c>
      <c r="B3229" s="1" t="str">
        <f>"قطعات و لوازم يدكي"</f>
        <v>قطعات و لوازم يدكي</v>
      </c>
      <c r="C3229" s="1">
        <v>205</v>
      </c>
      <c r="D3229" s="1" t="str">
        <f>"انبار قطعات و لوازم يدكي بندرعباس"</f>
        <v>انبار قطعات و لوازم يدكي بندرعباس</v>
      </c>
      <c r="E3229" s="1" t="str">
        <f>"1800000932"</f>
        <v>1800000932</v>
      </c>
      <c r="F3229" s="1" t="str">
        <f>"عينک دودي uvex"</f>
        <v>عينک دودي uvex</v>
      </c>
      <c r="G3229" s="1" t="str">
        <f>"عدد"</f>
        <v>عدد</v>
      </c>
      <c r="H3229" s="1">
        <v>0</v>
      </c>
      <c r="I3229" s="1">
        <v>0</v>
      </c>
      <c r="J3229" s="1">
        <v>30</v>
      </c>
      <c r="K3229" s="1">
        <v>29700000</v>
      </c>
      <c r="L3229" s="1">
        <v>26</v>
      </c>
      <c r="M3229" s="1">
        <v>25740000</v>
      </c>
      <c r="O3229" s="1">
        <v>97</v>
      </c>
      <c r="P3229" s="4">
        <f t="shared" si="150"/>
        <v>3960000</v>
      </c>
      <c r="Q3229" s="4">
        <f t="shared" si="151"/>
        <v>4</v>
      </c>
      <c r="R3229" s="4">
        <f t="shared" si="152"/>
        <v>990000</v>
      </c>
    </row>
    <row r="3230" spans="1:18">
      <c r="A3230" s="1">
        <v>2</v>
      </c>
      <c r="B3230" s="1" t="str">
        <f>"قطعات و لوازم يدكي"</f>
        <v>قطعات و لوازم يدكي</v>
      </c>
      <c r="C3230" s="1">
        <v>205</v>
      </c>
      <c r="D3230" s="1" t="str">
        <f>"انبار قطعات و لوازم يدكي بندرعباس"</f>
        <v>انبار قطعات و لوازم يدكي بندرعباس</v>
      </c>
      <c r="E3230" s="1" t="str">
        <f>"1800000936"</f>
        <v>1800000936</v>
      </c>
      <c r="F3230" s="1" t="str">
        <f>"آچار چکشي 41"</f>
        <v>آچار چکشي 41</v>
      </c>
      <c r="G3230" s="1" t="str">
        <f>"عدد"</f>
        <v>عدد</v>
      </c>
      <c r="H3230" s="1">
        <v>0</v>
      </c>
      <c r="I3230" s="1">
        <v>0</v>
      </c>
      <c r="J3230" s="1">
        <v>2</v>
      </c>
      <c r="K3230" s="1">
        <v>2460000</v>
      </c>
      <c r="L3230" s="1">
        <v>0</v>
      </c>
      <c r="M3230" s="1">
        <v>0</v>
      </c>
      <c r="O3230" s="1">
        <v>97</v>
      </c>
      <c r="P3230" s="4">
        <f t="shared" si="150"/>
        <v>2460000</v>
      </c>
      <c r="Q3230" s="4">
        <f t="shared" si="151"/>
        <v>2</v>
      </c>
      <c r="R3230" s="4">
        <f t="shared" si="152"/>
        <v>1230000</v>
      </c>
    </row>
    <row r="3231" spans="1:18" hidden="1">
      <c r="A3231" s="1">
        <v>2</v>
      </c>
      <c r="B3231" s="1" t="str">
        <f>"قطعات و لوازم يدكي"</f>
        <v>قطعات و لوازم يدكي</v>
      </c>
      <c r="C3231" s="1">
        <v>205</v>
      </c>
      <c r="D3231" s="1" t="str">
        <f>"انبار قطعات و لوازم يدكي بندرعباس"</f>
        <v>انبار قطعات و لوازم يدكي بندرعباس</v>
      </c>
      <c r="E3231" s="1" t="str">
        <f>"2000000090"</f>
        <v>2000000090</v>
      </c>
      <c r="F3231" s="1" t="str">
        <f>"عينک سنگ زني"</f>
        <v>عينک سنگ زني</v>
      </c>
      <c r="G3231" s="1" t="str">
        <f>"عدد"</f>
        <v>عدد</v>
      </c>
      <c r="H3231" s="1">
        <v>0</v>
      </c>
      <c r="I3231" s="1">
        <v>0</v>
      </c>
      <c r="J3231" s="1">
        <v>4</v>
      </c>
      <c r="K3231" s="1">
        <v>2200000</v>
      </c>
      <c r="L3231" s="1">
        <v>4</v>
      </c>
      <c r="M3231" s="1">
        <v>2200000</v>
      </c>
      <c r="O3231" s="1">
        <v>97</v>
      </c>
      <c r="P3231" s="1">
        <f t="shared" si="150"/>
        <v>0</v>
      </c>
      <c r="Q3231" s="1">
        <f t="shared" si="151"/>
        <v>0</v>
      </c>
      <c r="R3231" s="1" t="e">
        <f t="shared" si="152"/>
        <v>#DIV/0!</v>
      </c>
    </row>
    <row r="3232" spans="1:18" hidden="1">
      <c r="A3232" s="1">
        <v>2</v>
      </c>
      <c r="B3232" s="1" t="str">
        <f>"قطعات و لوازم يدكي"</f>
        <v>قطعات و لوازم يدكي</v>
      </c>
      <c r="C3232" s="1">
        <v>205</v>
      </c>
      <c r="D3232" s="1" t="str">
        <f>"انبار قطعات و لوازم يدكي بندرعباس"</f>
        <v>انبار قطعات و لوازم يدكي بندرعباس</v>
      </c>
      <c r="E3232" s="1" t="str">
        <f>"2000000103"</f>
        <v>2000000103</v>
      </c>
      <c r="F3232" s="1" t="str">
        <f>"کلاه ايمني"</f>
        <v>کلاه ايمني</v>
      </c>
      <c r="G3232" s="1" t="str">
        <f>"عدد"</f>
        <v>عدد</v>
      </c>
      <c r="H3232" s="1">
        <v>0</v>
      </c>
      <c r="I3232" s="1">
        <v>0</v>
      </c>
      <c r="J3232" s="1">
        <v>25</v>
      </c>
      <c r="K3232" s="1">
        <v>18000000</v>
      </c>
      <c r="L3232" s="1">
        <v>25</v>
      </c>
      <c r="M3232" s="1">
        <v>18000000</v>
      </c>
      <c r="O3232" s="1">
        <v>97</v>
      </c>
      <c r="P3232" s="1">
        <f t="shared" si="150"/>
        <v>0</v>
      </c>
      <c r="Q3232" s="1">
        <f t="shared" si="151"/>
        <v>0</v>
      </c>
      <c r="R3232" s="1" t="e">
        <f t="shared" si="152"/>
        <v>#DIV/0!</v>
      </c>
    </row>
    <row r="3233" spans="1:18">
      <c r="A3233" s="1">
        <v>2</v>
      </c>
      <c r="B3233" s="1" t="str">
        <f>"قطعات و لوازم يدكي"</f>
        <v>قطعات و لوازم يدكي</v>
      </c>
      <c r="C3233" s="1">
        <v>205</v>
      </c>
      <c r="D3233" s="1" t="str">
        <f>"انبار قطعات و لوازم يدكي بندرعباس"</f>
        <v>انبار قطعات و لوازم يدكي بندرعباس</v>
      </c>
      <c r="E3233" s="1" t="str">
        <f>"2000000106"</f>
        <v>2000000106</v>
      </c>
      <c r="F3233" s="1" t="str">
        <f>"کمان اره"</f>
        <v>کمان اره</v>
      </c>
      <c r="G3233" s="1" t="str">
        <f>"عدد"</f>
        <v>عدد</v>
      </c>
      <c r="H3233" s="1">
        <v>0</v>
      </c>
      <c r="I3233" s="1">
        <v>0</v>
      </c>
      <c r="J3233" s="1">
        <v>1</v>
      </c>
      <c r="K3233" s="1">
        <v>200000</v>
      </c>
      <c r="L3233" s="1">
        <v>0</v>
      </c>
      <c r="M3233" s="1">
        <v>0</v>
      </c>
      <c r="O3233" s="1">
        <v>97</v>
      </c>
      <c r="P3233" s="4">
        <f t="shared" si="150"/>
        <v>200000</v>
      </c>
      <c r="Q3233" s="4">
        <f t="shared" si="151"/>
        <v>1</v>
      </c>
      <c r="R3233" s="4">
        <f t="shared" si="152"/>
        <v>200000</v>
      </c>
    </row>
    <row r="3234" spans="1:18" hidden="1">
      <c r="A3234" s="1">
        <v>5</v>
      </c>
      <c r="B3234" s="1" t="str">
        <f>"مواداوليه (وکيوم باتوم)"</f>
        <v>مواداوليه (وکيوم باتوم)</v>
      </c>
      <c r="C3234" s="1">
        <v>107</v>
      </c>
      <c r="D3234" s="1" t="str">
        <f>"انبار مواد اوليه بندرعباس"</f>
        <v>انبار مواد اوليه بندرعباس</v>
      </c>
      <c r="E3234" s="1" t="str">
        <f>"1000000025"</f>
        <v>1000000025</v>
      </c>
      <c r="F3234" s="1" t="str">
        <f>"وكيوم باتوم"</f>
        <v>وكيوم باتوم</v>
      </c>
      <c r="G3234" s="1" t="str">
        <f>"كيلوگرم"</f>
        <v>كيلوگرم</v>
      </c>
      <c r="H3234" s="1">
        <v>0</v>
      </c>
      <c r="I3234" s="1">
        <v>0</v>
      </c>
      <c r="J3234" s="1">
        <v>112059900</v>
      </c>
      <c r="K3234" s="1">
        <v>1992180128437</v>
      </c>
      <c r="L3234" s="1">
        <v>112059900</v>
      </c>
      <c r="M3234" s="1">
        <v>1992180128437</v>
      </c>
      <c r="O3234" s="1">
        <v>97</v>
      </c>
      <c r="P3234" s="1">
        <f t="shared" si="150"/>
        <v>0</v>
      </c>
      <c r="Q3234" s="1">
        <f t="shared" si="151"/>
        <v>0</v>
      </c>
      <c r="R3234" s="1" t="e">
        <f t="shared" si="152"/>
        <v>#DIV/0!</v>
      </c>
    </row>
    <row r="3235" spans="1:18" hidden="1">
      <c r="A3235" s="1">
        <v>5</v>
      </c>
      <c r="B3235" s="1" t="str">
        <f>"مواداوليه (وکيوم باتوم)"</f>
        <v>مواداوليه (وکيوم باتوم)</v>
      </c>
      <c r="C3235" s="1">
        <v>121</v>
      </c>
      <c r="D3235" s="1" t="str">
        <f>"انبار مواد اوليه بندرعباس(مخازن ملي پخش- هرمزگان)"</f>
        <v>انبار مواد اوليه بندرعباس(مخازن ملي پخش- هرمزگان)</v>
      </c>
      <c r="E3235" s="1" t="str">
        <f>"1000000026"</f>
        <v>1000000026</v>
      </c>
      <c r="F3235" s="1" t="str">
        <f>"سلابس واكس"</f>
        <v>سلابس واكس</v>
      </c>
      <c r="G3235" s="1" t="str">
        <f>"كيلوگرم"</f>
        <v>كيلوگرم</v>
      </c>
      <c r="H3235" s="1">
        <v>0</v>
      </c>
      <c r="I3235" s="1">
        <v>0</v>
      </c>
      <c r="J3235" s="1">
        <v>1482475</v>
      </c>
      <c r="K3235" s="1">
        <v>39024671900</v>
      </c>
      <c r="L3235" s="1">
        <v>1482475</v>
      </c>
      <c r="M3235" s="1">
        <v>39024671900</v>
      </c>
      <c r="O3235" s="1">
        <v>97</v>
      </c>
      <c r="P3235" s="1">
        <f t="shared" si="150"/>
        <v>0</v>
      </c>
      <c r="Q3235" s="1">
        <f t="shared" si="151"/>
        <v>0</v>
      </c>
      <c r="R3235" s="1" t="e">
        <f t="shared" si="152"/>
        <v>#DIV/0!</v>
      </c>
    </row>
    <row r="3236" spans="1:18" hidden="1">
      <c r="A3236" s="1">
        <v>6</v>
      </c>
      <c r="B3236" s="1" t="str">
        <f>"موجودي ملزومات اداري"</f>
        <v>موجودي ملزومات اداري</v>
      </c>
      <c r="C3236" s="1">
        <v>101</v>
      </c>
      <c r="D3236" s="1" t="str">
        <f>"انبار قطعات و لوازم يدكي اصفهان"</f>
        <v>انبار قطعات و لوازم يدكي اصفهان</v>
      </c>
      <c r="E3236" s="1" t="str">
        <f>"8100000012"</f>
        <v>8100000012</v>
      </c>
      <c r="F3236" s="1" t="s">
        <v>177</v>
      </c>
      <c r="G3236" s="1" t="str">
        <f>"عدد"</f>
        <v>عدد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O3236" s="1">
        <v>97</v>
      </c>
      <c r="P3236" s="1">
        <f t="shared" si="150"/>
        <v>0</v>
      </c>
      <c r="Q3236" s="1">
        <f t="shared" si="151"/>
        <v>0</v>
      </c>
      <c r="R3236" s="1" t="e">
        <f t="shared" si="152"/>
        <v>#DIV/0!</v>
      </c>
    </row>
    <row r="3237" spans="1:18" hidden="1">
      <c r="A3237" s="1">
        <v>6</v>
      </c>
      <c r="B3237" s="1" t="str">
        <f>"موجودي ملزومات اداري"</f>
        <v>موجودي ملزومات اداري</v>
      </c>
      <c r="C3237" s="1">
        <v>110</v>
      </c>
      <c r="D3237" s="1" t="str">
        <f>"ملزومات اداري اصفهان"</f>
        <v>ملزومات اداري اصفهان</v>
      </c>
      <c r="E3237" s="1" t="str">
        <f>"0000011012"</f>
        <v>0000011012</v>
      </c>
      <c r="F3237" s="1" t="str">
        <f>"خودكار"</f>
        <v>خودكار</v>
      </c>
      <c r="G3237" s="1" t="str">
        <f>"عدد"</f>
        <v>عدد</v>
      </c>
      <c r="H3237" s="1">
        <v>517</v>
      </c>
      <c r="I3237" s="1">
        <v>4125002</v>
      </c>
      <c r="J3237" s="1">
        <v>1000</v>
      </c>
      <c r="K3237" s="1">
        <v>12500000</v>
      </c>
      <c r="L3237" s="1">
        <v>1517</v>
      </c>
      <c r="M3237" s="1">
        <v>16625002</v>
      </c>
      <c r="O3237" s="1">
        <v>97</v>
      </c>
      <c r="P3237" s="1">
        <f t="shared" si="150"/>
        <v>0</v>
      </c>
      <c r="Q3237" s="1">
        <f t="shared" si="151"/>
        <v>0</v>
      </c>
      <c r="R3237" s="1" t="e">
        <f t="shared" si="152"/>
        <v>#DIV/0!</v>
      </c>
    </row>
    <row r="3238" spans="1:18" hidden="1">
      <c r="A3238" s="1">
        <v>6</v>
      </c>
      <c r="B3238" s="1" t="str">
        <f>"موجودي ملزومات اداري"</f>
        <v>موجودي ملزومات اداري</v>
      </c>
      <c r="C3238" s="1">
        <v>110</v>
      </c>
      <c r="D3238" s="1" t="str">
        <f>"ملزومات اداري اصفهان"</f>
        <v>ملزومات اداري اصفهان</v>
      </c>
      <c r="E3238" s="1" t="str">
        <f>"0000011072"</f>
        <v>0000011072</v>
      </c>
      <c r="F3238" s="1" t="str">
        <f>"ماژيك وايت برد"</f>
        <v>ماژيك وايت برد</v>
      </c>
      <c r="G3238" s="1" t="str">
        <f>"عدد"</f>
        <v>عدد</v>
      </c>
      <c r="H3238" s="1">
        <v>23</v>
      </c>
      <c r="I3238" s="1">
        <v>368000</v>
      </c>
      <c r="J3238" s="1">
        <v>70</v>
      </c>
      <c r="K3238" s="1">
        <v>2460000</v>
      </c>
      <c r="L3238" s="1">
        <v>93</v>
      </c>
      <c r="M3238" s="1">
        <v>2828000</v>
      </c>
      <c r="O3238" s="1">
        <v>97</v>
      </c>
      <c r="P3238" s="1">
        <f t="shared" si="150"/>
        <v>0</v>
      </c>
      <c r="Q3238" s="1">
        <f t="shared" si="151"/>
        <v>0</v>
      </c>
      <c r="R3238" s="1" t="e">
        <f t="shared" si="152"/>
        <v>#DIV/0!</v>
      </c>
    </row>
    <row r="3239" spans="1:18" hidden="1">
      <c r="A3239" s="1">
        <v>6</v>
      </c>
      <c r="B3239" s="1" t="str">
        <f>"موجودي ملزومات اداري"</f>
        <v>موجودي ملزومات اداري</v>
      </c>
      <c r="C3239" s="1">
        <v>110</v>
      </c>
      <c r="D3239" s="1" t="str">
        <f>"ملزومات اداري اصفهان"</f>
        <v>ملزومات اداري اصفهان</v>
      </c>
      <c r="E3239" s="1" t="str">
        <f>"0000011092"</f>
        <v>0000011092</v>
      </c>
      <c r="F3239" s="1" t="str">
        <f>"مدادمشكي"</f>
        <v>مدادمشكي</v>
      </c>
      <c r="G3239" s="1" t="str">
        <f>"عدد"</f>
        <v>عدد</v>
      </c>
      <c r="H3239" s="1">
        <v>57</v>
      </c>
      <c r="I3239" s="1">
        <v>399000</v>
      </c>
      <c r="J3239" s="1">
        <v>0</v>
      </c>
      <c r="K3239" s="1">
        <v>0</v>
      </c>
      <c r="L3239" s="1">
        <v>57</v>
      </c>
      <c r="M3239" s="1">
        <v>399000</v>
      </c>
      <c r="O3239" s="1">
        <v>97</v>
      </c>
      <c r="P3239" s="1">
        <f t="shared" si="150"/>
        <v>0</v>
      </c>
      <c r="Q3239" s="1">
        <f t="shared" si="151"/>
        <v>0</v>
      </c>
      <c r="R3239" s="1" t="e">
        <f t="shared" si="152"/>
        <v>#DIV/0!</v>
      </c>
    </row>
    <row r="3240" spans="1:18" hidden="1">
      <c r="A3240" s="1">
        <v>6</v>
      </c>
      <c r="B3240" s="1" t="str">
        <f>"موجودي ملزومات اداري"</f>
        <v>موجودي ملزومات اداري</v>
      </c>
      <c r="C3240" s="1">
        <v>110</v>
      </c>
      <c r="D3240" s="1" t="str">
        <f>"ملزومات اداري اصفهان"</f>
        <v>ملزومات اداري اصفهان</v>
      </c>
      <c r="E3240" s="1" t="str">
        <f>"0000011422"</f>
        <v>0000011422</v>
      </c>
      <c r="F3240" s="1" t="str">
        <f>"ماشين دوخت كوچك"</f>
        <v>ماشين دوخت كوچك</v>
      </c>
      <c r="G3240" s="1" t="str">
        <f>"عدد"</f>
        <v>عدد</v>
      </c>
      <c r="H3240" s="1">
        <v>5</v>
      </c>
      <c r="I3240" s="1">
        <v>1400000</v>
      </c>
      <c r="J3240" s="1">
        <v>0</v>
      </c>
      <c r="K3240" s="1">
        <v>0</v>
      </c>
      <c r="L3240" s="1">
        <v>5</v>
      </c>
      <c r="M3240" s="1">
        <v>1400000</v>
      </c>
      <c r="O3240" s="1">
        <v>97</v>
      </c>
      <c r="P3240" s="1">
        <f t="shared" si="150"/>
        <v>0</v>
      </c>
      <c r="Q3240" s="1">
        <f t="shared" si="151"/>
        <v>0</v>
      </c>
      <c r="R3240" s="1" t="e">
        <f t="shared" si="152"/>
        <v>#DIV/0!</v>
      </c>
    </row>
    <row r="3241" spans="1:18">
      <c r="A3241" s="1">
        <v>6</v>
      </c>
      <c r="B3241" s="1" t="str">
        <f>"موجودي ملزومات اداري"</f>
        <v>موجودي ملزومات اداري</v>
      </c>
      <c r="C3241" s="1">
        <v>110</v>
      </c>
      <c r="D3241" s="1" t="str">
        <f>"ملزومات اداري اصفهان"</f>
        <v>ملزومات اداري اصفهان</v>
      </c>
      <c r="E3241" s="1" t="str">
        <f>"0000011552"</f>
        <v>0000011552</v>
      </c>
      <c r="F3241" s="1" t="str">
        <f>"گيره كاغذ بزرگ"</f>
        <v>گيره كاغذ بزرگ</v>
      </c>
      <c r="G3241" s="1" t="str">
        <f>"عدد"</f>
        <v>عدد</v>
      </c>
      <c r="H3241" s="1">
        <v>98</v>
      </c>
      <c r="I3241" s="1">
        <v>372295</v>
      </c>
      <c r="J3241" s="1">
        <v>0</v>
      </c>
      <c r="K3241" s="1">
        <v>0</v>
      </c>
      <c r="L3241" s="1">
        <v>34</v>
      </c>
      <c r="M3241" s="1">
        <v>129163</v>
      </c>
      <c r="O3241" s="1">
        <v>97</v>
      </c>
      <c r="P3241" s="4">
        <f t="shared" si="150"/>
        <v>243132</v>
      </c>
      <c r="Q3241" s="4">
        <f t="shared" si="151"/>
        <v>64</v>
      </c>
      <c r="R3241" s="4">
        <f t="shared" si="152"/>
        <v>3798.9375</v>
      </c>
    </row>
    <row r="3242" spans="1:18" hidden="1">
      <c r="A3242" s="1">
        <v>6</v>
      </c>
      <c r="B3242" s="1" t="str">
        <f>"موجودي ملزومات اداري"</f>
        <v>موجودي ملزومات اداري</v>
      </c>
      <c r="C3242" s="1">
        <v>110</v>
      </c>
      <c r="D3242" s="1" t="str">
        <f>"ملزومات اداري اصفهان"</f>
        <v>ملزومات اداري اصفهان</v>
      </c>
      <c r="E3242" s="1" t="str">
        <f>"0000011572"</f>
        <v>0000011572</v>
      </c>
      <c r="F3242" s="1" t="str">
        <f>"گيره كاغذ کوچک"</f>
        <v>گيره كاغذ کوچک</v>
      </c>
      <c r="G3242" s="1" t="str">
        <f>"عدد"</f>
        <v>عدد</v>
      </c>
      <c r="H3242" s="1">
        <v>30</v>
      </c>
      <c r="I3242" s="1">
        <v>44108</v>
      </c>
      <c r="J3242" s="1">
        <v>98</v>
      </c>
      <c r="K3242" s="1">
        <v>1096000</v>
      </c>
      <c r="L3242" s="1">
        <v>128</v>
      </c>
      <c r="M3242" s="1">
        <v>1140108</v>
      </c>
      <c r="O3242" s="1">
        <v>97</v>
      </c>
      <c r="P3242" s="1">
        <f t="shared" si="150"/>
        <v>0</v>
      </c>
      <c r="Q3242" s="1">
        <f t="shared" si="151"/>
        <v>0</v>
      </c>
      <c r="R3242" s="1" t="e">
        <f t="shared" si="152"/>
        <v>#DIV/0!</v>
      </c>
    </row>
    <row r="3243" spans="1:18" hidden="1">
      <c r="A3243" s="1">
        <v>6</v>
      </c>
      <c r="B3243" s="1" t="str">
        <f>"موجودي ملزومات اداري"</f>
        <v>موجودي ملزومات اداري</v>
      </c>
      <c r="C3243" s="1">
        <v>110</v>
      </c>
      <c r="D3243" s="1" t="str">
        <f>"ملزومات اداري اصفهان"</f>
        <v>ملزومات اداري اصفهان</v>
      </c>
      <c r="E3243" s="1" t="str">
        <f>"0000011652"</f>
        <v>0000011652</v>
      </c>
      <c r="F3243" s="1" t="str">
        <f>"پوشه (پلاستيکي و مقوايي)"</f>
        <v>پوشه (پلاستيکي و مقوايي)</v>
      </c>
      <c r="G3243" s="1" t="str">
        <f>"عدد"</f>
        <v>عدد</v>
      </c>
      <c r="H3243" s="1">
        <v>56</v>
      </c>
      <c r="I3243" s="1">
        <v>616000</v>
      </c>
      <c r="J3243" s="1">
        <v>0</v>
      </c>
      <c r="K3243" s="1">
        <v>0</v>
      </c>
      <c r="L3243" s="1">
        <v>56</v>
      </c>
      <c r="M3243" s="1">
        <v>616000</v>
      </c>
      <c r="O3243" s="1">
        <v>97</v>
      </c>
      <c r="P3243" s="1">
        <f t="shared" si="150"/>
        <v>0</v>
      </c>
      <c r="Q3243" s="1">
        <f t="shared" si="151"/>
        <v>0</v>
      </c>
      <c r="R3243" s="1" t="e">
        <f t="shared" si="152"/>
        <v>#DIV/0!</v>
      </c>
    </row>
    <row r="3244" spans="1:18">
      <c r="A3244" s="1">
        <v>6</v>
      </c>
      <c r="B3244" s="1" t="str">
        <f>"موجودي ملزومات اداري"</f>
        <v>موجودي ملزومات اداري</v>
      </c>
      <c r="C3244" s="1">
        <v>110</v>
      </c>
      <c r="D3244" s="1" t="str">
        <f>"ملزومات اداري اصفهان"</f>
        <v>ملزومات اداري اصفهان</v>
      </c>
      <c r="E3244" s="1" t="str">
        <f>"0000017192"</f>
        <v>0000017192</v>
      </c>
      <c r="F3244" s="1" t="str">
        <f>"پارچه تنظيف ( آستري)"</f>
        <v>پارچه تنظيف ( آستري)</v>
      </c>
      <c r="G3244" s="1" t="str">
        <f>"متر"</f>
        <v>متر</v>
      </c>
      <c r="H3244" s="1">
        <v>350</v>
      </c>
      <c r="I3244" s="1">
        <v>5145000</v>
      </c>
      <c r="J3244" s="1">
        <v>2000</v>
      </c>
      <c r="K3244" s="1">
        <v>36000000</v>
      </c>
      <c r="L3244" s="1">
        <v>2087</v>
      </c>
      <c r="M3244" s="1">
        <v>36476404</v>
      </c>
      <c r="O3244" s="1">
        <v>97</v>
      </c>
      <c r="P3244" s="4">
        <f t="shared" si="150"/>
        <v>4668596</v>
      </c>
      <c r="Q3244" s="4">
        <f t="shared" si="151"/>
        <v>263</v>
      </c>
      <c r="R3244" s="4">
        <f t="shared" si="152"/>
        <v>17751.315589353613</v>
      </c>
    </row>
    <row r="3245" spans="1:18" hidden="1">
      <c r="A3245" s="1">
        <v>6</v>
      </c>
      <c r="B3245" s="1" t="str">
        <f>"موجودي ملزومات اداري"</f>
        <v>موجودي ملزومات اداري</v>
      </c>
      <c r="C3245" s="1">
        <v>110</v>
      </c>
      <c r="D3245" s="1" t="str">
        <f>"ملزومات اداري اصفهان"</f>
        <v>ملزومات اداري اصفهان</v>
      </c>
      <c r="E3245" s="1" t="str">
        <f>"0000017322"</f>
        <v>0000017322</v>
      </c>
      <c r="F3245" s="1" t="str">
        <f>"مايع ظرفشوئي"</f>
        <v>مايع ظرفشوئي</v>
      </c>
      <c r="G3245" s="1" t="str">
        <f>"ليتر"</f>
        <v>ليتر</v>
      </c>
      <c r="H3245" s="1">
        <v>138</v>
      </c>
      <c r="I3245" s="1">
        <v>6784848</v>
      </c>
      <c r="J3245" s="1">
        <v>350</v>
      </c>
      <c r="K3245" s="1">
        <v>22400000</v>
      </c>
      <c r="L3245" s="1">
        <v>488</v>
      </c>
      <c r="M3245" s="1">
        <v>29184848</v>
      </c>
      <c r="O3245" s="1">
        <v>97</v>
      </c>
      <c r="P3245" s="1">
        <f t="shared" si="150"/>
        <v>0</v>
      </c>
      <c r="Q3245" s="1">
        <f t="shared" si="151"/>
        <v>0</v>
      </c>
      <c r="R3245" s="1" t="e">
        <f t="shared" si="152"/>
        <v>#DIV/0!</v>
      </c>
    </row>
    <row r="3246" spans="1:18" hidden="1">
      <c r="A3246" s="1">
        <v>6</v>
      </c>
      <c r="B3246" s="1" t="str">
        <f>"موجودي ملزومات اداري"</f>
        <v>موجودي ملزومات اداري</v>
      </c>
      <c r="C3246" s="1">
        <v>110</v>
      </c>
      <c r="D3246" s="1" t="str">
        <f>"ملزومات اداري اصفهان"</f>
        <v>ملزومات اداري اصفهان</v>
      </c>
      <c r="E3246" s="1" t="str">
        <f>"0000017432"</f>
        <v>0000017432</v>
      </c>
      <c r="F3246" s="1" t="str">
        <f>"سفره يک بار مصرف"</f>
        <v>سفره يک بار مصرف</v>
      </c>
      <c r="G3246" s="1" t="str">
        <f>"عدد"</f>
        <v>عدد</v>
      </c>
      <c r="H3246" s="1">
        <v>0</v>
      </c>
      <c r="I3246" s="1">
        <v>0</v>
      </c>
      <c r="J3246" s="1">
        <v>0</v>
      </c>
      <c r="K3246" s="1">
        <v>0</v>
      </c>
      <c r="L3246" s="1">
        <v>0</v>
      </c>
      <c r="M3246" s="1">
        <v>0</v>
      </c>
      <c r="O3246" s="1">
        <v>97</v>
      </c>
      <c r="P3246" s="1">
        <f t="shared" si="150"/>
        <v>0</v>
      </c>
      <c r="Q3246" s="1">
        <f t="shared" si="151"/>
        <v>0</v>
      </c>
      <c r="R3246" s="1" t="e">
        <f t="shared" si="152"/>
        <v>#DIV/0!</v>
      </c>
    </row>
    <row r="3247" spans="1:18">
      <c r="A3247" s="1">
        <v>6</v>
      </c>
      <c r="B3247" s="1" t="str">
        <f>"موجودي ملزومات اداري"</f>
        <v>موجودي ملزومات اداري</v>
      </c>
      <c r="C3247" s="1">
        <v>110</v>
      </c>
      <c r="D3247" s="1" t="str">
        <f>"ملزومات اداري اصفهان"</f>
        <v>ملزومات اداري اصفهان</v>
      </c>
      <c r="E3247" s="1" t="str">
        <f>"0000017832"</f>
        <v>0000017832</v>
      </c>
      <c r="F3247" s="1" t="str">
        <f>"باطري بزرگ"</f>
        <v>باطري بزرگ</v>
      </c>
      <c r="G3247" s="1" t="str">
        <f>"عدد"</f>
        <v>عدد</v>
      </c>
      <c r="H3247" s="1">
        <v>14</v>
      </c>
      <c r="I3247" s="1">
        <v>270625</v>
      </c>
      <c r="J3247" s="1">
        <v>30</v>
      </c>
      <c r="K3247" s="1">
        <v>900000</v>
      </c>
      <c r="L3247" s="1">
        <v>0</v>
      </c>
      <c r="M3247" s="1">
        <v>0</v>
      </c>
      <c r="O3247" s="1">
        <v>97</v>
      </c>
      <c r="P3247" s="4">
        <f t="shared" si="150"/>
        <v>1170625</v>
      </c>
      <c r="Q3247" s="4">
        <f t="shared" si="151"/>
        <v>44</v>
      </c>
      <c r="R3247" s="4">
        <f t="shared" si="152"/>
        <v>26605.113636363636</v>
      </c>
    </row>
    <row r="3248" spans="1:18">
      <c r="A3248" s="1">
        <v>6</v>
      </c>
      <c r="B3248" s="1" t="str">
        <f>"موجودي ملزومات اداري"</f>
        <v>موجودي ملزومات اداري</v>
      </c>
      <c r="C3248" s="1">
        <v>110</v>
      </c>
      <c r="D3248" s="1" t="str">
        <f>"ملزومات اداري اصفهان"</f>
        <v>ملزومات اداري اصفهان</v>
      </c>
      <c r="E3248" s="1" t="str">
        <f>"0000020112"</f>
        <v>0000020112</v>
      </c>
      <c r="F3248" s="1" t="str">
        <f>"كلاه ايمني"</f>
        <v>كلاه ايمني</v>
      </c>
      <c r="G3248" s="1" t="str">
        <f>"عدد"</f>
        <v>عدد</v>
      </c>
      <c r="H3248" s="1">
        <v>3</v>
      </c>
      <c r="I3248" s="1">
        <v>908459</v>
      </c>
      <c r="J3248" s="1">
        <v>116</v>
      </c>
      <c r="K3248" s="1">
        <v>63849000</v>
      </c>
      <c r="L3248" s="1">
        <v>79</v>
      </c>
      <c r="M3248" s="1">
        <v>41862563</v>
      </c>
      <c r="O3248" s="1">
        <v>97</v>
      </c>
      <c r="P3248" s="4">
        <f t="shared" si="150"/>
        <v>22894896</v>
      </c>
      <c r="Q3248" s="4">
        <f t="shared" si="151"/>
        <v>40</v>
      </c>
      <c r="R3248" s="4">
        <f t="shared" si="152"/>
        <v>572372.4</v>
      </c>
    </row>
    <row r="3249" spans="1:18">
      <c r="A3249" s="1">
        <v>6</v>
      </c>
      <c r="B3249" s="1" t="str">
        <f>"موجودي ملزومات اداري"</f>
        <v>موجودي ملزومات اداري</v>
      </c>
      <c r="C3249" s="1">
        <v>110</v>
      </c>
      <c r="D3249" s="1" t="str">
        <f>"ملزومات اداري اصفهان"</f>
        <v>ملزومات اداري اصفهان</v>
      </c>
      <c r="E3249" s="1" t="str">
        <f>"0000020142"</f>
        <v>0000020142</v>
      </c>
      <c r="F3249" s="1" t="str">
        <f>"Air plug (گوشي داخل گوش)"</f>
        <v>Air plug (گوشي داخل گوش)</v>
      </c>
      <c r="G3249" s="1" t="str">
        <f>"عدد"</f>
        <v>عدد</v>
      </c>
      <c r="H3249" s="1">
        <v>15</v>
      </c>
      <c r="I3249" s="1">
        <v>300000</v>
      </c>
      <c r="J3249" s="1">
        <v>100</v>
      </c>
      <c r="K3249" s="1">
        <v>5000000</v>
      </c>
      <c r="L3249" s="1">
        <v>45</v>
      </c>
      <c r="M3249" s="1">
        <v>1800000</v>
      </c>
      <c r="O3249" s="1">
        <v>97</v>
      </c>
      <c r="P3249" s="4">
        <f t="shared" si="150"/>
        <v>3500000</v>
      </c>
      <c r="Q3249" s="4">
        <f t="shared" si="151"/>
        <v>70</v>
      </c>
      <c r="R3249" s="4">
        <f t="shared" si="152"/>
        <v>50000</v>
      </c>
    </row>
    <row r="3250" spans="1:18">
      <c r="A3250" s="1">
        <v>6</v>
      </c>
      <c r="B3250" s="1" t="str">
        <f>"موجودي ملزومات اداري"</f>
        <v>موجودي ملزومات اداري</v>
      </c>
      <c r="C3250" s="1">
        <v>110</v>
      </c>
      <c r="D3250" s="1" t="str">
        <f>"ملزومات اداري اصفهان"</f>
        <v>ملزومات اداري اصفهان</v>
      </c>
      <c r="E3250" s="1" t="str">
        <f>"0000030352"</f>
        <v>0000030352</v>
      </c>
      <c r="F3250" s="1" t="str">
        <f>"قفل کمد 808"</f>
        <v>قفل کمد 808</v>
      </c>
      <c r="G3250" s="1" t="str">
        <f>"عدد"</f>
        <v>عدد</v>
      </c>
      <c r="H3250" s="1">
        <v>20</v>
      </c>
      <c r="I3250" s="1">
        <v>800000</v>
      </c>
      <c r="J3250" s="1">
        <v>41</v>
      </c>
      <c r="K3250" s="1">
        <v>4440000</v>
      </c>
      <c r="L3250" s="1">
        <v>21</v>
      </c>
      <c r="M3250" s="1">
        <v>908293</v>
      </c>
      <c r="O3250" s="1">
        <v>97</v>
      </c>
      <c r="P3250" s="4">
        <f t="shared" si="150"/>
        <v>4331707</v>
      </c>
      <c r="Q3250" s="4">
        <f t="shared" si="151"/>
        <v>40</v>
      </c>
      <c r="R3250" s="4">
        <f t="shared" si="152"/>
        <v>108292.675</v>
      </c>
    </row>
    <row r="3251" spans="1:18" hidden="1">
      <c r="A3251" s="1">
        <v>6</v>
      </c>
      <c r="B3251" s="1" t="str">
        <f>"موجودي ملزومات اداري"</f>
        <v>موجودي ملزومات اداري</v>
      </c>
      <c r="C3251" s="1">
        <v>110</v>
      </c>
      <c r="D3251" s="1" t="str">
        <f>"ملزومات اداري اصفهان"</f>
        <v>ملزومات اداري اصفهان</v>
      </c>
      <c r="E3251" s="1" t="str">
        <f>"1501020142"</f>
        <v>1501020142</v>
      </c>
      <c r="F3251" s="1" t="str">
        <f>"هواکش 35 فلزي الکترووفن"</f>
        <v>هواکش 35 فلزي الکترووفن</v>
      </c>
      <c r="G3251" s="1" t="str">
        <f>"عدد"</f>
        <v>عدد</v>
      </c>
      <c r="H3251" s="1">
        <v>0</v>
      </c>
      <c r="I3251" s="1">
        <v>0</v>
      </c>
      <c r="J3251" s="1">
        <v>1</v>
      </c>
      <c r="K3251" s="1">
        <v>3300000</v>
      </c>
      <c r="L3251" s="1">
        <v>1</v>
      </c>
      <c r="M3251" s="1">
        <v>3300000</v>
      </c>
      <c r="O3251" s="1">
        <v>97</v>
      </c>
      <c r="P3251" s="1">
        <f t="shared" si="150"/>
        <v>0</v>
      </c>
      <c r="Q3251" s="1">
        <f t="shared" si="151"/>
        <v>0</v>
      </c>
      <c r="R3251" s="1" t="e">
        <f t="shared" si="152"/>
        <v>#DIV/0!</v>
      </c>
    </row>
    <row r="3252" spans="1:18" hidden="1">
      <c r="A3252" s="1">
        <v>6</v>
      </c>
      <c r="B3252" s="1" t="str">
        <f>"موجودي ملزومات اداري"</f>
        <v>موجودي ملزومات اداري</v>
      </c>
      <c r="C3252" s="1">
        <v>110</v>
      </c>
      <c r="D3252" s="1" t="str">
        <f>"ملزومات اداري اصفهان"</f>
        <v>ملزومات اداري اصفهان</v>
      </c>
      <c r="E3252" s="1" t="str">
        <f>"1501020872"</f>
        <v>1501020872</v>
      </c>
      <c r="F3252" s="1" t="str">
        <f>"شيلنگ کولر"</f>
        <v>شيلنگ کولر</v>
      </c>
      <c r="G3252" s="1" t="str">
        <f>"متر"</f>
        <v>متر</v>
      </c>
      <c r="H3252" s="1">
        <v>0</v>
      </c>
      <c r="I3252" s="1">
        <v>0</v>
      </c>
      <c r="J3252" s="1">
        <v>10</v>
      </c>
      <c r="K3252" s="1">
        <v>70000</v>
      </c>
      <c r="L3252" s="1">
        <v>10</v>
      </c>
      <c r="M3252" s="1">
        <v>70000</v>
      </c>
      <c r="O3252" s="1">
        <v>97</v>
      </c>
      <c r="P3252" s="1">
        <f t="shared" si="150"/>
        <v>0</v>
      </c>
      <c r="Q3252" s="1">
        <f t="shared" si="151"/>
        <v>0</v>
      </c>
      <c r="R3252" s="1" t="e">
        <f t="shared" si="152"/>
        <v>#DIV/0!</v>
      </c>
    </row>
    <row r="3253" spans="1:18">
      <c r="A3253" s="1">
        <v>6</v>
      </c>
      <c r="B3253" s="1" t="str">
        <f>"موجودي ملزومات اداري"</f>
        <v>موجودي ملزومات اداري</v>
      </c>
      <c r="C3253" s="1">
        <v>110</v>
      </c>
      <c r="D3253" s="1" t="str">
        <f>"ملزومات اداري اصفهان"</f>
        <v>ملزومات اداري اصفهان</v>
      </c>
      <c r="E3253" s="1" t="str">
        <f>"1501021222"</f>
        <v>1501021222</v>
      </c>
      <c r="F3253" s="1" t="str">
        <f>"نوار خطر"</f>
        <v>نوار خطر</v>
      </c>
      <c r="G3253" s="1" t="str">
        <f>"رول"</f>
        <v>رول</v>
      </c>
      <c r="H3253" s="1">
        <v>30</v>
      </c>
      <c r="I3253" s="1">
        <v>3000000</v>
      </c>
      <c r="J3253" s="1">
        <v>0</v>
      </c>
      <c r="K3253" s="1">
        <v>0</v>
      </c>
      <c r="L3253" s="1">
        <v>19</v>
      </c>
      <c r="M3253" s="1">
        <v>1900000</v>
      </c>
      <c r="O3253" s="1">
        <v>97</v>
      </c>
      <c r="P3253" s="4">
        <f t="shared" si="150"/>
        <v>1100000</v>
      </c>
      <c r="Q3253" s="4">
        <f t="shared" si="151"/>
        <v>11</v>
      </c>
      <c r="R3253" s="4">
        <f t="shared" si="152"/>
        <v>100000</v>
      </c>
    </row>
    <row r="3254" spans="1:18" hidden="1">
      <c r="A3254" s="1">
        <v>6</v>
      </c>
      <c r="B3254" s="1" t="str">
        <f>"موجودي ملزومات اداري"</f>
        <v>موجودي ملزومات اداري</v>
      </c>
      <c r="C3254" s="1">
        <v>110</v>
      </c>
      <c r="D3254" s="1" t="str">
        <f>"ملزومات اداري اصفهان"</f>
        <v>ملزومات اداري اصفهان</v>
      </c>
      <c r="E3254" s="1" t="str">
        <f>"1501021282"</f>
        <v>1501021282</v>
      </c>
      <c r="F3254" s="1" t="str">
        <f>"دستکش DNG (مقاوم در برابر حلال)"</f>
        <v>دستکش DNG (مقاوم در برابر حلال)</v>
      </c>
      <c r="G3254" s="1" t="str">
        <f>"بسته"</f>
        <v>بسته</v>
      </c>
      <c r="H3254" s="1">
        <v>0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O3254" s="1">
        <v>97</v>
      </c>
      <c r="P3254" s="1">
        <f t="shared" si="150"/>
        <v>0</v>
      </c>
      <c r="Q3254" s="1">
        <f t="shared" si="151"/>
        <v>0</v>
      </c>
      <c r="R3254" s="1" t="e">
        <f t="shared" si="152"/>
        <v>#DIV/0!</v>
      </c>
    </row>
    <row r="3255" spans="1:18" hidden="1">
      <c r="A3255" s="1">
        <v>6</v>
      </c>
      <c r="B3255" s="1" t="str">
        <f>"موجودي ملزومات اداري"</f>
        <v>موجودي ملزومات اداري</v>
      </c>
      <c r="C3255" s="1">
        <v>110</v>
      </c>
      <c r="D3255" s="1" t="str">
        <f>"ملزومات اداري اصفهان"</f>
        <v>ملزومات اداري اصفهان</v>
      </c>
      <c r="E3255" s="1" t="str">
        <f>"1501021352"</f>
        <v>1501021352</v>
      </c>
      <c r="F3255" s="1" t="str">
        <f>"پلاستيک زباله 70*60"</f>
        <v>پلاستيک زباله 70*60</v>
      </c>
      <c r="G3255" s="1" t="str">
        <f>"كيلوگرم"</f>
        <v>كيلوگرم</v>
      </c>
      <c r="H3255" s="1">
        <v>0</v>
      </c>
      <c r="I3255" s="1">
        <v>0</v>
      </c>
      <c r="J3255" s="1">
        <v>70</v>
      </c>
      <c r="K3255" s="1">
        <v>3360000</v>
      </c>
      <c r="L3255" s="1">
        <v>70</v>
      </c>
      <c r="M3255" s="1">
        <v>3360000</v>
      </c>
      <c r="O3255" s="1">
        <v>97</v>
      </c>
      <c r="P3255" s="1">
        <f t="shared" si="150"/>
        <v>0</v>
      </c>
      <c r="Q3255" s="1">
        <f t="shared" si="151"/>
        <v>0</v>
      </c>
      <c r="R3255" s="1" t="e">
        <f t="shared" si="152"/>
        <v>#DIV/0!</v>
      </c>
    </row>
    <row r="3256" spans="1:18">
      <c r="A3256" s="1">
        <v>6</v>
      </c>
      <c r="B3256" s="1" t="str">
        <f>"موجودي ملزومات اداري"</f>
        <v>موجودي ملزومات اداري</v>
      </c>
      <c r="C3256" s="1">
        <v>110</v>
      </c>
      <c r="D3256" s="1" t="str">
        <f>"ملزومات اداري اصفهان"</f>
        <v>ملزومات اداري اصفهان</v>
      </c>
      <c r="E3256" s="1" t="str">
        <f>"1501021392"</f>
        <v>1501021392</v>
      </c>
      <c r="F3256" s="1" t="str">
        <f>"مجوز داربست"</f>
        <v>مجوز داربست</v>
      </c>
      <c r="G3256" s="1" t="str">
        <f>"پد"</f>
        <v>پد</v>
      </c>
      <c r="H3256" s="1">
        <v>50</v>
      </c>
      <c r="I3256" s="1">
        <v>4500000</v>
      </c>
      <c r="J3256" s="1">
        <v>0</v>
      </c>
      <c r="K3256" s="1">
        <v>0</v>
      </c>
      <c r="L3256" s="1">
        <v>3</v>
      </c>
      <c r="M3256" s="1">
        <v>270000</v>
      </c>
      <c r="O3256" s="1">
        <v>97</v>
      </c>
      <c r="P3256" s="4">
        <f t="shared" si="150"/>
        <v>4230000</v>
      </c>
      <c r="Q3256" s="4">
        <f t="shared" si="151"/>
        <v>47</v>
      </c>
      <c r="R3256" s="4">
        <f t="shared" si="152"/>
        <v>90000</v>
      </c>
    </row>
    <row r="3257" spans="1:18" hidden="1">
      <c r="A3257" s="1">
        <v>6</v>
      </c>
      <c r="B3257" s="1" t="str">
        <f>"موجودي ملزومات اداري"</f>
        <v>موجودي ملزومات اداري</v>
      </c>
      <c r="C3257" s="1">
        <v>110</v>
      </c>
      <c r="D3257" s="1" t="str">
        <f>"ملزومات اداري اصفهان"</f>
        <v>ملزومات اداري اصفهان</v>
      </c>
      <c r="E3257" s="1" t="str">
        <f>"1501030022"</f>
        <v>1501030022</v>
      </c>
      <c r="F3257" s="1" t="str">
        <f>"کارتريج 05A"</f>
        <v>کارتريج 05A</v>
      </c>
      <c r="G3257" s="1" t="str">
        <f>"عدد"</f>
        <v>عدد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O3257" s="1">
        <v>97</v>
      </c>
      <c r="P3257" s="1">
        <f t="shared" si="150"/>
        <v>0</v>
      </c>
      <c r="Q3257" s="1">
        <f t="shared" si="151"/>
        <v>0</v>
      </c>
      <c r="R3257" s="1" t="e">
        <f t="shared" si="152"/>
        <v>#DIV/0!</v>
      </c>
    </row>
    <row r="3258" spans="1:18" hidden="1">
      <c r="A3258" s="1">
        <v>6</v>
      </c>
      <c r="B3258" s="1" t="str">
        <f>"موجودي ملزومات اداري"</f>
        <v>موجودي ملزومات اداري</v>
      </c>
      <c r="C3258" s="1">
        <v>110</v>
      </c>
      <c r="D3258" s="1" t="str">
        <f>"ملزومات اداري اصفهان"</f>
        <v>ملزومات اداري اصفهان</v>
      </c>
      <c r="E3258" s="1" t="str">
        <f>"1502030052"</f>
        <v>1502030052</v>
      </c>
      <c r="F3258" s="1" t="str">
        <f>"انبردست"</f>
        <v>انبردست</v>
      </c>
      <c r="G3258" s="1" t="str">
        <f>"عدد"</f>
        <v>عدد</v>
      </c>
      <c r="H3258" s="1">
        <v>0</v>
      </c>
      <c r="I3258" s="1">
        <v>0</v>
      </c>
      <c r="J3258" s="1">
        <v>1</v>
      </c>
      <c r="K3258" s="1">
        <v>500000</v>
      </c>
      <c r="L3258" s="1">
        <v>1</v>
      </c>
      <c r="M3258" s="1">
        <v>500000</v>
      </c>
      <c r="O3258" s="1">
        <v>97</v>
      </c>
      <c r="P3258" s="1">
        <f t="shared" si="150"/>
        <v>0</v>
      </c>
      <c r="Q3258" s="1">
        <f t="shared" si="151"/>
        <v>0</v>
      </c>
      <c r="R3258" s="1" t="e">
        <f t="shared" si="152"/>
        <v>#DIV/0!</v>
      </c>
    </row>
    <row r="3259" spans="1:18" hidden="1">
      <c r="A3259" s="1">
        <v>6</v>
      </c>
      <c r="B3259" s="1" t="str">
        <f>"موجودي ملزومات اداري"</f>
        <v>موجودي ملزومات اداري</v>
      </c>
      <c r="C3259" s="1">
        <v>110</v>
      </c>
      <c r="D3259" s="1" t="str">
        <f>"ملزومات اداري اصفهان"</f>
        <v>ملزومات اداري اصفهان</v>
      </c>
      <c r="E3259" s="1" t="str">
        <f>"1502030082"</f>
        <v>1502030082</v>
      </c>
      <c r="F3259" s="1" t="str">
        <f>"اتيکت پلکسي مشکي"</f>
        <v>اتيکت پلکسي مشکي</v>
      </c>
      <c r="G3259" s="1" t="str">
        <f>"عدد"</f>
        <v>عدد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O3259" s="1">
        <v>97</v>
      </c>
      <c r="P3259" s="1">
        <f t="shared" si="150"/>
        <v>0</v>
      </c>
      <c r="Q3259" s="1">
        <f t="shared" si="151"/>
        <v>0</v>
      </c>
      <c r="R3259" s="1" t="e">
        <f t="shared" si="152"/>
        <v>#DIV/0!</v>
      </c>
    </row>
    <row r="3260" spans="1:18" hidden="1">
      <c r="A3260" s="1">
        <v>6</v>
      </c>
      <c r="B3260" s="1" t="str">
        <f>"موجودي ملزومات اداري"</f>
        <v>موجودي ملزومات اداري</v>
      </c>
      <c r="C3260" s="1">
        <v>110</v>
      </c>
      <c r="D3260" s="1" t="str">
        <f>"ملزومات اداري اصفهان"</f>
        <v>ملزومات اداري اصفهان</v>
      </c>
      <c r="E3260" s="1" t="str">
        <f>"1502030142"</f>
        <v>1502030142</v>
      </c>
      <c r="F3260" s="1" t="str">
        <f>"پيچ گوشتي چکش خور"</f>
        <v>پيچ گوشتي چکش خور</v>
      </c>
      <c r="G3260" s="1" t="str">
        <f>"ST"</f>
        <v>ST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O3260" s="1">
        <v>97</v>
      </c>
      <c r="P3260" s="1">
        <f t="shared" si="150"/>
        <v>0</v>
      </c>
      <c r="Q3260" s="1">
        <f t="shared" si="151"/>
        <v>0</v>
      </c>
      <c r="R3260" s="1" t="e">
        <f t="shared" si="152"/>
        <v>#DIV/0!</v>
      </c>
    </row>
    <row r="3261" spans="1:18" hidden="1">
      <c r="A3261" s="1">
        <v>6</v>
      </c>
      <c r="B3261" s="1" t="str">
        <f>"موجودي ملزومات اداري"</f>
        <v>موجودي ملزومات اداري</v>
      </c>
      <c r="C3261" s="1">
        <v>110</v>
      </c>
      <c r="D3261" s="1" t="str">
        <f>"ملزومات اداري اصفهان"</f>
        <v>ملزومات اداري اصفهان</v>
      </c>
      <c r="E3261" s="1" t="str">
        <f>"1502030242"</f>
        <v>1502030242</v>
      </c>
      <c r="F3261" s="1" t="str">
        <f>"کاردک مخصوص دستگاه RTFO"</f>
        <v>کاردک مخصوص دستگاه RTFO</v>
      </c>
      <c r="G3261" s="1" t="str">
        <f>"عدد"</f>
        <v>عدد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O3261" s="1">
        <v>97</v>
      </c>
      <c r="P3261" s="1">
        <f t="shared" si="150"/>
        <v>0</v>
      </c>
      <c r="Q3261" s="1">
        <f t="shared" si="151"/>
        <v>0</v>
      </c>
      <c r="R3261" s="1" t="e">
        <f t="shared" si="152"/>
        <v>#DIV/0!</v>
      </c>
    </row>
    <row r="3262" spans="1:18" hidden="1">
      <c r="A3262" s="1">
        <v>6</v>
      </c>
      <c r="B3262" s="1" t="str">
        <f>"موجودي ملزومات اداري"</f>
        <v>موجودي ملزومات اداري</v>
      </c>
      <c r="C3262" s="1">
        <v>110</v>
      </c>
      <c r="D3262" s="1" t="str">
        <f>"ملزومات اداري اصفهان"</f>
        <v>ملزومات اداري اصفهان</v>
      </c>
      <c r="E3262" s="1" t="str">
        <f>"1502030292"</f>
        <v>1502030292</v>
      </c>
      <c r="F3262" s="1" t="str">
        <f>"جا کليدي ديواري"</f>
        <v>جا کليدي ديواري</v>
      </c>
      <c r="G3262" s="1" t="str">
        <f>"عدد"</f>
        <v>عدد</v>
      </c>
      <c r="H3262" s="1">
        <v>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O3262" s="1">
        <v>97</v>
      </c>
      <c r="P3262" s="1">
        <f t="shared" si="150"/>
        <v>0</v>
      </c>
      <c r="Q3262" s="1">
        <f t="shared" si="151"/>
        <v>0</v>
      </c>
      <c r="R3262" s="1" t="e">
        <f t="shared" si="152"/>
        <v>#DIV/0!</v>
      </c>
    </row>
    <row r="3263" spans="1:18" hidden="1">
      <c r="A3263" s="1">
        <v>6</v>
      </c>
      <c r="B3263" s="1" t="str">
        <f>"موجودي ملزومات اداري"</f>
        <v>موجودي ملزومات اداري</v>
      </c>
      <c r="C3263" s="1">
        <v>110</v>
      </c>
      <c r="D3263" s="1" t="str">
        <f>"ملزومات اداري اصفهان"</f>
        <v>ملزومات اداري اصفهان</v>
      </c>
      <c r="E3263" s="1" t="str">
        <f>"1502030312"</f>
        <v>1502030312</v>
      </c>
      <c r="F3263" s="1" t="str">
        <f>"پيچ گوشتي ساعتي"</f>
        <v>پيچ گوشتي ساعتي</v>
      </c>
      <c r="G3263" s="1" t="str">
        <f>"عدد"</f>
        <v>عدد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O3263" s="1">
        <v>97</v>
      </c>
      <c r="P3263" s="1">
        <f t="shared" si="150"/>
        <v>0</v>
      </c>
      <c r="Q3263" s="1">
        <f t="shared" si="151"/>
        <v>0</v>
      </c>
      <c r="R3263" s="1" t="e">
        <f t="shared" si="152"/>
        <v>#DIV/0!</v>
      </c>
    </row>
    <row r="3264" spans="1:18" hidden="1">
      <c r="A3264" s="1">
        <v>6</v>
      </c>
      <c r="B3264" s="1" t="str">
        <f>"موجودي ملزومات اداري"</f>
        <v>موجودي ملزومات اداري</v>
      </c>
      <c r="C3264" s="1">
        <v>110</v>
      </c>
      <c r="D3264" s="1" t="str">
        <f>"ملزومات اداري اصفهان"</f>
        <v>ملزومات اداري اصفهان</v>
      </c>
      <c r="E3264" s="1" t="str">
        <f>"1502030592"</f>
        <v>1502030592</v>
      </c>
      <c r="F3264" s="1" t="str">
        <f>"چهار تراش 30*30 به طول 2 متر"</f>
        <v>چهار تراش 30*30 به طول 2 متر</v>
      </c>
      <c r="G3264" s="1" t="str">
        <f>"عدد"</f>
        <v>عدد</v>
      </c>
      <c r="H3264" s="1">
        <v>0</v>
      </c>
      <c r="I3264" s="1">
        <v>0</v>
      </c>
      <c r="J3264" s="1">
        <v>10</v>
      </c>
      <c r="K3264" s="1">
        <v>14800000</v>
      </c>
      <c r="L3264" s="1">
        <v>10</v>
      </c>
      <c r="M3264" s="1">
        <v>14800000</v>
      </c>
      <c r="O3264" s="1">
        <v>97</v>
      </c>
      <c r="P3264" s="1">
        <f t="shared" si="150"/>
        <v>0</v>
      </c>
      <c r="Q3264" s="1">
        <f t="shared" si="151"/>
        <v>0</v>
      </c>
      <c r="R3264" s="1" t="e">
        <f t="shared" si="152"/>
        <v>#DIV/0!</v>
      </c>
    </row>
    <row r="3265" spans="1:18" hidden="1">
      <c r="A3265" s="1">
        <v>6</v>
      </c>
      <c r="B3265" s="1" t="str">
        <f>"موجودي ملزومات اداري"</f>
        <v>موجودي ملزومات اداري</v>
      </c>
      <c r="C3265" s="1">
        <v>110</v>
      </c>
      <c r="D3265" s="1" t="str">
        <f>"ملزومات اداري اصفهان"</f>
        <v>ملزومات اداري اصفهان</v>
      </c>
      <c r="E3265" s="1" t="str">
        <f>"1502030642"</f>
        <v>1502030642</v>
      </c>
      <c r="F3265" s="1" t="str">
        <f>"کفپوش عايق برق"</f>
        <v>کفپوش عايق برق</v>
      </c>
      <c r="G3265" s="1" t="str">
        <f>"متر"</f>
        <v>متر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O3265" s="1">
        <v>97</v>
      </c>
      <c r="P3265" s="1">
        <f t="shared" si="150"/>
        <v>0</v>
      </c>
      <c r="Q3265" s="1">
        <f t="shared" si="151"/>
        <v>0</v>
      </c>
      <c r="R3265" s="1" t="e">
        <f t="shared" si="152"/>
        <v>#DIV/0!</v>
      </c>
    </row>
    <row r="3266" spans="1:18" hidden="1">
      <c r="A3266" s="1">
        <v>6</v>
      </c>
      <c r="B3266" s="1" t="str">
        <f>"موجودي ملزومات اداري"</f>
        <v>موجودي ملزومات اداري</v>
      </c>
      <c r="C3266" s="1">
        <v>110</v>
      </c>
      <c r="D3266" s="1" t="str">
        <f>"ملزومات اداري اصفهان"</f>
        <v>ملزومات اداري اصفهان</v>
      </c>
      <c r="E3266" s="1" t="str">
        <f>"1502030662"</f>
        <v>1502030662</v>
      </c>
      <c r="F3266" s="1" t="str">
        <f>"ميکروفن بي سيم"</f>
        <v>ميکروفن بي سيم</v>
      </c>
      <c r="G3266" s="1" t="str">
        <f>"عدد"</f>
        <v>عدد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O3266" s="1">
        <v>97</v>
      </c>
      <c r="P3266" s="1">
        <f t="shared" si="150"/>
        <v>0</v>
      </c>
      <c r="Q3266" s="1">
        <f t="shared" si="151"/>
        <v>0</v>
      </c>
      <c r="R3266" s="1" t="e">
        <f t="shared" si="152"/>
        <v>#DIV/0!</v>
      </c>
    </row>
    <row r="3267" spans="1:18" hidden="1">
      <c r="A3267" s="1">
        <v>6</v>
      </c>
      <c r="B3267" s="1" t="str">
        <f>"موجودي ملزومات اداري"</f>
        <v>موجودي ملزومات اداري</v>
      </c>
      <c r="C3267" s="1">
        <v>110</v>
      </c>
      <c r="D3267" s="1" t="str">
        <f>"ملزومات اداري اصفهان"</f>
        <v>ملزومات اداري اصفهان</v>
      </c>
      <c r="E3267" s="1" t="str">
        <f>"1502030702"</f>
        <v>1502030702</v>
      </c>
      <c r="F3267" s="1" t="str">
        <f>"يک سر تخت يک س رينگي 6-7-8-9-10-17"</f>
        <v>يک سر تخت يک س رينگي 6-7-8-9-10-17</v>
      </c>
      <c r="G3267" s="1" t="str">
        <f>"عدد"</f>
        <v>عدد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O3267" s="1">
        <v>97</v>
      </c>
      <c r="P3267" s="1">
        <f t="shared" ref="P3267:P3330" si="153">I3267+K3267-M3267</f>
        <v>0</v>
      </c>
      <c r="Q3267" s="1">
        <f t="shared" ref="Q3267:Q3330" si="154">H3267+J3267-L3267</f>
        <v>0</v>
      </c>
      <c r="R3267" s="1" t="e">
        <f t="shared" ref="R3267:R3330" si="155">P3267/Q3267</f>
        <v>#DIV/0!</v>
      </c>
    </row>
    <row r="3268" spans="1:18" hidden="1">
      <c r="A3268" s="1">
        <v>6</v>
      </c>
      <c r="B3268" s="1" t="str">
        <f>"موجودي ملزومات اداري"</f>
        <v>موجودي ملزومات اداري</v>
      </c>
      <c r="C3268" s="1">
        <v>110</v>
      </c>
      <c r="D3268" s="1" t="str">
        <f>"ملزومات اداري اصفهان"</f>
        <v>ملزومات اداري اصفهان</v>
      </c>
      <c r="E3268" s="1" t="str">
        <f>"1502030882"</f>
        <v>1502030882</v>
      </c>
      <c r="F3268" s="1" t="str">
        <f>"پيستوله رنگ"</f>
        <v>پيستوله رنگ</v>
      </c>
      <c r="G3268" s="1" t="str">
        <f>"عدد"</f>
        <v>عدد</v>
      </c>
      <c r="H3268" s="1">
        <v>0</v>
      </c>
      <c r="I3268" s="1">
        <v>0</v>
      </c>
      <c r="J3268" s="1">
        <v>1</v>
      </c>
      <c r="K3268" s="1">
        <v>850000</v>
      </c>
      <c r="L3268" s="1">
        <v>1</v>
      </c>
      <c r="M3268" s="1">
        <v>850000</v>
      </c>
      <c r="O3268" s="1">
        <v>97</v>
      </c>
      <c r="P3268" s="1">
        <f t="shared" si="153"/>
        <v>0</v>
      </c>
      <c r="Q3268" s="1">
        <f t="shared" si="154"/>
        <v>0</v>
      </c>
      <c r="R3268" s="1" t="e">
        <f t="shared" si="155"/>
        <v>#DIV/0!</v>
      </c>
    </row>
    <row r="3269" spans="1:18" hidden="1">
      <c r="A3269" s="1">
        <v>6</v>
      </c>
      <c r="B3269" s="1" t="str">
        <f>"موجودي ملزومات اداري"</f>
        <v>موجودي ملزومات اداري</v>
      </c>
      <c r="C3269" s="1">
        <v>110</v>
      </c>
      <c r="D3269" s="1" t="str">
        <f>"ملزومات اداري اصفهان"</f>
        <v>ملزومات اداري اصفهان</v>
      </c>
      <c r="E3269" s="1" t="str">
        <f>"1502031132"</f>
        <v>1502031132</v>
      </c>
      <c r="F3269" s="1" t="str">
        <f>"کفپوش عرض 1 متر"</f>
        <v>کفپوش عرض 1 متر</v>
      </c>
      <c r="G3269" s="1" t="str">
        <f>"متر"</f>
        <v>متر</v>
      </c>
      <c r="H3269" s="1">
        <v>0</v>
      </c>
      <c r="I3269" s="1">
        <v>0</v>
      </c>
      <c r="J3269" s="1">
        <v>40</v>
      </c>
      <c r="K3269" s="1">
        <v>8000000</v>
      </c>
      <c r="L3269" s="1">
        <v>40</v>
      </c>
      <c r="M3269" s="1">
        <v>8000000</v>
      </c>
      <c r="O3269" s="1">
        <v>97</v>
      </c>
      <c r="P3269" s="1">
        <f t="shared" si="153"/>
        <v>0</v>
      </c>
      <c r="Q3269" s="1">
        <f t="shared" si="154"/>
        <v>0</v>
      </c>
      <c r="R3269" s="1" t="e">
        <f t="shared" si="155"/>
        <v>#DIV/0!</v>
      </c>
    </row>
    <row r="3270" spans="1:18" hidden="1">
      <c r="A3270" s="1">
        <v>6</v>
      </c>
      <c r="B3270" s="1" t="str">
        <f>"موجودي ملزومات اداري"</f>
        <v>موجودي ملزومات اداري</v>
      </c>
      <c r="C3270" s="1">
        <v>110</v>
      </c>
      <c r="D3270" s="1" t="str">
        <f>"ملزومات اداري اصفهان"</f>
        <v>ملزومات اداري اصفهان</v>
      </c>
      <c r="E3270" s="1" t="str">
        <f>"1502031212"</f>
        <v>1502031212</v>
      </c>
      <c r="F3270" s="1" t="str">
        <f>"رولت بولت 12*18"</f>
        <v>رولت بولت 12*18</v>
      </c>
      <c r="G3270" s="1" t="str">
        <f>"عدد"</f>
        <v>عدد</v>
      </c>
      <c r="H3270" s="1">
        <v>0</v>
      </c>
      <c r="I3270" s="1">
        <v>0</v>
      </c>
      <c r="J3270" s="1">
        <v>4</v>
      </c>
      <c r="K3270" s="1">
        <v>80000</v>
      </c>
      <c r="L3270" s="1">
        <v>4</v>
      </c>
      <c r="M3270" s="1">
        <v>80000</v>
      </c>
      <c r="O3270" s="1">
        <v>97</v>
      </c>
      <c r="P3270" s="1">
        <f t="shared" si="153"/>
        <v>0</v>
      </c>
      <c r="Q3270" s="1">
        <f t="shared" si="154"/>
        <v>0</v>
      </c>
      <c r="R3270" s="1" t="e">
        <f t="shared" si="155"/>
        <v>#DIV/0!</v>
      </c>
    </row>
    <row r="3271" spans="1:18" hidden="1">
      <c r="A3271" s="1">
        <v>6</v>
      </c>
      <c r="B3271" s="1" t="str">
        <f>"موجودي ملزومات اداري"</f>
        <v>موجودي ملزومات اداري</v>
      </c>
      <c r="C3271" s="1">
        <v>110</v>
      </c>
      <c r="D3271" s="1" t="str">
        <f>"ملزومات اداري اصفهان"</f>
        <v>ملزومات اداري اصفهان</v>
      </c>
      <c r="E3271" s="1" t="str">
        <f>"1502031242"</f>
        <v>1502031242</v>
      </c>
      <c r="F3271" s="1" t="str">
        <f>"وايت برد  120 پايه دار"</f>
        <v>وايت برد  120 پايه دار</v>
      </c>
      <c r="G3271" s="1" t="str">
        <f>"عدد"</f>
        <v>عدد</v>
      </c>
      <c r="H3271" s="1">
        <v>0</v>
      </c>
      <c r="I3271" s="1">
        <v>0</v>
      </c>
      <c r="J3271" s="1">
        <v>1</v>
      </c>
      <c r="K3271" s="1">
        <v>4700000</v>
      </c>
      <c r="L3271" s="1">
        <v>1</v>
      </c>
      <c r="M3271" s="1">
        <v>4700000</v>
      </c>
      <c r="O3271" s="1">
        <v>97</v>
      </c>
      <c r="P3271" s="1">
        <f t="shared" si="153"/>
        <v>0</v>
      </c>
      <c r="Q3271" s="1">
        <f t="shared" si="154"/>
        <v>0</v>
      </c>
      <c r="R3271" s="1" t="e">
        <f t="shared" si="155"/>
        <v>#DIV/0!</v>
      </c>
    </row>
    <row r="3272" spans="1:18" hidden="1">
      <c r="A3272" s="1">
        <v>6</v>
      </c>
      <c r="B3272" s="1" t="str">
        <f>"موجودي ملزومات اداري"</f>
        <v>موجودي ملزومات اداري</v>
      </c>
      <c r="C3272" s="1">
        <v>110</v>
      </c>
      <c r="D3272" s="1" t="str">
        <f>"ملزومات اداري اصفهان"</f>
        <v>ملزومات اداري اصفهان</v>
      </c>
      <c r="E3272" s="1" t="str">
        <f>"1502031282"</f>
        <v>1502031282</v>
      </c>
      <c r="F3272" s="1" t="str">
        <f>"قند شکسنه"</f>
        <v>قند شکسنه</v>
      </c>
      <c r="G3272" s="1" t="str">
        <f>"كيلوگرم"</f>
        <v>كيلوگرم</v>
      </c>
      <c r="H3272" s="1">
        <v>0</v>
      </c>
      <c r="I3272" s="1">
        <v>0</v>
      </c>
      <c r="J3272" s="1">
        <v>250</v>
      </c>
      <c r="K3272" s="1">
        <v>11500000</v>
      </c>
      <c r="L3272" s="1">
        <v>250</v>
      </c>
      <c r="M3272" s="1">
        <v>11500000</v>
      </c>
      <c r="O3272" s="1">
        <v>97</v>
      </c>
      <c r="P3272" s="1">
        <f t="shared" si="153"/>
        <v>0</v>
      </c>
      <c r="Q3272" s="1">
        <f t="shared" si="154"/>
        <v>0</v>
      </c>
      <c r="R3272" s="1" t="e">
        <f t="shared" si="155"/>
        <v>#DIV/0!</v>
      </c>
    </row>
    <row r="3273" spans="1:18" hidden="1">
      <c r="A3273" s="1">
        <v>6</v>
      </c>
      <c r="B3273" s="1" t="str">
        <f>"موجودي ملزومات اداري"</f>
        <v>موجودي ملزومات اداري</v>
      </c>
      <c r="C3273" s="1">
        <v>110</v>
      </c>
      <c r="D3273" s="1" t="str">
        <f>"ملزومات اداري اصفهان"</f>
        <v>ملزومات اداري اصفهان</v>
      </c>
      <c r="E3273" s="1" t="str">
        <f>"1502031312"</f>
        <v>1502031312</v>
      </c>
      <c r="F3273" s="1" t="str">
        <f>"برچسب ضخيم 100 برگي A4"</f>
        <v>برچسب ضخيم 100 برگي A4</v>
      </c>
      <c r="G3273" s="1" t="str">
        <f>"عدد"</f>
        <v>عدد</v>
      </c>
      <c r="H3273" s="1">
        <v>0</v>
      </c>
      <c r="I3273" s="1">
        <v>0</v>
      </c>
      <c r="J3273" s="1">
        <v>4</v>
      </c>
      <c r="K3273" s="1">
        <v>1860000</v>
      </c>
      <c r="L3273" s="1">
        <v>4</v>
      </c>
      <c r="M3273" s="1">
        <v>1860000</v>
      </c>
      <c r="O3273" s="1">
        <v>97</v>
      </c>
      <c r="P3273" s="1">
        <f t="shared" si="153"/>
        <v>0</v>
      </c>
      <c r="Q3273" s="1">
        <f t="shared" si="154"/>
        <v>0</v>
      </c>
      <c r="R3273" s="1" t="e">
        <f t="shared" si="155"/>
        <v>#DIV/0!</v>
      </c>
    </row>
    <row r="3274" spans="1:18" hidden="1">
      <c r="A3274" s="1">
        <v>6</v>
      </c>
      <c r="B3274" s="1" t="str">
        <f>"موجودي ملزومات اداري"</f>
        <v>موجودي ملزومات اداري</v>
      </c>
      <c r="C3274" s="1">
        <v>205</v>
      </c>
      <c r="D3274" s="1" t="str">
        <f>"انبار قطعات و لوازم يدكي بندرعباس"</f>
        <v>انبار قطعات و لوازم يدكي بندرعباس</v>
      </c>
      <c r="E3274" s="1" t="str">
        <f>"0000011462"</f>
        <v>0000011462</v>
      </c>
      <c r="F3274" s="1" t="str">
        <f>"نوار چسب پهن"</f>
        <v>نوار چسب پهن</v>
      </c>
      <c r="G3274" s="1" t="str">
        <f>"عدد"</f>
        <v>عدد</v>
      </c>
      <c r="H3274" s="1">
        <v>0</v>
      </c>
      <c r="I3274" s="1">
        <v>0</v>
      </c>
      <c r="J3274" s="1">
        <v>3</v>
      </c>
      <c r="K3274" s="1">
        <v>100000</v>
      </c>
      <c r="L3274" s="1">
        <v>3</v>
      </c>
      <c r="M3274" s="1">
        <v>100000</v>
      </c>
      <c r="O3274" s="1">
        <v>97</v>
      </c>
      <c r="P3274" s="1">
        <f t="shared" si="153"/>
        <v>0</v>
      </c>
      <c r="Q3274" s="1">
        <f t="shared" si="154"/>
        <v>0</v>
      </c>
      <c r="R3274" s="1" t="e">
        <f t="shared" si="155"/>
        <v>#DIV/0!</v>
      </c>
    </row>
    <row r="3275" spans="1:18">
      <c r="A3275" s="1">
        <v>6</v>
      </c>
      <c r="B3275" s="1" t="str">
        <f>"موجودي ملزومات اداري"</f>
        <v>موجودي ملزومات اداري</v>
      </c>
      <c r="C3275" s="1">
        <v>205</v>
      </c>
      <c r="D3275" s="1" t="str">
        <f>"انبار قطعات و لوازم يدكي بندرعباس"</f>
        <v>انبار قطعات و لوازم يدكي بندرعباس</v>
      </c>
      <c r="E3275" s="1" t="str">
        <f>"1501020692"</f>
        <v>1501020692</v>
      </c>
      <c r="F3275" s="1" t="str">
        <f>"رنگ روغني زرد"</f>
        <v>رنگ روغني زرد</v>
      </c>
      <c r="G3275" s="1" t="str">
        <f>"كيلوگرم"</f>
        <v>كيلوگرم</v>
      </c>
      <c r="H3275" s="1">
        <v>0</v>
      </c>
      <c r="I3275" s="1">
        <v>0</v>
      </c>
      <c r="J3275" s="1">
        <v>26</v>
      </c>
      <c r="K3275" s="1">
        <v>4220000</v>
      </c>
      <c r="L3275" s="1">
        <v>23</v>
      </c>
      <c r="M3275" s="1">
        <v>3500000</v>
      </c>
      <c r="O3275" s="1">
        <v>97</v>
      </c>
      <c r="P3275" s="4">
        <f t="shared" si="153"/>
        <v>720000</v>
      </c>
      <c r="Q3275" s="4">
        <f t="shared" si="154"/>
        <v>3</v>
      </c>
      <c r="R3275" s="4">
        <f t="shared" si="155"/>
        <v>240000</v>
      </c>
    </row>
    <row r="3276" spans="1:18">
      <c r="A3276" s="1">
        <v>6</v>
      </c>
      <c r="B3276" s="1" t="str">
        <f>"موجودي ملزومات اداري"</f>
        <v>موجودي ملزومات اداري</v>
      </c>
      <c r="C3276" s="1">
        <v>205</v>
      </c>
      <c r="D3276" s="1" t="str">
        <f>"انبار قطعات و لوازم يدكي بندرعباس"</f>
        <v>انبار قطعات و لوازم يدكي بندرعباس</v>
      </c>
      <c r="E3276" s="1" t="str">
        <f>"1502030442"</f>
        <v>1502030442</v>
      </c>
      <c r="F3276" s="1" t="str">
        <f>"کفش ايمني برق"</f>
        <v>کفش ايمني برق</v>
      </c>
      <c r="G3276" s="1" t="str">
        <f>"جفت"</f>
        <v>جفت</v>
      </c>
      <c r="H3276" s="1">
        <v>0</v>
      </c>
      <c r="I3276" s="1">
        <v>0</v>
      </c>
      <c r="J3276" s="1">
        <v>39</v>
      </c>
      <c r="K3276" s="1">
        <v>56550000</v>
      </c>
      <c r="L3276" s="1">
        <v>28</v>
      </c>
      <c r="M3276" s="1">
        <v>40600000</v>
      </c>
      <c r="O3276" s="1">
        <v>97</v>
      </c>
      <c r="P3276" s="4">
        <f t="shared" si="153"/>
        <v>15950000</v>
      </c>
      <c r="Q3276" s="4">
        <f t="shared" si="154"/>
        <v>11</v>
      </c>
      <c r="R3276" s="4">
        <f t="shared" si="155"/>
        <v>1450000</v>
      </c>
    </row>
    <row r="3277" spans="1:18" hidden="1">
      <c r="A3277" s="1">
        <v>6</v>
      </c>
      <c r="B3277" s="1" t="str">
        <f>"موجودي ملزومات اداري"</f>
        <v>موجودي ملزومات اداري</v>
      </c>
      <c r="C3277" s="1">
        <v>205</v>
      </c>
      <c r="D3277" s="1" t="str">
        <f>"انبار قطعات و لوازم يدكي بندرعباس"</f>
        <v>انبار قطعات و لوازم يدكي بندرعباس</v>
      </c>
      <c r="E3277" s="1" t="str">
        <f>"1900000039"</f>
        <v>1900000039</v>
      </c>
      <c r="F3277" s="1" t="str">
        <f>"دسته جارو بلند"</f>
        <v>دسته جارو بلند</v>
      </c>
      <c r="G3277" s="1" t="str">
        <f>"عدد"</f>
        <v>عدد</v>
      </c>
      <c r="H3277" s="1">
        <v>0</v>
      </c>
      <c r="I3277" s="1">
        <v>0</v>
      </c>
      <c r="J3277" s="1">
        <v>2</v>
      </c>
      <c r="K3277" s="1">
        <v>500000</v>
      </c>
      <c r="L3277" s="1">
        <v>2</v>
      </c>
      <c r="M3277" s="1">
        <v>500000</v>
      </c>
      <c r="O3277" s="1">
        <v>97</v>
      </c>
      <c r="P3277" s="1">
        <f t="shared" si="153"/>
        <v>0</v>
      </c>
      <c r="Q3277" s="1">
        <f t="shared" si="154"/>
        <v>0</v>
      </c>
      <c r="R3277" s="1" t="e">
        <f t="shared" si="155"/>
        <v>#DIV/0!</v>
      </c>
    </row>
    <row r="3278" spans="1:18" hidden="1">
      <c r="A3278" s="1">
        <v>9</v>
      </c>
      <c r="B3278" s="1" t="str">
        <f>"موجودي داراييهاي ثابت نزد انبار"</f>
        <v>موجودي داراييهاي ثابت نزد انبار</v>
      </c>
      <c r="C3278" s="1">
        <v>117</v>
      </c>
      <c r="D3278" s="1" t="str">
        <f>"انبار دارايي ثابت اصفهان"</f>
        <v>انبار دارايي ثابت اصفهان</v>
      </c>
      <c r="E3278" s="1" t="str">
        <f>"1301020082"</f>
        <v>1301020082</v>
      </c>
      <c r="F3278" s="1" t="str">
        <f>"تلويزيون ال جي 49"</f>
        <v>تلويزيون ال جي 49</v>
      </c>
      <c r="G3278" s="1" t="str">
        <f>"دستگاه"</f>
        <v>دستگاه</v>
      </c>
      <c r="H3278" s="1">
        <v>0</v>
      </c>
      <c r="I3278" s="1">
        <v>0</v>
      </c>
      <c r="J3278" s="1">
        <v>4</v>
      </c>
      <c r="K3278" s="1">
        <v>151200000</v>
      </c>
      <c r="L3278" s="1">
        <v>4</v>
      </c>
      <c r="M3278" s="1">
        <v>151200000</v>
      </c>
      <c r="O3278" s="1">
        <v>97</v>
      </c>
      <c r="P3278" s="1">
        <f t="shared" si="153"/>
        <v>0</v>
      </c>
      <c r="Q3278" s="1">
        <f t="shared" si="154"/>
        <v>0</v>
      </c>
      <c r="R3278" s="1" t="e">
        <f t="shared" si="155"/>
        <v>#DIV/0!</v>
      </c>
    </row>
    <row r="3279" spans="1:18" hidden="1">
      <c r="A3279" s="1">
        <v>9</v>
      </c>
      <c r="B3279" s="1" t="str">
        <f>"موجودي داراييهاي ثابت نزد انبار"</f>
        <v>موجودي داراييهاي ثابت نزد انبار</v>
      </c>
      <c r="C3279" s="1">
        <v>117</v>
      </c>
      <c r="D3279" s="1" t="str">
        <f>"انبار دارايي ثابت اصفهان"</f>
        <v>انبار دارايي ثابت اصفهان</v>
      </c>
      <c r="E3279" s="1" t="str">
        <f>"1301020262"</f>
        <v>1301020262</v>
      </c>
      <c r="F3279" s="1" t="str">
        <f>"کمد ويترين"</f>
        <v>کمد ويترين</v>
      </c>
      <c r="G3279" s="1" t="str">
        <f>"عدد"</f>
        <v>عدد</v>
      </c>
      <c r="H3279" s="1">
        <v>0</v>
      </c>
      <c r="I3279" s="1">
        <v>0</v>
      </c>
      <c r="J3279" s="1">
        <v>1</v>
      </c>
      <c r="K3279" s="1">
        <v>7600000</v>
      </c>
      <c r="L3279" s="1">
        <v>1</v>
      </c>
      <c r="M3279" s="1">
        <v>7600000</v>
      </c>
      <c r="O3279" s="1">
        <v>97</v>
      </c>
      <c r="P3279" s="1">
        <f t="shared" si="153"/>
        <v>0</v>
      </c>
      <c r="Q3279" s="1">
        <f t="shared" si="154"/>
        <v>0</v>
      </c>
      <c r="R3279" s="1" t="e">
        <f t="shared" si="155"/>
        <v>#DIV/0!</v>
      </c>
    </row>
    <row r="3280" spans="1:18" hidden="1">
      <c r="A3280" s="1">
        <v>9</v>
      </c>
      <c r="B3280" s="1" t="str">
        <f>"موجودي داراييهاي ثابت نزد انبار"</f>
        <v>موجودي داراييهاي ثابت نزد انبار</v>
      </c>
      <c r="C3280" s="1">
        <v>117</v>
      </c>
      <c r="D3280" s="1" t="str">
        <f>"انبار دارايي ثابت اصفهان"</f>
        <v>انبار دارايي ثابت اصفهان</v>
      </c>
      <c r="E3280" s="1" t="str">
        <f>"1301020322"</f>
        <v>1301020322</v>
      </c>
      <c r="F3280" s="1" t="str">
        <f>"LEVEL INDICATOR MAGNETIS"</f>
        <v>LEVEL INDICATOR MAGNETIS</v>
      </c>
      <c r="G3280" s="1" t="str">
        <f>"دستگاه"</f>
        <v>دستگاه</v>
      </c>
      <c r="H3280" s="1">
        <v>0</v>
      </c>
      <c r="I3280" s="1">
        <v>0</v>
      </c>
      <c r="J3280" s="1">
        <v>0</v>
      </c>
      <c r="K3280" s="1">
        <v>0</v>
      </c>
      <c r="L3280" s="1">
        <v>0</v>
      </c>
      <c r="M3280" s="1">
        <v>0</v>
      </c>
      <c r="O3280" s="1">
        <v>97</v>
      </c>
      <c r="P3280" s="1">
        <f t="shared" si="153"/>
        <v>0</v>
      </c>
      <c r="Q3280" s="1">
        <f t="shared" si="154"/>
        <v>0</v>
      </c>
      <c r="R3280" s="1" t="e">
        <f t="shared" si="155"/>
        <v>#DIV/0!</v>
      </c>
    </row>
    <row r="3281" spans="1:18">
      <c r="A3281" s="1">
        <v>9</v>
      </c>
      <c r="B3281" s="1" t="str">
        <f>"موجودي داراييهاي ثابت نزد انبار"</f>
        <v>موجودي داراييهاي ثابت نزد انبار</v>
      </c>
      <c r="C3281" s="1">
        <v>117</v>
      </c>
      <c r="D3281" s="1" t="str">
        <f>"انبار دارايي ثابت اصفهان"</f>
        <v>انبار دارايي ثابت اصفهان</v>
      </c>
      <c r="E3281" s="1" t="str">
        <f>"1301020352"</f>
        <v>1301020352</v>
      </c>
      <c r="F3281" s="1" t="str">
        <f>"قالب کارتن"</f>
        <v>قالب کارتن</v>
      </c>
      <c r="G3281" s="1" t="str">
        <f>"عدد"</f>
        <v>عدد</v>
      </c>
      <c r="H3281" s="1">
        <v>1</v>
      </c>
      <c r="I3281" s="1">
        <v>1830000</v>
      </c>
      <c r="J3281" s="1">
        <v>0</v>
      </c>
      <c r="K3281" s="1">
        <v>0</v>
      </c>
      <c r="L3281" s="1">
        <v>0</v>
      </c>
      <c r="M3281" s="1">
        <v>0</v>
      </c>
      <c r="O3281" s="1">
        <v>97</v>
      </c>
      <c r="P3281" s="4">
        <f t="shared" si="153"/>
        <v>1830000</v>
      </c>
      <c r="Q3281" s="4">
        <f t="shared" si="154"/>
        <v>1</v>
      </c>
      <c r="R3281" s="4">
        <f t="shared" si="155"/>
        <v>1830000</v>
      </c>
    </row>
    <row r="3282" spans="1:18" hidden="1">
      <c r="A3282" s="1">
        <v>9</v>
      </c>
      <c r="B3282" s="1" t="str">
        <f>"موجودي داراييهاي ثابت نزد انبار"</f>
        <v>موجودي داراييهاي ثابت نزد انبار</v>
      </c>
      <c r="C3282" s="1">
        <v>117</v>
      </c>
      <c r="D3282" s="1" t="str">
        <f>"انبار دارايي ثابت اصفهان"</f>
        <v>انبار دارايي ثابت اصفهان</v>
      </c>
      <c r="E3282" s="1" t="str">
        <f>"1301020932"</f>
        <v>1301020932</v>
      </c>
      <c r="F3282" s="1" t="str">
        <f>"ماشين حساب اداري"</f>
        <v>ماشين حساب اداري</v>
      </c>
      <c r="G3282" s="1" t="str">
        <f>"دستگاه"</f>
        <v>دستگاه</v>
      </c>
      <c r="H3282" s="1">
        <v>0</v>
      </c>
      <c r="I3282" s="1">
        <v>0</v>
      </c>
      <c r="J3282" s="1">
        <v>1</v>
      </c>
      <c r="K3282" s="1">
        <v>485000</v>
      </c>
      <c r="L3282" s="1">
        <v>1</v>
      </c>
      <c r="M3282" s="1">
        <v>485000</v>
      </c>
      <c r="O3282" s="1">
        <v>97</v>
      </c>
      <c r="P3282" s="1">
        <f t="shared" si="153"/>
        <v>0</v>
      </c>
      <c r="Q3282" s="1">
        <f t="shared" si="154"/>
        <v>0</v>
      </c>
      <c r="R3282" s="1" t="e">
        <f t="shared" si="155"/>
        <v>#DIV/0!</v>
      </c>
    </row>
    <row r="3283" spans="1:18">
      <c r="A3283" s="1">
        <v>9</v>
      </c>
      <c r="B3283" s="1" t="str">
        <f>"موجودي داراييهاي ثابت نزد انبار"</f>
        <v>موجودي داراييهاي ثابت نزد انبار</v>
      </c>
      <c r="C3283" s="1">
        <v>117</v>
      </c>
      <c r="D3283" s="1" t="str">
        <f>"انبار دارايي ثابت اصفهان"</f>
        <v>انبار دارايي ثابت اصفهان</v>
      </c>
      <c r="E3283" s="1" t="str">
        <f>"1301021112"</f>
        <v>1301021112</v>
      </c>
      <c r="F3283" s="1" t="str">
        <f>"دستگاه سمپلر(يونيت کامل)"</f>
        <v>دستگاه سمپلر(يونيت کامل)</v>
      </c>
      <c r="G3283" s="1" t="str">
        <f>"دستگاه"</f>
        <v>دستگاه</v>
      </c>
      <c r="H3283" s="1">
        <v>1</v>
      </c>
      <c r="I3283" s="1">
        <v>96000000</v>
      </c>
      <c r="J3283" s="1">
        <v>0</v>
      </c>
      <c r="K3283" s="1">
        <v>0</v>
      </c>
      <c r="L3283" s="1">
        <v>0</v>
      </c>
      <c r="M3283" s="1">
        <v>0</v>
      </c>
      <c r="O3283" s="1">
        <v>97</v>
      </c>
      <c r="P3283" s="4">
        <f t="shared" si="153"/>
        <v>96000000</v>
      </c>
      <c r="Q3283" s="4">
        <f t="shared" si="154"/>
        <v>1</v>
      </c>
      <c r="R3283" s="4">
        <f t="shared" si="155"/>
        <v>96000000</v>
      </c>
    </row>
    <row r="3284" spans="1:18" hidden="1">
      <c r="A3284" s="1">
        <v>9</v>
      </c>
      <c r="B3284" s="1" t="str">
        <f>"موجودي داراييهاي ثابت نزد انبار"</f>
        <v>موجودي داراييهاي ثابت نزد انبار</v>
      </c>
      <c r="C3284" s="1">
        <v>117</v>
      </c>
      <c r="D3284" s="1" t="str">
        <f>"انبار دارايي ثابت اصفهان"</f>
        <v>انبار دارايي ثابت اصفهان</v>
      </c>
      <c r="E3284" s="1" t="str">
        <f>"1301021462"</f>
        <v>1301021462</v>
      </c>
      <c r="F3284" s="1" t="str">
        <f>"صندلي انتظار"</f>
        <v>صندلي انتظار</v>
      </c>
      <c r="G3284" s="1" t="str">
        <f>"عدد"</f>
        <v>عدد</v>
      </c>
      <c r="H3284" s="1">
        <v>0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O3284" s="1">
        <v>97</v>
      </c>
      <c r="P3284" s="1">
        <f t="shared" si="153"/>
        <v>0</v>
      </c>
      <c r="Q3284" s="1">
        <f t="shared" si="154"/>
        <v>0</v>
      </c>
      <c r="R3284" s="1" t="e">
        <f t="shared" si="155"/>
        <v>#DIV/0!</v>
      </c>
    </row>
    <row r="3285" spans="1:18" hidden="1">
      <c r="A3285" s="1">
        <v>9</v>
      </c>
      <c r="B3285" s="1" t="str">
        <f>"موجودي داراييهاي ثابت نزد انبار"</f>
        <v>موجودي داراييهاي ثابت نزد انبار</v>
      </c>
      <c r="C3285" s="1">
        <v>117</v>
      </c>
      <c r="D3285" s="1" t="str">
        <f>"انبار دارايي ثابت اصفهان"</f>
        <v>انبار دارايي ثابت اصفهان</v>
      </c>
      <c r="E3285" s="1" t="str">
        <f>"1301021672"</f>
        <v>1301021672</v>
      </c>
      <c r="F3285" s="1" t="str">
        <f>"کولر گازي LG12000 مدل: NEXT PLUS"</f>
        <v>کولر گازي LG12000 مدل: NEXT PLUS</v>
      </c>
      <c r="G3285" s="1" t="str">
        <f>"دستگاه"</f>
        <v>دستگاه</v>
      </c>
      <c r="H3285" s="1">
        <v>0</v>
      </c>
      <c r="I3285" s="1">
        <v>0</v>
      </c>
      <c r="J3285" s="1">
        <v>1</v>
      </c>
      <c r="K3285" s="1">
        <v>50000000</v>
      </c>
      <c r="L3285" s="1">
        <v>1</v>
      </c>
      <c r="M3285" s="1">
        <v>50000000</v>
      </c>
      <c r="O3285" s="1">
        <v>97</v>
      </c>
      <c r="P3285" s="1">
        <f t="shared" si="153"/>
        <v>0</v>
      </c>
      <c r="Q3285" s="1">
        <f t="shared" si="154"/>
        <v>0</v>
      </c>
      <c r="R3285" s="1" t="e">
        <f t="shared" si="155"/>
        <v>#DIV/0!</v>
      </c>
    </row>
    <row r="3286" spans="1:18">
      <c r="A3286" s="1">
        <v>9</v>
      </c>
      <c r="B3286" s="1" t="str">
        <f>"موجودي داراييهاي ثابت نزد انبار"</f>
        <v>موجودي داراييهاي ثابت نزد انبار</v>
      </c>
      <c r="C3286" s="1">
        <v>119</v>
      </c>
      <c r="D3286" s="1" t="str">
        <f>"انبار دارايي ثابت تهران"</f>
        <v>انبار دارايي ثابت تهران</v>
      </c>
      <c r="E3286" s="1" t="str">
        <f>"0000009152"</f>
        <v>0000009152</v>
      </c>
      <c r="F3286" s="1" t="str">
        <f>"دوربين مدار بسته AH2560T-3M"</f>
        <v>دوربين مدار بسته AH2560T-3M</v>
      </c>
      <c r="G3286" s="1" t="str">
        <f>"عدد"</f>
        <v>عدد</v>
      </c>
      <c r="H3286" s="1">
        <v>2</v>
      </c>
      <c r="I3286" s="1">
        <v>23600000</v>
      </c>
      <c r="J3286" s="1">
        <v>0</v>
      </c>
      <c r="K3286" s="1">
        <v>0</v>
      </c>
      <c r="L3286" s="1">
        <v>0</v>
      </c>
      <c r="M3286" s="1">
        <v>0</v>
      </c>
      <c r="O3286" s="1">
        <v>97</v>
      </c>
      <c r="P3286" s="4">
        <f t="shared" si="153"/>
        <v>23600000</v>
      </c>
      <c r="Q3286" s="4">
        <f t="shared" si="154"/>
        <v>2</v>
      </c>
      <c r="R3286" s="4">
        <f t="shared" si="155"/>
        <v>11800000</v>
      </c>
    </row>
    <row r="3287" spans="1:18" hidden="1">
      <c r="A3287" s="1">
        <v>9</v>
      </c>
      <c r="B3287" s="1" t="str">
        <f>"موجودي داراييهاي ثابت نزد انبار"</f>
        <v>موجودي داراييهاي ثابت نزد انبار</v>
      </c>
      <c r="C3287" s="1">
        <v>119</v>
      </c>
      <c r="D3287" s="1" t="str">
        <f>"انبار دارايي ثابت تهران"</f>
        <v>انبار دارايي ثابت تهران</v>
      </c>
      <c r="E3287" s="1" t="str">
        <f>"0000009186"</f>
        <v>0000009186</v>
      </c>
      <c r="F3287" s="1" t="str">
        <f>"كارت منشي اتوماتيك KXTVM204"</f>
        <v>كارت منشي اتوماتيك KXTVM204</v>
      </c>
      <c r="G3287" s="1" t="str">
        <f>"عدد"</f>
        <v>عدد</v>
      </c>
      <c r="H3287" s="1">
        <v>0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O3287" s="1">
        <v>97</v>
      </c>
      <c r="P3287" s="1">
        <f t="shared" si="153"/>
        <v>0</v>
      </c>
      <c r="Q3287" s="1">
        <f t="shared" si="154"/>
        <v>0</v>
      </c>
      <c r="R3287" s="1" t="e">
        <f t="shared" si="155"/>
        <v>#DIV/0!</v>
      </c>
    </row>
    <row r="3288" spans="1:18">
      <c r="A3288" s="1">
        <v>9</v>
      </c>
      <c r="B3288" s="1" t="str">
        <f>"موجودي داراييهاي ثابت نزد انبار"</f>
        <v>موجودي داراييهاي ثابت نزد انبار</v>
      </c>
      <c r="C3288" s="1">
        <v>119</v>
      </c>
      <c r="D3288" s="1" t="str">
        <f>"انبار دارايي ثابت تهران"</f>
        <v>انبار دارايي ثابت تهران</v>
      </c>
      <c r="E3288" s="1" t="str">
        <f>"0000009333"</f>
        <v>0000009333</v>
      </c>
      <c r="F3288" s="1" t="str">
        <f>"لب تاب لنوا"</f>
        <v>لب تاب لنوا</v>
      </c>
      <c r="G3288" s="1" t="str">
        <f>"دستگاه"</f>
        <v>دستگاه</v>
      </c>
      <c r="H3288" s="1">
        <v>1</v>
      </c>
      <c r="I3288" s="1">
        <v>19120000</v>
      </c>
      <c r="J3288" s="1">
        <v>0</v>
      </c>
      <c r="K3288" s="1">
        <v>0</v>
      </c>
      <c r="L3288" s="1">
        <v>0</v>
      </c>
      <c r="M3288" s="1">
        <v>0</v>
      </c>
      <c r="O3288" s="1">
        <v>97</v>
      </c>
      <c r="P3288" s="4">
        <f t="shared" si="153"/>
        <v>19120000</v>
      </c>
      <c r="Q3288" s="4">
        <f t="shared" si="154"/>
        <v>1</v>
      </c>
      <c r="R3288" s="4">
        <f t="shared" si="155"/>
        <v>19120000</v>
      </c>
    </row>
    <row r="3289" spans="1:18" hidden="1">
      <c r="A3289" s="1">
        <v>9</v>
      </c>
      <c r="B3289" s="1" t="str">
        <f>"موجودي داراييهاي ثابت نزد انبار"</f>
        <v>موجودي داراييهاي ثابت نزد انبار</v>
      </c>
      <c r="C3289" s="1">
        <v>119</v>
      </c>
      <c r="D3289" s="1" t="str">
        <f>"انبار دارايي ثابت تهران"</f>
        <v>انبار دارايي ثابت تهران</v>
      </c>
      <c r="E3289" s="1" t="str">
        <f>"0000009491"</f>
        <v>0000009491</v>
      </c>
      <c r="F3289" s="1" t="str">
        <f>"HP laserjet M605DN"</f>
        <v>HP laserjet M605DN</v>
      </c>
      <c r="G3289" s="1" t="str">
        <f>"دستگاه"</f>
        <v>دستگاه</v>
      </c>
      <c r="H3289" s="1">
        <v>1</v>
      </c>
      <c r="I3289" s="1">
        <v>26200000</v>
      </c>
      <c r="J3289" s="1">
        <v>0</v>
      </c>
      <c r="K3289" s="1">
        <v>0</v>
      </c>
      <c r="L3289" s="1">
        <v>1</v>
      </c>
      <c r="M3289" s="1">
        <v>26200000</v>
      </c>
      <c r="O3289" s="1">
        <v>97</v>
      </c>
      <c r="P3289" s="1">
        <f t="shared" si="153"/>
        <v>0</v>
      </c>
      <c r="Q3289" s="1">
        <f t="shared" si="154"/>
        <v>0</v>
      </c>
      <c r="R3289" s="1" t="e">
        <f t="shared" si="155"/>
        <v>#DIV/0!</v>
      </c>
    </row>
    <row r="3290" spans="1:18" hidden="1">
      <c r="A3290" s="1">
        <v>9</v>
      </c>
      <c r="B3290" s="1" t="str">
        <f>"موجودي داراييهاي ثابت نزد انبار"</f>
        <v>موجودي داراييهاي ثابت نزد انبار</v>
      </c>
      <c r="C3290" s="1">
        <v>119</v>
      </c>
      <c r="D3290" s="1" t="str">
        <f>"انبار دارايي ثابت تهران"</f>
        <v>انبار دارايي ثابت تهران</v>
      </c>
      <c r="E3290" s="1" t="str">
        <f>"0000009520"</f>
        <v>0000009520</v>
      </c>
      <c r="F3290" s="1" t="str">
        <f>"ويدئو پرژکتور"</f>
        <v>ويدئو پرژکتور</v>
      </c>
      <c r="G3290" s="1" t="str">
        <f>"دستگاه"</f>
        <v>دستگاه</v>
      </c>
      <c r="H3290" s="1">
        <v>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O3290" s="1">
        <v>97</v>
      </c>
      <c r="P3290" s="1">
        <f t="shared" si="153"/>
        <v>0</v>
      </c>
      <c r="Q3290" s="1">
        <f t="shared" si="154"/>
        <v>0</v>
      </c>
      <c r="R3290" s="1" t="e">
        <f t="shared" si="155"/>
        <v>#DIV/0!</v>
      </c>
    </row>
    <row r="3291" spans="1:18">
      <c r="A3291" s="1">
        <v>9</v>
      </c>
      <c r="B3291" s="1" t="str">
        <f>"موجودي داراييهاي ثابت نزد انبار"</f>
        <v>موجودي داراييهاي ثابت نزد انبار</v>
      </c>
      <c r="C3291" s="1">
        <v>119</v>
      </c>
      <c r="D3291" s="1" t="str">
        <f>"انبار دارايي ثابت تهران"</f>
        <v>انبار دارايي ثابت تهران</v>
      </c>
      <c r="E3291" s="1" t="str">
        <f>"0000009531"</f>
        <v>0000009531</v>
      </c>
      <c r="F3291" s="1" t="str">
        <f>"تلفن ديواري آلكاتل T06"</f>
        <v>تلفن ديواري آلكاتل T06</v>
      </c>
      <c r="G3291" s="1" t="str">
        <f>"دستگاه"</f>
        <v>دستگاه</v>
      </c>
      <c r="H3291" s="1">
        <v>1</v>
      </c>
      <c r="I3291" s="1">
        <v>650000</v>
      </c>
      <c r="J3291" s="1">
        <v>0</v>
      </c>
      <c r="K3291" s="1">
        <v>0</v>
      </c>
      <c r="L3291" s="1">
        <v>0</v>
      </c>
      <c r="M3291" s="1">
        <v>0</v>
      </c>
      <c r="O3291" s="1">
        <v>97</v>
      </c>
      <c r="P3291" s="4">
        <f t="shared" si="153"/>
        <v>650000</v>
      </c>
      <c r="Q3291" s="4">
        <f t="shared" si="154"/>
        <v>1</v>
      </c>
      <c r="R3291" s="4">
        <f t="shared" si="155"/>
        <v>650000</v>
      </c>
    </row>
    <row r="3292" spans="1:18">
      <c r="A3292" s="1">
        <v>2</v>
      </c>
      <c r="B3292" s="1" t="str">
        <f>"قطعات و لوازم يدكي"</f>
        <v>قطعات و لوازم يدكي</v>
      </c>
      <c r="C3292" s="1">
        <v>101</v>
      </c>
      <c r="D3292" s="1" t="str">
        <f>"انبار قطعات و لوازم يدكي اصفهان"</f>
        <v>انبار قطعات و لوازم يدكي اصفهان</v>
      </c>
      <c r="E3292" s="1" t="str">
        <f>"5800745082"</f>
        <v>5800745082</v>
      </c>
      <c r="F3292" s="1" t="str">
        <f>"رول بيرينگ NJ2308"</f>
        <v>رول بيرينگ NJ2308</v>
      </c>
      <c r="G3292" s="1" t="str">
        <f>"عدد"</f>
        <v>عدد</v>
      </c>
      <c r="H3292" s="1">
        <v>16</v>
      </c>
      <c r="I3292" s="1">
        <v>41057684</v>
      </c>
      <c r="J3292" s="1">
        <v>0</v>
      </c>
      <c r="K3292" s="1">
        <v>0</v>
      </c>
      <c r="L3292" s="1">
        <v>4</v>
      </c>
      <c r="M3292" s="1">
        <v>10264421</v>
      </c>
      <c r="O3292" s="1">
        <v>97</v>
      </c>
      <c r="P3292" s="4">
        <f t="shared" si="153"/>
        <v>30793263</v>
      </c>
      <c r="Q3292" s="4">
        <f t="shared" si="154"/>
        <v>12</v>
      </c>
      <c r="R3292" s="4">
        <f t="shared" si="155"/>
        <v>2566105.25</v>
      </c>
    </row>
    <row r="3293" spans="1:18" hidden="1">
      <c r="A3293" s="1">
        <v>2</v>
      </c>
      <c r="B3293" s="1" t="str">
        <f>"قطعات و لوازم يدكي"</f>
        <v>قطعات و لوازم يدكي</v>
      </c>
      <c r="C3293" s="1">
        <v>101</v>
      </c>
      <c r="D3293" s="1" t="str">
        <f>"انبار قطعات و لوازم يدكي اصفهان"</f>
        <v>انبار قطعات و لوازم يدكي اصفهان</v>
      </c>
      <c r="E3293" s="1" t="str">
        <f>"5865014502"</f>
        <v>5865014502</v>
      </c>
      <c r="F3293" s="1" t="str">
        <f>"فيلتر روغن كمپرسور"</f>
        <v>فيلتر روغن كمپرسور</v>
      </c>
      <c r="G3293" s="1" t="str">
        <f>"عدد"</f>
        <v>عدد</v>
      </c>
      <c r="H3293" s="1">
        <v>0</v>
      </c>
      <c r="I3293" s="1">
        <v>0</v>
      </c>
      <c r="J3293" s="1">
        <v>0</v>
      </c>
      <c r="K3293" s="1">
        <v>0</v>
      </c>
      <c r="L3293" s="1">
        <v>0</v>
      </c>
      <c r="M3293" s="1">
        <v>0</v>
      </c>
      <c r="O3293" s="1">
        <v>97</v>
      </c>
      <c r="P3293" s="1">
        <f t="shared" si="153"/>
        <v>0</v>
      </c>
      <c r="Q3293" s="1">
        <f t="shared" si="154"/>
        <v>0</v>
      </c>
      <c r="R3293" s="1" t="e">
        <f t="shared" si="155"/>
        <v>#DIV/0!</v>
      </c>
    </row>
    <row r="3294" spans="1:18">
      <c r="A3294" s="1">
        <v>2</v>
      </c>
      <c r="B3294" s="1" t="str">
        <f>"قطعات و لوازم يدكي"</f>
        <v>قطعات و لوازم يدكي</v>
      </c>
      <c r="C3294" s="1">
        <v>101</v>
      </c>
      <c r="D3294" s="1" t="str">
        <f>"انبار قطعات و لوازم يدكي اصفهان"</f>
        <v>انبار قطعات و لوازم يدكي اصفهان</v>
      </c>
      <c r="E3294" s="1" t="str">
        <f>"5870277082"</f>
        <v>5870277082</v>
      </c>
      <c r="F3294" s="1" t="str">
        <f>"بوش و مهره اسپيسر"</f>
        <v>بوش و مهره اسپيسر</v>
      </c>
      <c r="G3294" s="1" t="str">
        <f>"عدد"</f>
        <v>عدد</v>
      </c>
      <c r="H3294" s="1">
        <v>90</v>
      </c>
      <c r="I3294" s="1">
        <v>4860000</v>
      </c>
      <c r="J3294" s="1">
        <v>0</v>
      </c>
      <c r="K3294" s="1">
        <v>0</v>
      </c>
      <c r="L3294" s="1">
        <v>0</v>
      </c>
      <c r="M3294" s="1">
        <v>0</v>
      </c>
      <c r="O3294" s="1">
        <v>97</v>
      </c>
      <c r="P3294" s="4">
        <f t="shared" si="153"/>
        <v>4860000</v>
      </c>
      <c r="Q3294" s="4">
        <f t="shared" si="154"/>
        <v>90</v>
      </c>
      <c r="R3294" s="4">
        <f t="shared" si="155"/>
        <v>54000</v>
      </c>
    </row>
    <row r="3295" spans="1:18" hidden="1">
      <c r="A3295" s="1">
        <v>2</v>
      </c>
      <c r="B3295" s="1" t="str">
        <f>"قطعات و لوازم يدكي"</f>
        <v>قطعات و لوازم يدكي</v>
      </c>
      <c r="C3295" s="1">
        <v>101</v>
      </c>
      <c r="D3295" s="1" t="str">
        <f>"انبار قطعات و لوازم يدكي اصفهان"</f>
        <v>انبار قطعات و لوازم يدكي اصفهان</v>
      </c>
      <c r="E3295" s="1" t="str">
        <f>"5870277092"</f>
        <v>5870277092</v>
      </c>
      <c r="F3295" s="1" t="str">
        <f>"شيمز اسپيسر 119"</f>
        <v>شيمز اسپيسر 119</v>
      </c>
      <c r="G3295" s="1" t="str">
        <f>"عدد"</f>
        <v>عدد</v>
      </c>
      <c r="H3295" s="1">
        <v>77</v>
      </c>
      <c r="I3295" s="1">
        <v>6468000</v>
      </c>
      <c r="J3295" s="1">
        <v>0</v>
      </c>
      <c r="K3295" s="1">
        <v>0</v>
      </c>
      <c r="L3295" s="1">
        <v>77</v>
      </c>
      <c r="M3295" s="1">
        <v>6468000</v>
      </c>
      <c r="O3295" s="1">
        <v>97</v>
      </c>
      <c r="P3295" s="1">
        <f t="shared" si="153"/>
        <v>0</v>
      </c>
      <c r="Q3295" s="1">
        <f t="shared" si="154"/>
        <v>0</v>
      </c>
      <c r="R3295" s="1" t="e">
        <f t="shared" si="155"/>
        <v>#DIV/0!</v>
      </c>
    </row>
    <row r="3296" spans="1:18">
      <c r="A3296" s="1">
        <v>2</v>
      </c>
      <c r="B3296" s="1" t="str">
        <f>"قطعات و لوازم يدكي"</f>
        <v>قطعات و لوازم يدكي</v>
      </c>
      <c r="C3296" s="1">
        <v>101</v>
      </c>
      <c r="D3296" s="1" t="str">
        <f>"انبار قطعات و لوازم يدكي اصفهان"</f>
        <v>انبار قطعات و لوازم يدكي اصفهان</v>
      </c>
      <c r="E3296" s="1" t="str">
        <f>"5870277182"</f>
        <v>5870277182</v>
      </c>
      <c r="F3296" s="1" t="str">
        <f>"پين استوانه اي شماره 4"</f>
        <v>پين استوانه اي شماره 4</v>
      </c>
      <c r="G3296" s="1" t="str">
        <f>"عدد"</f>
        <v>عدد</v>
      </c>
      <c r="H3296" s="1">
        <v>17</v>
      </c>
      <c r="I3296" s="1">
        <v>824500</v>
      </c>
      <c r="J3296" s="1">
        <v>0</v>
      </c>
      <c r="K3296" s="1">
        <v>0</v>
      </c>
      <c r="L3296" s="1">
        <v>0</v>
      </c>
      <c r="M3296" s="1">
        <v>0</v>
      </c>
      <c r="O3296" s="1">
        <v>97</v>
      </c>
      <c r="P3296" s="4">
        <f t="shared" si="153"/>
        <v>824500</v>
      </c>
      <c r="Q3296" s="4">
        <f t="shared" si="154"/>
        <v>17</v>
      </c>
      <c r="R3296" s="4">
        <f t="shared" si="155"/>
        <v>48500</v>
      </c>
    </row>
    <row r="3297" spans="1:18">
      <c r="A3297" s="1">
        <v>2</v>
      </c>
      <c r="B3297" s="1" t="str">
        <f>"قطعات و لوازم يدكي"</f>
        <v>قطعات و لوازم يدكي</v>
      </c>
      <c r="C3297" s="1">
        <v>101</v>
      </c>
      <c r="D3297" s="1" t="str">
        <f>"انبار قطعات و لوازم يدكي اصفهان"</f>
        <v>انبار قطعات و لوازم يدكي اصفهان</v>
      </c>
      <c r="E3297" s="1" t="str">
        <f>"5902030023"</f>
        <v>5902030023</v>
      </c>
      <c r="F3297" s="1" t="str">
        <f>"HMI-BASIC PANEL(6AV2 123-2GB03-OAXO"</f>
        <v>HMI-BASIC PANEL(6AV2 123-2GB03-OAXO</v>
      </c>
      <c r="G3297" s="1" t="str">
        <f>"عدد"</f>
        <v>عدد</v>
      </c>
      <c r="H3297" s="1">
        <v>0</v>
      </c>
      <c r="I3297" s="1">
        <v>0</v>
      </c>
      <c r="J3297" s="1">
        <v>2</v>
      </c>
      <c r="K3297" s="1">
        <v>121430846</v>
      </c>
      <c r="L3297" s="1">
        <v>0</v>
      </c>
      <c r="M3297" s="1">
        <v>0</v>
      </c>
      <c r="O3297" s="1">
        <v>97</v>
      </c>
      <c r="P3297" s="4">
        <f t="shared" si="153"/>
        <v>121430846</v>
      </c>
      <c r="Q3297" s="4">
        <f t="shared" si="154"/>
        <v>2</v>
      </c>
      <c r="R3297" s="4">
        <f t="shared" si="155"/>
        <v>60715423</v>
      </c>
    </row>
    <row r="3298" spans="1:18">
      <c r="A3298" s="1">
        <v>2</v>
      </c>
      <c r="B3298" s="1" t="str">
        <f>"قطعات و لوازم يدكي"</f>
        <v>قطعات و لوازم يدكي</v>
      </c>
      <c r="C3298" s="1">
        <v>101</v>
      </c>
      <c r="D3298" s="1" t="str">
        <f>"انبار قطعات و لوازم يدكي اصفهان"</f>
        <v>انبار قطعات و لوازم يدكي اصفهان</v>
      </c>
      <c r="E3298" s="1" t="str">
        <f>"5905251043"</f>
        <v>5905251043</v>
      </c>
      <c r="F3298" s="1" t="str">
        <f>"METERاندازه گير"</f>
        <v>METERاندازه گير</v>
      </c>
      <c r="G3298" s="1" t="str">
        <f>"عدد"</f>
        <v>عدد</v>
      </c>
      <c r="H3298" s="1">
        <v>1</v>
      </c>
      <c r="I3298" s="1">
        <v>65447</v>
      </c>
      <c r="J3298" s="1">
        <v>0</v>
      </c>
      <c r="K3298" s="1">
        <v>0</v>
      </c>
      <c r="L3298" s="1">
        <v>0</v>
      </c>
      <c r="M3298" s="1">
        <v>0</v>
      </c>
      <c r="O3298" s="1">
        <v>97</v>
      </c>
      <c r="P3298" s="4">
        <f t="shared" si="153"/>
        <v>65447</v>
      </c>
      <c r="Q3298" s="4">
        <f t="shared" si="154"/>
        <v>1</v>
      </c>
      <c r="R3298" s="4">
        <f t="shared" si="155"/>
        <v>65447</v>
      </c>
    </row>
    <row r="3299" spans="1:18">
      <c r="A3299" s="1">
        <v>2</v>
      </c>
      <c r="B3299" s="1" t="str">
        <f>"قطعات و لوازم يدكي"</f>
        <v>قطعات و لوازم يدكي</v>
      </c>
      <c r="C3299" s="1">
        <v>101</v>
      </c>
      <c r="D3299" s="1" t="str">
        <f>"انبار قطعات و لوازم يدكي اصفهان"</f>
        <v>انبار قطعات و لوازم يدكي اصفهان</v>
      </c>
      <c r="E3299" s="1" t="str">
        <f>"5917501223"</f>
        <v>5917501223</v>
      </c>
      <c r="F3299" s="1" t="str">
        <f>"الكترونيك اينسرت"</f>
        <v>الكترونيك اينسرت</v>
      </c>
      <c r="G3299" s="1" t="str">
        <f>"عدد"</f>
        <v>عدد</v>
      </c>
      <c r="H3299" s="1">
        <v>2</v>
      </c>
      <c r="I3299" s="1">
        <v>15973772</v>
      </c>
      <c r="J3299" s="1">
        <v>0</v>
      </c>
      <c r="K3299" s="1">
        <v>0</v>
      </c>
      <c r="L3299" s="1">
        <v>0</v>
      </c>
      <c r="M3299" s="1">
        <v>0</v>
      </c>
      <c r="O3299" s="1">
        <v>97</v>
      </c>
      <c r="P3299" s="4">
        <f t="shared" si="153"/>
        <v>15973772</v>
      </c>
      <c r="Q3299" s="4">
        <f t="shared" si="154"/>
        <v>2</v>
      </c>
      <c r="R3299" s="4">
        <f t="shared" si="155"/>
        <v>7986886</v>
      </c>
    </row>
    <row r="3300" spans="1:18">
      <c r="A3300" s="1">
        <v>2</v>
      </c>
      <c r="B3300" s="1" t="str">
        <f>"قطعات و لوازم يدكي"</f>
        <v>قطعات و لوازم يدكي</v>
      </c>
      <c r="C3300" s="1">
        <v>101</v>
      </c>
      <c r="D3300" s="1" t="str">
        <f>"انبار قطعات و لوازم يدكي اصفهان"</f>
        <v>انبار قطعات و لوازم يدكي اصفهان</v>
      </c>
      <c r="E3300" s="1" t="str">
        <f>"5923740093"</f>
        <v>5923740093</v>
      </c>
      <c r="F3300" s="1" t="str">
        <f>"تاپ ست رينگ"</f>
        <v>تاپ ست رينگ</v>
      </c>
      <c r="G3300" s="1" t="str">
        <f>"عدد"</f>
        <v>عدد</v>
      </c>
      <c r="H3300" s="1">
        <v>23</v>
      </c>
      <c r="I3300" s="1">
        <v>18509841</v>
      </c>
      <c r="J3300" s="1">
        <v>0</v>
      </c>
      <c r="K3300" s="1">
        <v>0</v>
      </c>
      <c r="L3300" s="1">
        <v>0</v>
      </c>
      <c r="M3300" s="1">
        <v>0</v>
      </c>
      <c r="O3300" s="1">
        <v>97</v>
      </c>
      <c r="P3300" s="4">
        <f t="shared" si="153"/>
        <v>18509841</v>
      </c>
      <c r="Q3300" s="4">
        <f t="shared" si="154"/>
        <v>23</v>
      </c>
      <c r="R3300" s="4">
        <f t="shared" si="155"/>
        <v>804775.69565217395</v>
      </c>
    </row>
    <row r="3301" spans="1:18">
      <c r="A3301" s="1">
        <v>2</v>
      </c>
      <c r="B3301" s="1" t="str">
        <f>"قطعات و لوازم يدكي"</f>
        <v>قطعات و لوازم يدكي</v>
      </c>
      <c r="C3301" s="1">
        <v>101</v>
      </c>
      <c r="D3301" s="1" t="str">
        <f>"انبار قطعات و لوازم يدكي اصفهان"</f>
        <v>انبار قطعات و لوازم يدكي اصفهان</v>
      </c>
      <c r="E3301" s="1" t="str">
        <f>"5923763432"</f>
        <v>5923763432</v>
      </c>
      <c r="F3301" s="1" t="str">
        <f>"بانت كاسكت ."</f>
        <v>بانت كاسكت .</v>
      </c>
      <c r="G3301" s="1" t="str">
        <f>"عدد"</f>
        <v>عدد</v>
      </c>
      <c r="H3301" s="1">
        <v>11</v>
      </c>
      <c r="I3301" s="1">
        <v>3150511</v>
      </c>
      <c r="J3301" s="1">
        <v>0</v>
      </c>
      <c r="K3301" s="1">
        <v>0</v>
      </c>
      <c r="L3301" s="1">
        <v>0</v>
      </c>
      <c r="M3301" s="1">
        <v>0</v>
      </c>
      <c r="O3301" s="1">
        <v>97</v>
      </c>
      <c r="P3301" s="4">
        <f t="shared" si="153"/>
        <v>3150511</v>
      </c>
      <c r="Q3301" s="4">
        <f t="shared" si="154"/>
        <v>11</v>
      </c>
      <c r="R3301" s="4">
        <f t="shared" si="155"/>
        <v>286410.09090909088</v>
      </c>
    </row>
    <row r="3302" spans="1:18">
      <c r="A3302" s="1">
        <v>2</v>
      </c>
      <c r="B3302" s="1" t="str">
        <f>"قطعات و لوازم يدكي"</f>
        <v>قطعات و لوازم يدكي</v>
      </c>
      <c r="C3302" s="1">
        <v>101</v>
      </c>
      <c r="D3302" s="1" t="str">
        <f>"انبار قطعات و لوازم يدكي اصفهان"</f>
        <v>انبار قطعات و لوازم يدكي اصفهان</v>
      </c>
      <c r="E3302" s="1" t="str">
        <f>"5923764263"</f>
        <v>5923764263</v>
      </c>
      <c r="F3302" s="1" t="str">
        <f>"بانت كاسكت 1R2859X0042"</f>
        <v>بانت كاسكت 1R2859X0042</v>
      </c>
      <c r="G3302" s="1" t="str">
        <f>"عدد"</f>
        <v>عدد</v>
      </c>
      <c r="H3302" s="1">
        <v>5</v>
      </c>
      <c r="I3302" s="1">
        <v>695000</v>
      </c>
      <c r="J3302" s="1">
        <v>0</v>
      </c>
      <c r="K3302" s="1">
        <v>0</v>
      </c>
      <c r="L3302" s="1">
        <v>0</v>
      </c>
      <c r="M3302" s="1">
        <v>0</v>
      </c>
      <c r="O3302" s="1">
        <v>97</v>
      </c>
      <c r="P3302" s="4">
        <f t="shared" si="153"/>
        <v>695000</v>
      </c>
      <c r="Q3302" s="4">
        <f t="shared" si="154"/>
        <v>5</v>
      </c>
      <c r="R3302" s="4">
        <f t="shared" si="155"/>
        <v>139000</v>
      </c>
    </row>
    <row r="3303" spans="1:18">
      <c r="A3303" s="1">
        <v>2</v>
      </c>
      <c r="B3303" s="1" t="str">
        <f>"قطعات و لوازم يدكي"</f>
        <v>قطعات و لوازم يدكي</v>
      </c>
      <c r="C3303" s="1">
        <v>101</v>
      </c>
      <c r="D3303" s="1" t="str">
        <f>"انبار قطعات و لوازم يدكي اصفهان"</f>
        <v>انبار قطعات و لوازم يدكي اصفهان</v>
      </c>
      <c r="E3303" s="1" t="str">
        <f>"5923775373"</f>
        <v>5923775373</v>
      </c>
      <c r="F3303" s="1" t="str">
        <f>"رينگ بك آپ"</f>
        <v>رينگ بك آپ</v>
      </c>
      <c r="G3303" s="1" t="str">
        <f>"عدد"</f>
        <v>عدد</v>
      </c>
      <c r="H3303" s="1">
        <v>4</v>
      </c>
      <c r="I3303" s="1">
        <v>3338743</v>
      </c>
      <c r="J3303" s="1">
        <v>0</v>
      </c>
      <c r="K3303" s="1">
        <v>0</v>
      </c>
      <c r="L3303" s="1">
        <v>0</v>
      </c>
      <c r="M3303" s="1">
        <v>0</v>
      </c>
      <c r="O3303" s="1">
        <v>97</v>
      </c>
      <c r="P3303" s="4">
        <f t="shared" si="153"/>
        <v>3338743</v>
      </c>
      <c r="Q3303" s="4">
        <f t="shared" si="154"/>
        <v>4</v>
      </c>
      <c r="R3303" s="4">
        <f t="shared" si="155"/>
        <v>834685.75</v>
      </c>
    </row>
    <row r="3304" spans="1:18">
      <c r="A3304" s="1">
        <v>2</v>
      </c>
      <c r="B3304" s="1" t="str">
        <f>"قطعات و لوازم يدكي"</f>
        <v>قطعات و لوازم يدكي</v>
      </c>
      <c r="C3304" s="1">
        <v>101</v>
      </c>
      <c r="D3304" s="1" t="str">
        <f>"انبار قطعات و لوازم يدكي اصفهان"</f>
        <v>انبار قطعات و لوازم يدكي اصفهان</v>
      </c>
      <c r="E3304" s="1" t="str">
        <f>"5923784183"</f>
        <v>5923784183</v>
      </c>
      <c r="F3304" s="1" t="str">
        <f>"كاسكت 04302-3723"</f>
        <v>كاسكت 04302-3723</v>
      </c>
      <c r="G3304" s="1" t="str">
        <f>"عدد"</f>
        <v>عدد</v>
      </c>
      <c r="H3304" s="1">
        <v>1</v>
      </c>
      <c r="I3304" s="1">
        <v>500</v>
      </c>
      <c r="J3304" s="1">
        <v>0</v>
      </c>
      <c r="K3304" s="1">
        <v>0</v>
      </c>
      <c r="L3304" s="1">
        <v>0</v>
      </c>
      <c r="M3304" s="1">
        <v>0</v>
      </c>
      <c r="O3304" s="1">
        <v>97</v>
      </c>
      <c r="P3304" s="4">
        <f t="shared" si="153"/>
        <v>500</v>
      </c>
      <c r="Q3304" s="4">
        <f t="shared" si="154"/>
        <v>1</v>
      </c>
      <c r="R3304" s="4">
        <f t="shared" si="155"/>
        <v>500</v>
      </c>
    </row>
    <row r="3305" spans="1:18">
      <c r="A3305" s="1">
        <v>2</v>
      </c>
      <c r="B3305" s="1" t="str">
        <f>"قطعات و لوازم يدكي"</f>
        <v>قطعات و لوازم يدكي</v>
      </c>
      <c r="C3305" s="1">
        <v>101</v>
      </c>
      <c r="D3305" s="1" t="str">
        <f>"انبار قطعات و لوازم يدكي اصفهان"</f>
        <v>انبار قطعات و لوازم يدكي اصفهان</v>
      </c>
      <c r="E3305" s="1" t="str">
        <f>"5923904813"</f>
        <v>5923904813</v>
      </c>
      <c r="F3305" s="1" t="str">
        <f>"كاسكت 5X01-352"</f>
        <v>كاسكت 5X01-352</v>
      </c>
      <c r="G3305" s="1" t="str">
        <f>"عدد"</f>
        <v>عدد</v>
      </c>
      <c r="H3305" s="1">
        <v>11</v>
      </c>
      <c r="I3305" s="1">
        <v>3306496</v>
      </c>
      <c r="J3305" s="1">
        <v>0</v>
      </c>
      <c r="K3305" s="1">
        <v>0</v>
      </c>
      <c r="L3305" s="1">
        <v>0</v>
      </c>
      <c r="M3305" s="1">
        <v>0</v>
      </c>
      <c r="O3305" s="1">
        <v>97</v>
      </c>
      <c r="P3305" s="4">
        <f t="shared" si="153"/>
        <v>3306496</v>
      </c>
      <c r="Q3305" s="4">
        <f t="shared" si="154"/>
        <v>11</v>
      </c>
      <c r="R3305" s="4">
        <f t="shared" si="155"/>
        <v>300590.54545454547</v>
      </c>
    </row>
    <row r="3306" spans="1:18">
      <c r="A3306" s="1">
        <v>2</v>
      </c>
      <c r="B3306" s="1" t="str">
        <f>"قطعات و لوازم يدكي"</f>
        <v>قطعات و لوازم يدكي</v>
      </c>
      <c r="C3306" s="1">
        <v>101</v>
      </c>
      <c r="D3306" s="1" t="str">
        <f>"انبار قطعات و لوازم يدكي اصفهان"</f>
        <v>انبار قطعات و لوازم يدكي اصفهان</v>
      </c>
      <c r="E3306" s="1" t="str">
        <f>"5947761523"</f>
        <v>5947761523</v>
      </c>
      <c r="F3306" s="1" t="str">
        <f>"ترانسميتر 20وات"</f>
        <v>ترانسميتر 20وات</v>
      </c>
      <c r="G3306" s="1" t="str">
        <f>"عدد"</f>
        <v>عدد</v>
      </c>
      <c r="H3306" s="1">
        <v>2</v>
      </c>
      <c r="I3306" s="1">
        <v>197902</v>
      </c>
      <c r="J3306" s="1">
        <v>0</v>
      </c>
      <c r="K3306" s="1">
        <v>0</v>
      </c>
      <c r="L3306" s="1">
        <v>0</v>
      </c>
      <c r="M3306" s="1">
        <v>0</v>
      </c>
      <c r="O3306" s="1">
        <v>97</v>
      </c>
      <c r="P3306" s="4">
        <f t="shared" si="153"/>
        <v>197902</v>
      </c>
      <c r="Q3306" s="4">
        <f t="shared" si="154"/>
        <v>2</v>
      </c>
      <c r="R3306" s="4">
        <f t="shared" si="155"/>
        <v>98951</v>
      </c>
    </row>
    <row r="3307" spans="1:18">
      <c r="A3307" s="1">
        <v>2</v>
      </c>
      <c r="B3307" s="1" t="str">
        <f>"قطعات و لوازم يدكي"</f>
        <v>قطعات و لوازم يدكي</v>
      </c>
      <c r="C3307" s="1">
        <v>101</v>
      </c>
      <c r="D3307" s="1" t="str">
        <f>"انبار قطعات و لوازم يدكي اصفهان"</f>
        <v>انبار قطعات و لوازم يدكي اصفهان</v>
      </c>
      <c r="E3307" s="1" t="str">
        <f>"5996270033"</f>
        <v>5996270033</v>
      </c>
      <c r="F3307" s="1" t="str">
        <f>"سنسور اسي F9284KA"</f>
        <v>سنسور اسي F9284KA</v>
      </c>
      <c r="G3307" s="1" t="str">
        <f>"عدد"</f>
        <v>عدد</v>
      </c>
      <c r="H3307" s="1">
        <v>1</v>
      </c>
      <c r="I3307" s="1">
        <v>526250</v>
      </c>
      <c r="J3307" s="1">
        <v>0</v>
      </c>
      <c r="K3307" s="1">
        <v>0</v>
      </c>
      <c r="L3307" s="1">
        <v>0</v>
      </c>
      <c r="M3307" s="1">
        <v>0</v>
      </c>
      <c r="O3307" s="1">
        <v>97</v>
      </c>
      <c r="P3307" s="4">
        <f t="shared" si="153"/>
        <v>526250</v>
      </c>
      <c r="Q3307" s="4">
        <f t="shared" si="154"/>
        <v>1</v>
      </c>
      <c r="R3307" s="4">
        <f t="shared" si="155"/>
        <v>526250</v>
      </c>
    </row>
    <row r="3308" spans="1:18">
      <c r="A3308" s="1">
        <v>2</v>
      </c>
      <c r="B3308" s="1" t="str">
        <f>"قطعات و لوازم يدكي"</f>
        <v>قطعات و لوازم يدكي</v>
      </c>
      <c r="C3308" s="1">
        <v>101</v>
      </c>
      <c r="D3308" s="1" t="str">
        <f>"انبار قطعات و لوازم يدكي اصفهان"</f>
        <v>انبار قطعات و لوازم يدكي اصفهان</v>
      </c>
      <c r="E3308" s="1" t="str">
        <f>"6000000143"</f>
        <v>6000000143</v>
      </c>
      <c r="F3308" s="1" t="str">
        <f>"نشاندهنده M4NS"</f>
        <v>نشاندهنده M4NS</v>
      </c>
      <c r="G3308" s="1" t="str">
        <f>"عدد"</f>
        <v>عدد</v>
      </c>
      <c r="H3308" s="1">
        <v>1</v>
      </c>
      <c r="I3308" s="1">
        <v>1800000</v>
      </c>
      <c r="J3308" s="1">
        <v>0</v>
      </c>
      <c r="K3308" s="1">
        <v>0</v>
      </c>
      <c r="L3308" s="1">
        <v>0</v>
      </c>
      <c r="M3308" s="1">
        <v>0</v>
      </c>
      <c r="O3308" s="1">
        <v>97</v>
      </c>
      <c r="P3308" s="4">
        <f t="shared" si="153"/>
        <v>1800000</v>
      </c>
      <c r="Q3308" s="4">
        <f t="shared" si="154"/>
        <v>1</v>
      </c>
      <c r="R3308" s="4">
        <f t="shared" si="155"/>
        <v>1800000</v>
      </c>
    </row>
    <row r="3309" spans="1:18" hidden="1">
      <c r="A3309" s="1">
        <v>2</v>
      </c>
      <c r="B3309" s="1" t="str">
        <f>"قطعات و لوازم يدكي"</f>
        <v>قطعات و لوازم يدكي</v>
      </c>
      <c r="C3309" s="1">
        <v>101</v>
      </c>
      <c r="D3309" s="1" t="str">
        <f>"انبار قطعات و لوازم يدكي اصفهان"</f>
        <v>انبار قطعات و لوازم يدكي اصفهان</v>
      </c>
      <c r="E3309" s="1" t="str">
        <f>"6000000182"</f>
        <v>6000000182</v>
      </c>
      <c r="F3309" s="1" t="str">
        <f>"روتامتر هوا يک اينچ 350-35 خطي"</f>
        <v>روتامتر هوا يک اينچ 350-35 خطي</v>
      </c>
      <c r="G3309" s="1" t="str">
        <f>"دستگاه"</f>
        <v>دستگاه</v>
      </c>
      <c r="H3309" s="1">
        <v>0</v>
      </c>
      <c r="I3309" s="1">
        <v>0</v>
      </c>
      <c r="J3309" s="1">
        <v>0</v>
      </c>
      <c r="K3309" s="1">
        <v>0</v>
      </c>
      <c r="L3309" s="1">
        <v>0</v>
      </c>
      <c r="M3309" s="1">
        <v>0</v>
      </c>
      <c r="O3309" s="1">
        <v>97</v>
      </c>
      <c r="P3309" s="1">
        <f t="shared" si="153"/>
        <v>0</v>
      </c>
      <c r="Q3309" s="1">
        <f t="shared" si="154"/>
        <v>0</v>
      </c>
      <c r="R3309" s="1" t="e">
        <f t="shared" si="155"/>
        <v>#DIV/0!</v>
      </c>
    </row>
    <row r="3310" spans="1:18">
      <c r="A3310" s="1">
        <v>2</v>
      </c>
      <c r="B3310" s="1" t="str">
        <f>"قطعات و لوازم يدكي"</f>
        <v>قطعات و لوازم يدكي</v>
      </c>
      <c r="C3310" s="1">
        <v>101</v>
      </c>
      <c r="D3310" s="1" t="str">
        <f>"انبار قطعات و لوازم يدكي اصفهان"</f>
        <v>انبار قطعات و لوازم يدكي اصفهان</v>
      </c>
      <c r="E3310" s="1" t="str">
        <f>"6014542143"</f>
        <v>6014542143</v>
      </c>
      <c r="F3310" s="1" t="str">
        <f>"پن اسي بلو(-قلم ركوردر ابي)-"</f>
        <v>پن اسي بلو(-قلم ركوردر ابي)-</v>
      </c>
      <c r="G3310" s="1" t="str">
        <f>"عدد"</f>
        <v>عدد</v>
      </c>
      <c r="H3310" s="1">
        <v>11</v>
      </c>
      <c r="I3310" s="1">
        <v>1076081</v>
      </c>
      <c r="J3310" s="1">
        <v>0</v>
      </c>
      <c r="K3310" s="1">
        <v>0</v>
      </c>
      <c r="L3310" s="1">
        <v>0</v>
      </c>
      <c r="M3310" s="1">
        <v>0</v>
      </c>
      <c r="O3310" s="1">
        <v>97</v>
      </c>
      <c r="P3310" s="4">
        <f t="shared" si="153"/>
        <v>1076081</v>
      </c>
      <c r="Q3310" s="4">
        <f t="shared" si="154"/>
        <v>11</v>
      </c>
      <c r="R3310" s="4">
        <f t="shared" si="155"/>
        <v>97825.545454545456</v>
      </c>
    </row>
    <row r="3311" spans="1:18">
      <c r="A3311" s="1">
        <v>2</v>
      </c>
      <c r="B3311" s="1" t="str">
        <f>"قطعات و لوازم يدكي"</f>
        <v>قطعات و لوازم يدكي</v>
      </c>
      <c r="C3311" s="1">
        <v>101</v>
      </c>
      <c r="D3311" s="1" t="str">
        <f>"انبار قطعات و لوازم يدكي اصفهان"</f>
        <v>انبار قطعات و لوازم يدكي اصفهان</v>
      </c>
      <c r="E3311" s="1" t="str">
        <f>"6018581012"</f>
        <v>6018581012</v>
      </c>
      <c r="F3311" s="1" t="str">
        <f>"تمپ ترنسمتر"</f>
        <v>تمپ ترنسمتر</v>
      </c>
      <c r="G3311" s="1" t="str">
        <f>"عدد"</f>
        <v>عدد</v>
      </c>
      <c r="H3311" s="1">
        <v>1</v>
      </c>
      <c r="I3311" s="1">
        <v>2700000</v>
      </c>
      <c r="J3311" s="1">
        <v>0</v>
      </c>
      <c r="K3311" s="1">
        <v>0</v>
      </c>
      <c r="L3311" s="1">
        <v>0</v>
      </c>
      <c r="M3311" s="1">
        <v>0</v>
      </c>
      <c r="O3311" s="1">
        <v>97</v>
      </c>
      <c r="P3311" s="4">
        <f t="shared" si="153"/>
        <v>2700000</v>
      </c>
      <c r="Q3311" s="4">
        <f t="shared" si="154"/>
        <v>1</v>
      </c>
      <c r="R3311" s="4">
        <f t="shared" si="155"/>
        <v>2700000</v>
      </c>
    </row>
    <row r="3312" spans="1:18">
      <c r="A3312" s="1">
        <v>2</v>
      </c>
      <c r="B3312" s="1" t="str">
        <f>"قطعات و لوازم يدكي"</f>
        <v>قطعات و لوازم يدكي</v>
      </c>
      <c r="C3312" s="1">
        <v>101</v>
      </c>
      <c r="D3312" s="1" t="str">
        <f>"انبار قطعات و لوازم يدكي اصفهان"</f>
        <v>انبار قطعات و لوازم يدكي اصفهان</v>
      </c>
      <c r="E3312" s="1" t="str">
        <f>"6018953783"</f>
        <v>6018953783</v>
      </c>
      <c r="F3312" s="1" t="str">
        <f>"اين تگراتور كامپونيت"</f>
        <v>اين تگراتور كامپونيت</v>
      </c>
      <c r="G3312" s="1" t="str">
        <f>"عدد"</f>
        <v>عدد</v>
      </c>
      <c r="H3312" s="1">
        <v>1</v>
      </c>
      <c r="I3312" s="1">
        <v>2176497</v>
      </c>
      <c r="J3312" s="1">
        <v>0</v>
      </c>
      <c r="K3312" s="1">
        <v>0</v>
      </c>
      <c r="L3312" s="1">
        <v>0</v>
      </c>
      <c r="M3312" s="1">
        <v>0</v>
      </c>
      <c r="O3312" s="1">
        <v>97</v>
      </c>
      <c r="P3312" s="4">
        <f t="shared" si="153"/>
        <v>2176497</v>
      </c>
      <c r="Q3312" s="4">
        <f t="shared" si="154"/>
        <v>1</v>
      </c>
      <c r="R3312" s="4">
        <f t="shared" si="155"/>
        <v>2176497</v>
      </c>
    </row>
    <row r="3313" spans="1:18">
      <c r="A3313" s="1">
        <v>2</v>
      </c>
      <c r="B3313" s="1" t="str">
        <f>"قطعات و لوازم يدكي"</f>
        <v>قطعات و لوازم يدكي</v>
      </c>
      <c r="C3313" s="1">
        <v>101</v>
      </c>
      <c r="D3313" s="1" t="str">
        <f>"انبار قطعات و لوازم يدكي اصفهان"</f>
        <v>انبار قطعات و لوازم يدكي اصفهان</v>
      </c>
      <c r="E3313" s="1" t="str">
        <f>"6050548332"</f>
        <v>6050548332</v>
      </c>
      <c r="F3313" s="1" t="str">
        <f>"ترمومتر 300 تا0 طول80cm قطر 6mm"</f>
        <v>ترمومتر 300 تا0 طول80cm قطر 6mm</v>
      </c>
      <c r="G3313" s="1" t="str">
        <f>"عدد"</f>
        <v>عدد</v>
      </c>
      <c r="H3313" s="1">
        <v>3</v>
      </c>
      <c r="I3313" s="1">
        <v>19350000</v>
      </c>
      <c r="J3313" s="1">
        <v>0</v>
      </c>
      <c r="K3313" s="1">
        <v>0</v>
      </c>
      <c r="L3313" s="1">
        <v>0</v>
      </c>
      <c r="M3313" s="1">
        <v>0</v>
      </c>
      <c r="O3313" s="1">
        <v>97</v>
      </c>
      <c r="P3313" s="4">
        <f t="shared" si="153"/>
        <v>19350000</v>
      </c>
      <c r="Q3313" s="4">
        <f t="shared" si="154"/>
        <v>3</v>
      </c>
      <c r="R3313" s="4">
        <f t="shared" si="155"/>
        <v>6450000</v>
      </c>
    </row>
    <row r="3314" spans="1:18" hidden="1">
      <c r="A3314" s="1">
        <v>2</v>
      </c>
      <c r="B3314" s="1" t="str">
        <f>"قطعات و لوازم يدكي"</f>
        <v>قطعات و لوازم يدكي</v>
      </c>
      <c r="C3314" s="1">
        <v>101</v>
      </c>
      <c r="D3314" s="1" t="str">
        <f>"انبار قطعات و لوازم يدكي اصفهان"</f>
        <v>انبار قطعات و لوازم يدكي اصفهان</v>
      </c>
      <c r="E3314" s="1" t="str">
        <f>"6050548383"</f>
        <v>6050548383</v>
      </c>
      <c r="F3314" s="1" t="str">
        <f>"PRESSURE GAUGES 0-100 BAR *1/2"</f>
        <v>PRESSURE GAUGES 0-100 BAR *1/2</v>
      </c>
      <c r="G3314" s="1" t="str">
        <f>"عدد"</f>
        <v>عدد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O3314" s="1">
        <v>97</v>
      </c>
      <c r="P3314" s="1">
        <f t="shared" si="153"/>
        <v>0</v>
      </c>
      <c r="Q3314" s="1">
        <f t="shared" si="154"/>
        <v>0</v>
      </c>
      <c r="R3314" s="1" t="e">
        <f t="shared" si="155"/>
        <v>#DIV/0!</v>
      </c>
    </row>
    <row r="3315" spans="1:18">
      <c r="A3315" s="1">
        <v>2</v>
      </c>
      <c r="B3315" s="1" t="str">
        <f>"قطعات و لوازم يدكي"</f>
        <v>قطعات و لوازم يدكي</v>
      </c>
      <c r="C3315" s="1">
        <v>101</v>
      </c>
      <c r="D3315" s="1" t="str">
        <f>"انبار قطعات و لوازم يدكي اصفهان"</f>
        <v>انبار قطعات و لوازم يدكي اصفهان</v>
      </c>
      <c r="E3315" s="1" t="str">
        <f>"6088390213"</f>
        <v>6088390213</v>
      </c>
      <c r="F3315" s="1" t="str">
        <f>"STRIP FOR RECORLLER"</f>
        <v>STRIP FOR RECORLLER</v>
      </c>
      <c r="G3315" s="1" t="str">
        <f>"عدد"</f>
        <v>عدد</v>
      </c>
      <c r="H3315" s="1">
        <v>160</v>
      </c>
      <c r="I3315" s="1">
        <v>2212858</v>
      </c>
      <c r="J3315" s="1">
        <v>0</v>
      </c>
      <c r="K3315" s="1">
        <v>0</v>
      </c>
      <c r="L3315" s="1">
        <v>0</v>
      </c>
      <c r="M3315" s="1">
        <v>0</v>
      </c>
      <c r="O3315" s="1">
        <v>97</v>
      </c>
      <c r="P3315" s="4">
        <f t="shared" si="153"/>
        <v>2212858</v>
      </c>
      <c r="Q3315" s="4">
        <f t="shared" si="154"/>
        <v>160</v>
      </c>
      <c r="R3315" s="4">
        <f t="shared" si="155"/>
        <v>13830.362499999999</v>
      </c>
    </row>
    <row r="3316" spans="1:18">
      <c r="A3316" s="1">
        <v>2</v>
      </c>
      <c r="B3316" s="1" t="str">
        <f>"قطعات و لوازم يدكي"</f>
        <v>قطعات و لوازم يدكي</v>
      </c>
      <c r="C3316" s="1">
        <v>101</v>
      </c>
      <c r="D3316" s="1" t="str">
        <f>"انبار قطعات و لوازم يدكي اصفهان"</f>
        <v>انبار قطعات و لوازم يدكي اصفهان</v>
      </c>
      <c r="E3316" s="1" t="str">
        <f>"6088736853"</f>
        <v>6088736853</v>
      </c>
      <c r="F3316" s="1" t="str">
        <f>"هريون سلونويد والوز"</f>
        <v>هريون سلونويد والوز</v>
      </c>
      <c r="G3316" s="1" t="str">
        <f>"عدد"</f>
        <v>عدد</v>
      </c>
      <c r="H3316" s="1">
        <v>1</v>
      </c>
      <c r="I3316" s="1">
        <v>72800</v>
      </c>
      <c r="J3316" s="1">
        <v>0</v>
      </c>
      <c r="K3316" s="1">
        <v>0</v>
      </c>
      <c r="L3316" s="1">
        <v>0</v>
      </c>
      <c r="M3316" s="1">
        <v>0</v>
      </c>
      <c r="O3316" s="1">
        <v>97</v>
      </c>
      <c r="P3316" s="4">
        <f t="shared" si="153"/>
        <v>72800</v>
      </c>
      <c r="Q3316" s="4">
        <f t="shared" si="154"/>
        <v>1</v>
      </c>
      <c r="R3316" s="4">
        <f t="shared" si="155"/>
        <v>72800</v>
      </c>
    </row>
    <row r="3317" spans="1:18">
      <c r="A3317" s="1">
        <v>2</v>
      </c>
      <c r="B3317" s="1" t="str">
        <f>"قطعات و لوازم يدكي"</f>
        <v>قطعات و لوازم يدكي</v>
      </c>
      <c r="C3317" s="1">
        <v>101</v>
      </c>
      <c r="D3317" s="1" t="str">
        <f>"انبار قطعات و لوازم يدكي اصفهان"</f>
        <v>انبار قطعات و لوازم يدكي اصفهان</v>
      </c>
      <c r="E3317" s="1" t="str">
        <f>"6088764052"</f>
        <v>6088764052</v>
      </c>
      <c r="F3317" s="1" t="s">
        <v>178</v>
      </c>
      <c r="G3317" s="1" t="str">
        <f>"عدد"</f>
        <v>عدد</v>
      </c>
      <c r="H3317" s="1">
        <v>1</v>
      </c>
      <c r="I3317" s="1">
        <v>1550000</v>
      </c>
      <c r="J3317" s="1">
        <v>0</v>
      </c>
      <c r="K3317" s="1">
        <v>0</v>
      </c>
      <c r="L3317" s="1">
        <v>0</v>
      </c>
      <c r="M3317" s="1">
        <v>0</v>
      </c>
      <c r="O3317" s="1">
        <v>97</v>
      </c>
      <c r="P3317" s="4">
        <f t="shared" si="153"/>
        <v>1550000</v>
      </c>
      <c r="Q3317" s="4">
        <f t="shared" si="154"/>
        <v>1</v>
      </c>
      <c r="R3317" s="4">
        <f t="shared" si="155"/>
        <v>1550000</v>
      </c>
    </row>
    <row r="3318" spans="1:18">
      <c r="A3318" s="1">
        <v>2</v>
      </c>
      <c r="B3318" s="1" t="str">
        <f>"قطعات و لوازم يدكي"</f>
        <v>قطعات و لوازم يدكي</v>
      </c>
      <c r="C3318" s="1">
        <v>101</v>
      </c>
      <c r="D3318" s="1" t="str">
        <f>"انبار قطعات و لوازم يدكي اصفهان"</f>
        <v>انبار قطعات و لوازم يدكي اصفهان</v>
      </c>
      <c r="E3318" s="1" t="str">
        <f>"6088764063"</f>
        <v>6088764063</v>
      </c>
      <c r="F3318" s="1" t="str">
        <f>"ترمومتر 120-0 طول 13cm"</f>
        <v>ترمومتر 120-0 طول 13cm</v>
      </c>
      <c r="G3318" s="1" t="str">
        <f>"عدد"</f>
        <v>عدد</v>
      </c>
      <c r="H3318" s="1">
        <v>2</v>
      </c>
      <c r="I3318" s="1">
        <v>11020000</v>
      </c>
      <c r="J3318" s="1">
        <v>0</v>
      </c>
      <c r="K3318" s="1">
        <v>0</v>
      </c>
      <c r="L3318" s="1">
        <v>0</v>
      </c>
      <c r="M3318" s="1">
        <v>0</v>
      </c>
      <c r="O3318" s="1">
        <v>97</v>
      </c>
      <c r="P3318" s="4">
        <f t="shared" si="153"/>
        <v>11020000</v>
      </c>
      <c r="Q3318" s="4">
        <f t="shared" si="154"/>
        <v>2</v>
      </c>
      <c r="R3318" s="4">
        <f t="shared" si="155"/>
        <v>5510000</v>
      </c>
    </row>
    <row r="3319" spans="1:18">
      <c r="A3319" s="1">
        <v>2</v>
      </c>
      <c r="B3319" s="1" t="str">
        <f>"قطعات و لوازم يدكي"</f>
        <v>قطعات و لوازم يدكي</v>
      </c>
      <c r="C3319" s="1">
        <v>101</v>
      </c>
      <c r="D3319" s="1" t="str">
        <f>"انبار قطعات و لوازم يدكي اصفهان"</f>
        <v>انبار قطعات و لوازم يدكي اصفهان</v>
      </c>
      <c r="E3319" s="1" t="str">
        <f>"6088764093"</f>
        <v>6088764093</v>
      </c>
      <c r="F3319" s="1" t="str">
        <f>"ترموول 6 ميليمتر طول 50 سانتي متر"</f>
        <v>ترموول 6 ميليمتر طول 50 سانتي متر</v>
      </c>
      <c r="G3319" s="1" t="str">
        <f>"عدد"</f>
        <v>عدد</v>
      </c>
      <c r="H3319" s="1">
        <v>3</v>
      </c>
      <c r="I3319" s="1">
        <v>21000000</v>
      </c>
      <c r="J3319" s="1">
        <v>0</v>
      </c>
      <c r="K3319" s="1">
        <v>0</v>
      </c>
      <c r="L3319" s="1">
        <v>0</v>
      </c>
      <c r="M3319" s="1">
        <v>0</v>
      </c>
      <c r="O3319" s="1">
        <v>97</v>
      </c>
      <c r="P3319" s="4">
        <f t="shared" si="153"/>
        <v>21000000</v>
      </c>
      <c r="Q3319" s="4">
        <f t="shared" si="154"/>
        <v>3</v>
      </c>
      <c r="R3319" s="4">
        <f t="shared" si="155"/>
        <v>7000000</v>
      </c>
    </row>
    <row r="3320" spans="1:18">
      <c r="A3320" s="1">
        <v>2</v>
      </c>
      <c r="B3320" s="1" t="str">
        <f>"قطعات و لوازم يدكي"</f>
        <v>قطعات و لوازم يدكي</v>
      </c>
      <c r="C3320" s="1">
        <v>101</v>
      </c>
      <c r="D3320" s="1" t="str">
        <f>"انبار قطعات و لوازم يدكي اصفهان"</f>
        <v>انبار قطعات و لوازم يدكي اصفهان</v>
      </c>
      <c r="E3320" s="1" t="str">
        <f>"6095401523"</f>
        <v>6095401523</v>
      </c>
      <c r="F3320" s="1" t="str">
        <f>"DIGT ABLE TRANSMITTEIS"</f>
        <v>DIGT ABLE TRANSMITTEIS</v>
      </c>
      <c r="G3320" s="1" t="str">
        <f>"عدد"</f>
        <v>عدد</v>
      </c>
      <c r="H3320" s="1">
        <v>1</v>
      </c>
      <c r="I3320" s="1">
        <v>112320</v>
      </c>
      <c r="J3320" s="1">
        <v>0</v>
      </c>
      <c r="K3320" s="1">
        <v>0</v>
      </c>
      <c r="L3320" s="1">
        <v>0</v>
      </c>
      <c r="M3320" s="1">
        <v>0</v>
      </c>
      <c r="O3320" s="1">
        <v>97</v>
      </c>
      <c r="P3320" s="4">
        <f t="shared" si="153"/>
        <v>112320</v>
      </c>
      <c r="Q3320" s="4">
        <f t="shared" si="154"/>
        <v>1</v>
      </c>
      <c r="R3320" s="4">
        <f t="shared" si="155"/>
        <v>112320</v>
      </c>
    </row>
    <row r="3321" spans="1:18">
      <c r="A3321" s="1">
        <v>2</v>
      </c>
      <c r="B3321" s="1" t="str">
        <f>"قطعات و لوازم يدكي"</f>
        <v>قطعات و لوازم يدكي</v>
      </c>
      <c r="C3321" s="1">
        <v>101</v>
      </c>
      <c r="D3321" s="1" t="str">
        <f>"انبار قطعات و لوازم يدكي اصفهان"</f>
        <v>انبار قطعات و لوازم يدكي اصفهان</v>
      </c>
      <c r="E3321" s="1" t="str">
        <f>"6401020022"</f>
        <v>6401020022</v>
      </c>
      <c r="F3321" s="1" t="str">
        <f>"الکترود 7018- 3/25"</f>
        <v>الکترود 7018- 3/25</v>
      </c>
      <c r="G3321" s="1" t="str">
        <f>"كيلوگرم"</f>
        <v>كيلوگرم</v>
      </c>
      <c r="H3321" s="1">
        <v>100</v>
      </c>
      <c r="I3321" s="1">
        <v>6600000</v>
      </c>
      <c r="J3321" s="1">
        <v>0</v>
      </c>
      <c r="K3321" s="1">
        <v>0</v>
      </c>
      <c r="L3321" s="1">
        <v>10</v>
      </c>
      <c r="M3321" s="1">
        <v>660000</v>
      </c>
      <c r="O3321" s="1">
        <v>97</v>
      </c>
      <c r="P3321" s="4">
        <f t="shared" si="153"/>
        <v>5940000</v>
      </c>
      <c r="Q3321" s="4">
        <f t="shared" si="154"/>
        <v>90</v>
      </c>
      <c r="R3321" s="4">
        <f t="shared" si="155"/>
        <v>66000</v>
      </c>
    </row>
    <row r="3322" spans="1:18" hidden="1">
      <c r="A3322" s="1">
        <v>2</v>
      </c>
      <c r="B3322" s="1" t="str">
        <f>"قطعات و لوازم يدكي"</f>
        <v>قطعات و لوازم يدكي</v>
      </c>
      <c r="C3322" s="1">
        <v>101</v>
      </c>
      <c r="D3322" s="1" t="str">
        <f>"انبار قطعات و لوازم يدكي اصفهان"</f>
        <v>انبار قطعات و لوازم يدكي اصفهان</v>
      </c>
      <c r="E3322" s="1" t="str">
        <f>"6700000012"</f>
        <v>6700000012</v>
      </c>
      <c r="F3322" s="1" t="str">
        <f>"دستگاه فن فيلتر باکس صنعتي TA-EFB-400"</f>
        <v>دستگاه فن فيلتر باکس صنعتي TA-EFB-400</v>
      </c>
      <c r="G3322" s="1" t="str">
        <f>"دستگاه"</f>
        <v>دستگاه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O3322" s="1">
        <v>97</v>
      </c>
      <c r="P3322" s="1">
        <f t="shared" si="153"/>
        <v>0</v>
      </c>
      <c r="Q3322" s="1">
        <f t="shared" si="154"/>
        <v>0</v>
      </c>
      <c r="R3322" s="1" t="e">
        <f t="shared" si="155"/>
        <v>#DIV/0!</v>
      </c>
    </row>
    <row r="3323" spans="1:18">
      <c r="A3323" s="1">
        <v>2</v>
      </c>
      <c r="B3323" s="1" t="str">
        <f>"قطعات و لوازم يدكي"</f>
        <v>قطعات و لوازم يدكي</v>
      </c>
      <c r="C3323" s="1">
        <v>101</v>
      </c>
      <c r="D3323" s="1" t="str">
        <f>"انبار قطعات و لوازم يدكي اصفهان"</f>
        <v>انبار قطعات و لوازم يدكي اصفهان</v>
      </c>
      <c r="E3323" s="1" t="str">
        <f>"6711355462"</f>
        <v>6711355462</v>
      </c>
      <c r="F3323" s="1" t="str">
        <f>"كليد مينياتوري تك فاز A-16"</f>
        <v>كليد مينياتوري تك فاز A-16</v>
      </c>
      <c r="G3323" s="1" t="str">
        <f>"عدد"</f>
        <v>عدد</v>
      </c>
      <c r="H3323" s="1">
        <v>16</v>
      </c>
      <c r="I3323" s="1">
        <v>1810285</v>
      </c>
      <c r="J3323" s="1">
        <v>0</v>
      </c>
      <c r="K3323" s="1">
        <v>0</v>
      </c>
      <c r="L3323" s="1">
        <v>14</v>
      </c>
      <c r="M3323" s="1">
        <v>1583999</v>
      </c>
      <c r="O3323" s="1">
        <v>97</v>
      </c>
      <c r="P3323" s="4">
        <f t="shared" si="153"/>
        <v>226286</v>
      </c>
      <c r="Q3323" s="4">
        <f t="shared" si="154"/>
        <v>2</v>
      </c>
      <c r="R3323" s="4">
        <f t="shared" si="155"/>
        <v>113143</v>
      </c>
    </row>
    <row r="3324" spans="1:18">
      <c r="A3324" s="1">
        <v>2</v>
      </c>
      <c r="B3324" s="1" t="str">
        <f>"قطعات و لوازم يدكي"</f>
        <v>قطعات و لوازم يدكي</v>
      </c>
      <c r="C3324" s="1">
        <v>101</v>
      </c>
      <c r="D3324" s="1" t="str">
        <f>"انبار قطعات و لوازم يدكي اصفهان"</f>
        <v>انبار قطعات و لوازم يدكي اصفهان</v>
      </c>
      <c r="E3324" s="1" t="str">
        <f>"6711355502"</f>
        <v>6711355502</v>
      </c>
      <c r="F3324" s="1" t="str">
        <f>"كليد مينياتوري تك فازA-25"</f>
        <v>كليد مينياتوري تك فازA-25</v>
      </c>
      <c r="G3324" s="1" t="str">
        <f>"عدد"</f>
        <v>عدد</v>
      </c>
      <c r="H3324" s="1">
        <v>13</v>
      </c>
      <c r="I3324" s="1">
        <v>2656835</v>
      </c>
      <c r="J3324" s="1">
        <v>0</v>
      </c>
      <c r="K3324" s="1">
        <v>0</v>
      </c>
      <c r="L3324" s="1">
        <v>2</v>
      </c>
      <c r="M3324" s="1">
        <v>408744</v>
      </c>
      <c r="O3324" s="1">
        <v>97</v>
      </c>
      <c r="P3324" s="4">
        <f t="shared" si="153"/>
        <v>2248091</v>
      </c>
      <c r="Q3324" s="4">
        <f t="shared" si="154"/>
        <v>11</v>
      </c>
      <c r="R3324" s="4">
        <f t="shared" si="155"/>
        <v>204371.90909090909</v>
      </c>
    </row>
    <row r="3325" spans="1:18">
      <c r="A3325" s="1">
        <v>2</v>
      </c>
      <c r="B3325" s="1" t="str">
        <f>"قطعات و لوازم يدكي"</f>
        <v>قطعات و لوازم يدكي</v>
      </c>
      <c r="C3325" s="1">
        <v>101</v>
      </c>
      <c r="D3325" s="1" t="str">
        <f>"انبار قطعات و لوازم يدكي اصفهان"</f>
        <v>انبار قطعات و لوازم يدكي اصفهان</v>
      </c>
      <c r="E3325" s="1" t="str">
        <f>"6772902033"</f>
        <v>6772902033</v>
      </c>
      <c r="F3325" s="1" t="str">
        <f>"CONTROLLER"</f>
        <v>CONTROLLER</v>
      </c>
      <c r="G3325" s="1" t="str">
        <f>"عدد"</f>
        <v>عدد</v>
      </c>
      <c r="H3325" s="1">
        <v>2</v>
      </c>
      <c r="I3325" s="1">
        <v>274509</v>
      </c>
      <c r="J3325" s="1">
        <v>0</v>
      </c>
      <c r="K3325" s="1">
        <v>0</v>
      </c>
      <c r="L3325" s="1">
        <v>0</v>
      </c>
      <c r="M3325" s="1">
        <v>0</v>
      </c>
      <c r="O3325" s="1">
        <v>97</v>
      </c>
      <c r="P3325" s="4">
        <f t="shared" si="153"/>
        <v>274509</v>
      </c>
      <c r="Q3325" s="4">
        <f t="shared" si="154"/>
        <v>2</v>
      </c>
      <c r="R3325" s="4">
        <f t="shared" si="155"/>
        <v>137254.5</v>
      </c>
    </row>
    <row r="3326" spans="1:18">
      <c r="A3326" s="1">
        <v>2</v>
      </c>
      <c r="B3326" s="1" t="str">
        <f>"قطعات و لوازم يدكي"</f>
        <v>قطعات و لوازم يدكي</v>
      </c>
      <c r="C3326" s="1">
        <v>101</v>
      </c>
      <c r="D3326" s="1" t="str">
        <f>"انبار قطعات و لوازم يدكي اصفهان"</f>
        <v>انبار قطعات و لوازم يدكي اصفهان</v>
      </c>
      <c r="E3326" s="1" t="str">
        <f>"6772902043"</f>
        <v>6772902043</v>
      </c>
      <c r="F3326" s="1" t="str">
        <f>"POSITIONERپوزيشنر"</f>
        <v>POSITIONERپوزيشنر</v>
      </c>
      <c r="G3326" s="1" t="str">
        <f>"عدد"</f>
        <v>عدد</v>
      </c>
      <c r="H3326" s="1">
        <v>5</v>
      </c>
      <c r="I3326" s="1">
        <v>750000</v>
      </c>
      <c r="J3326" s="1">
        <v>0</v>
      </c>
      <c r="K3326" s="1">
        <v>0</v>
      </c>
      <c r="L3326" s="1">
        <v>0</v>
      </c>
      <c r="M3326" s="1">
        <v>0</v>
      </c>
      <c r="O3326" s="1">
        <v>97</v>
      </c>
      <c r="P3326" s="4">
        <f t="shared" si="153"/>
        <v>750000</v>
      </c>
      <c r="Q3326" s="4">
        <f t="shared" si="154"/>
        <v>5</v>
      </c>
      <c r="R3326" s="4">
        <f t="shared" si="155"/>
        <v>150000</v>
      </c>
    </row>
    <row r="3327" spans="1:18">
      <c r="A3327" s="1">
        <v>2</v>
      </c>
      <c r="B3327" s="1" t="str">
        <f>"قطعات و لوازم يدكي"</f>
        <v>قطعات و لوازم يدكي</v>
      </c>
      <c r="C3327" s="1">
        <v>101</v>
      </c>
      <c r="D3327" s="1" t="str">
        <f>"انبار قطعات و لوازم يدكي اصفهان"</f>
        <v>انبار قطعات و لوازم يدكي اصفهان</v>
      </c>
      <c r="E3327" s="1" t="str">
        <f>"6772902063"</f>
        <v>6772902063</v>
      </c>
      <c r="F3327" s="1" t="str">
        <f>"MODULE WR"</f>
        <v>MODULE WR</v>
      </c>
      <c r="G3327" s="1" t="str">
        <f>"عدد"</f>
        <v>عدد</v>
      </c>
      <c r="H3327" s="1">
        <v>13</v>
      </c>
      <c r="I3327" s="1">
        <v>7360506</v>
      </c>
      <c r="J3327" s="1">
        <v>0</v>
      </c>
      <c r="K3327" s="1">
        <v>0</v>
      </c>
      <c r="L3327" s="1">
        <v>0</v>
      </c>
      <c r="M3327" s="1">
        <v>0</v>
      </c>
      <c r="O3327" s="1">
        <v>97</v>
      </c>
      <c r="P3327" s="4">
        <f t="shared" si="153"/>
        <v>7360506</v>
      </c>
      <c r="Q3327" s="4">
        <f t="shared" si="154"/>
        <v>13</v>
      </c>
      <c r="R3327" s="4">
        <f t="shared" si="155"/>
        <v>566192.76923076925</v>
      </c>
    </row>
    <row r="3328" spans="1:18" hidden="1">
      <c r="A3328" s="1">
        <v>2</v>
      </c>
      <c r="B3328" s="1" t="str">
        <f>"قطعات و لوازم يدكي"</f>
        <v>قطعات و لوازم يدكي</v>
      </c>
      <c r="C3328" s="1">
        <v>101</v>
      </c>
      <c r="D3328" s="1" t="str">
        <f>"انبار قطعات و لوازم يدكي اصفهان"</f>
        <v>انبار قطعات و لوازم يدكي اصفهان</v>
      </c>
      <c r="E3328" s="1" t="str">
        <f>"6800000092"</f>
        <v>6800000092</v>
      </c>
      <c r="F3328" s="1" t="str">
        <f>"سر کابل 50*3 داخلي 20KV"</f>
        <v>سر کابل 50*3 داخلي 20KV</v>
      </c>
      <c r="G3328" s="1" t="str">
        <f>"عدد"</f>
        <v>عدد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O3328" s="1">
        <v>97</v>
      </c>
      <c r="P3328" s="1">
        <f t="shared" si="153"/>
        <v>0</v>
      </c>
      <c r="Q3328" s="1">
        <f t="shared" si="154"/>
        <v>0</v>
      </c>
      <c r="R3328" s="1" t="e">
        <f t="shared" si="155"/>
        <v>#DIV/0!</v>
      </c>
    </row>
    <row r="3329" spans="1:18">
      <c r="A3329" s="1">
        <v>2</v>
      </c>
      <c r="B3329" s="1" t="str">
        <f>"قطعات و لوازم يدكي"</f>
        <v>قطعات و لوازم يدكي</v>
      </c>
      <c r="C3329" s="1">
        <v>101</v>
      </c>
      <c r="D3329" s="1" t="str">
        <f>"انبار قطعات و لوازم يدكي اصفهان"</f>
        <v>انبار قطعات و لوازم يدكي اصفهان</v>
      </c>
      <c r="E3329" s="1" t="str">
        <f>"6801010082"</f>
        <v>6801010082</v>
      </c>
      <c r="F3329" s="1" t="str">
        <f>"کابلشو 6-6 KL"</f>
        <v>کابلشو 6-6 KL</v>
      </c>
      <c r="G3329" s="1" t="str">
        <f>"عدد"</f>
        <v>عدد</v>
      </c>
      <c r="H3329" s="1">
        <v>59</v>
      </c>
      <c r="I3329" s="1">
        <v>106200</v>
      </c>
      <c r="J3329" s="1">
        <v>0</v>
      </c>
      <c r="K3329" s="1">
        <v>0</v>
      </c>
      <c r="L3329" s="1">
        <v>0</v>
      </c>
      <c r="M3329" s="1">
        <v>0</v>
      </c>
      <c r="O3329" s="1">
        <v>97</v>
      </c>
      <c r="P3329" s="4">
        <f t="shared" si="153"/>
        <v>106200</v>
      </c>
      <c r="Q3329" s="4">
        <f t="shared" si="154"/>
        <v>59</v>
      </c>
      <c r="R3329" s="4">
        <f t="shared" si="155"/>
        <v>1800</v>
      </c>
    </row>
    <row r="3330" spans="1:18">
      <c r="A3330" s="1">
        <v>2</v>
      </c>
      <c r="B3330" s="1" t="str">
        <f>"قطعات و لوازم يدكي"</f>
        <v>قطعات و لوازم يدكي</v>
      </c>
      <c r="C3330" s="1">
        <v>101</v>
      </c>
      <c r="D3330" s="1" t="str">
        <f>"انبار قطعات و لوازم يدكي اصفهان"</f>
        <v>انبار قطعات و لوازم يدكي اصفهان</v>
      </c>
      <c r="E3330" s="1" t="str">
        <f>"6801010212"</f>
        <v>6801010212</v>
      </c>
      <c r="F3330" s="1" t="str">
        <f>"دوشاخه قرمز  دهنه 5"</f>
        <v>دوشاخه قرمز  دهنه 5</v>
      </c>
      <c r="G3330" s="1" t="str">
        <f>"عدد"</f>
        <v>عدد</v>
      </c>
      <c r="H3330" s="1">
        <v>90</v>
      </c>
      <c r="I3330" s="1">
        <v>36000</v>
      </c>
      <c r="J3330" s="1">
        <v>0</v>
      </c>
      <c r="K3330" s="1">
        <v>0</v>
      </c>
      <c r="L3330" s="1">
        <v>0</v>
      </c>
      <c r="M3330" s="1">
        <v>0</v>
      </c>
      <c r="O3330" s="1">
        <v>97</v>
      </c>
      <c r="P3330" s="4">
        <f t="shared" si="153"/>
        <v>36000</v>
      </c>
      <c r="Q3330" s="4">
        <f t="shared" si="154"/>
        <v>90</v>
      </c>
      <c r="R3330" s="4">
        <f t="shared" si="155"/>
        <v>400</v>
      </c>
    </row>
    <row r="3331" spans="1:18" hidden="1">
      <c r="A3331" s="1">
        <v>2</v>
      </c>
      <c r="B3331" s="1" t="str">
        <f>"قطعات و لوازم يدكي"</f>
        <v>قطعات و لوازم يدكي</v>
      </c>
      <c r="C3331" s="1">
        <v>101</v>
      </c>
      <c r="D3331" s="1" t="str">
        <f>"انبار قطعات و لوازم يدكي اصفهان"</f>
        <v>انبار قطعات و لوازم يدكي اصفهان</v>
      </c>
      <c r="E3331" s="1" t="str">
        <f>"6801010362"</f>
        <v>6801010362</v>
      </c>
      <c r="F3331" s="1" t="str">
        <f>"موف مسي نمره 120"</f>
        <v>موف مسي نمره 120</v>
      </c>
      <c r="G3331" s="1" t="str">
        <f>"عدد"</f>
        <v>عدد</v>
      </c>
      <c r="H3331" s="1">
        <v>0</v>
      </c>
      <c r="I3331" s="1">
        <v>0</v>
      </c>
      <c r="J3331" s="1">
        <v>3</v>
      </c>
      <c r="K3331" s="1">
        <v>4500000</v>
      </c>
      <c r="L3331" s="1">
        <v>3</v>
      </c>
      <c r="M3331" s="1">
        <v>4500000</v>
      </c>
      <c r="O3331" s="1">
        <v>97</v>
      </c>
      <c r="P3331" s="1">
        <f t="shared" ref="P3331:P3394" si="156">I3331+K3331-M3331</f>
        <v>0</v>
      </c>
      <c r="Q3331" s="1">
        <f t="shared" ref="Q3331:Q3394" si="157">H3331+J3331-L3331</f>
        <v>0</v>
      </c>
      <c r="R3331" s="1" t="e">
        <f t="shared" ref="R3331:R3394" si="158">P3331/Q3331</f>
        <v>#DIV/0!</v>
      </c>
    </row>
    <row r="3332" spans="1:18" hidden="1">
      <c r="A3332" s="1">
        <v>2</v>
      </c>
      <c r="B3332" s="1" t="str">
        <f>"قطعات و لوازم يدكي"</f>
        <v>قطعات و لوازم يدكي</v>
      </c>
      <c r="C3332" s="1">
        <v>101</v>
      </c>
      <c r="D3332" s="1" t="str">
        <f>"انبار قطعات و لوازم يدكي اصفهان"</f>
        <v>انبار قطعات و لوازم يدكي اصفهان</v>
      </c>
      <c r="E3332" s="1" t="str">
        <f>"6878900482"</f>
        <v>6878900482</v>
      </c>
      <c r="F3332" s="1" t="str">
        <f>"کابل 1/5*2"</f>
        <v>کابل 1/5*2</v>
      </c>
      <c r="G3332" s="1" t="str">
        <f>"متر"</f>
        <v>متر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O3332" s="1">
        <v>97</v>
      </c>
      <c r="P3332" s="1">
        <f t="shared" si="156"/>
        <v>0</v>
      </c>
      <c r="Q3332" s="1">
        <f t="shared" si="157"/>
        <v>0</v>
      </c>
      <c r="R3332" s="1" t="e">
        <f t="shared" si="158"/>
        <v>#DIV/0!</v>
      </c>
    </row>
    <row r="3333" spans="1:18">
      <c r="A3333" s="1">
        <v>2</v>
      </c>
      <c r="B3333" s="1" t="str">
        <f>"قطعات و لوازم يدكي"</f>
        <v>قطعات و لوازم يدكي</v>
      </c>
      <c r="C3333" s="1">
        <v>101</v>
      </c>
      <c r="D3333" s="1" t="str">
        <f>"انبار قطعات و لوازم يدكي اصفهان"</f>
        <v>انبار قطعات و لوازم يدكي اصفهان</v>
      </c>
      <c r="E3333" s="1" t="str">
        <f>"6900000042"</f>
        <v>6900000042</v>
      </c>
      <c r="F3333" s="1" t="str">
        <f>"گلند 90 درجه LT-B 90"</f>
        <v>گلند 90 درجه LT-B 90</v>
      </c>
      <c r="G3333" s="1" t="str">
        <f>"عدد"</f>
        <v>عدد</v>
      </c>
      <c r="H3333" s="1">
        <v>20</v>
      </c>
      <c r="I3333" s="1">
        <v>2200000</v>
      </c>
      <c r="J3333" s="1">
        <v>0</v>
      </c>
      <c r="K3333" s="1">
        <v>0</v>
      </c>
      <c r="L3333" s="1">
        <v>2</v>
      </c>
      <c r="M3333" s="1">
        <v>220000</v>
      </c>
      <c r="O3333" s="1">
        <v>97</v>
      </c>
      <c r="P3333" s="4">
        <f t="shared" si="156"/>
        <v>1980000</v>
      </c>
      <c r="Q3333" s="4">
        <f t="shared" si="157"/>
        <v>18</v>
      </c>
      <c r="R3333" s="4">
        <f t="shared" si="158"/>
        <v>110000</v>
      </c>
    </row>
    <row r="3334" spans="1:18" hidden="1">
      <c r="A3334" s="1">
        <v>2</v>
      </c>
      <c r="B3334" s="1" t="str">
        <f>"قطعات و لوازم يدكي"</f>
        <v>قطعات و لوازم يدكي</v>
      </c>
      <c r="C3334" s="1">
        <v>101</v>
      </c>
      <c r="D3334" s="1" t="str">
        <f>"انبار قطعات و لوازم يدكي اصفهان"</f>
        <v>انبار قطعات و لوازم يدكي اصفهان</v>
      </c>
      <c r="E3334" s="1" t="str">
        <f>"6900000052"</f>
        <v>6900000052</v>
      </c>
      <c r="F3334" s="1" t="str">
        <f>"گلند 16 (MEAL)"</f>
        <v>گلند 16 (MEAL)</v>
      </c>
      <c r="G3334" s="1" t="str">
        <f>"عدد"</f>
        <v>عدد</v>
      </c>
      <c r="H3334" s="1">
        <v>10</v>
      </c>
      <c r="I3334" s="1">
        <v>550000</v>
      </c>
      <c r="J3334" s="1">
        <v>0</v>
      </c>
      <c r="K3334" s="1">
        <v>0</v>
      </c>
      <c r="L3334" s="1">
        <v>10</v>
      </c>
      <c r="M3334" s="1">
        <v>550000</v>
      </c>
      <c r="O3334" s="1">
        <v>97</v>
      </c>
      <c r="P3334" s="1">
        <f t="shared" si="156"/>
        <v>0</v>
      </c>
      <c r="Q3334" s="1">
        <f t="shared" si="157"/>
        <v>0</v>
      </c>
      <c r="R3334" s="1" t="e">
        <f t="shared" si="158"/>
        <v>#DIV/0!</v>
      </c>
    </row>
    <row r="3335" spans="1:18" hidden="1">
      <c r="A3335" s="1">
        <v>2</v>
      </c>
      <c r="B3335" s="1" t="str">
        <f>"قطعات و لوازم يدكي"</f>
        <v>قطعات و لوازم يدكي</v>
      </c>
      <c r="C3335" s="1">
        <v>101</v>
      </c>
      <c r="D3335" s="1" t="str">
        <f>"انبار قطعات و لوازم يدكي اصفهان"</f>
        <v>انبار قطعات و لوازم يدكي اصفهان</v>
      </c>
      <c r="E3335" s="1" t="str">
        <f>"6901020072"</f>
        <v>6901020072</v>
      </c>
      <c r="F3335" s="1" t="str">
        <f>"المنت نواري 60/WM"</f>
        <v>المنت نواري 60/WM</v>
      </c>
      <c r="G3335" s="1" t="str">
        <f>"متر"</f>
        <v>متر</v>
      </c>
      <c r="H3335" s="1">
        <v>0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O3335" s="1">
        <v>97</v>
      </c>
      <c r="P3335" s="1">
        <f t="shared" si="156"/>
        <v>0</v>
      </c>
      <c r="Q3335" s="1">
        <f t="shared" si="157"/>
        <v>0</v>
      </c>
      <c r="R3335" s="1" t="e">
        <f t="shared" si="158"/>
        <v>#DIV/0!</v>
      </c>
    </row>
    <row r="3336" spans="1:18" hidden="1">
      <c r="A3336" s="1">
        <v>2</v>
      </c>
      <c r="B3336" s="1" t="str">
        <f>"قطعات و لوازم يدكي"</f>
        <v>قطعات و لوازم يدكي</v>
      </c>
      <c r="C3336" s="1">
        <v>101</v>
      </c>
      <c r="D3336" s="1" t="str">
        <f>"انبار قطعات و لوازم يدكي اصفهان"</f>
        <v>انبار قطعات و لوازم يدكي اصفهان</v>
      </c>
      <c r="E3336" s="1" t="str">
        <f>"6901020082"</f>
        <v>6901020082</v>
      </c>
      <c r="F3336" s="1" t="str">
        <f>"ناوداني 6"</f>
        <v>ناوداني 6</v>
      </c>
      <c r="G3336" s="1" t="str">
        <f>"شاخه"</f>
        <v>شاخه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O3336" s="1">
        <v>97</v>
      </c>
      <c r="P3336" s="1">
        <f t="shared" si="156"/>
        <v>0</v>
      </c>
      <c r="Q3336" s="1">
        <f t="shared" si="157"/>
        <v>0</v>
      </c>
      <c r="R3336" s="1" t="e">
        <f t="shared" si="158"/>
        <v>#DIV/0!</v>
      </c>
    </row>
    <row r="3337" spans="1:18">
      <c r="A3337" s="1">
        <v>2</v>
      </c>
      <c r="B3337" s="1" t="str">
        <f>"قطعات و لوازم يدكي"</f>
        <v>قطعات و لوازم يدكي</v>
      </c>
      <c r="C3337" s="1">
        <v>101</v>
      </c>
      <c r="D3337" s="1" t="str">
        <f>"انبار قطعات و لوازم يدكي اصفهان"</f>
        <v>انبار قطعات و لوازم يدكي اصفهان</v>
      </c>
      <c r="E3337" s="1" t="str">
        <f>"6901020232"</f>
        <v>6901020232</v>
      </c>
      <c r="F3337" s="1" t="str">
        <f>"بست بغل"</f>
        <v>بست بغل</v>
      </c>
      <c r="G3337" s="1" t="str">
        <f>"عدد"</f>
        <v>عدد</v>
      </c>
      <c r="H3337" s="1">
        <v>0</v>
      </c>
      <c r="I3337" s="1">
        <v>0</v>
      </c>
      <c r="J3337" s="1">
        <v>20</v>
      </c>
      <c r="K3337" s="1">
        <v>110000</v>
      </c>
      <c r="L3337" s="1">
        <v>0</v>
      </c>
      <c r="M3337" s="1">
        <v>0</v>
      </c>
      <c r="O3337" s="1">
        <v>97</v>
      </c>
      <c r="P3337" s="4">
        <f t="shared" si="156"/>
        <v>110000</v>
      </c>
      <c r="Q3337" s="4">
        <f t="shared" si="157"/>
        <v>20</v>
      </c>
      <c r="R3337" s="4">
        <f t="shared" si="158"/>
        <v>5500</v>
      </c>
    </row>
    <row r="3338" spans="1:18">
      <c r="A3338" s="1">
        <v>2</v>
      </c>
      <c r="B3338" s="1" t="str">
        <f>"قطعات و لوازم يدكي"</f>
        <v>قطعات و لوازم يدكي</v>
      </c>
      <c r="C3338" s="1">
        <v>101</v>
      </c>
      <c r="D3338" s="1" t="str">
        <f>"انبار قطعات و لوازم يدكي اصفهان"</f>
        <v>انبار قطعات و لوازم يدكي اصفهان</v>
      </c>
      <c r="E3338" s="1" t="str">
        <f>"6901462482"</f>
        <v>6901462482</v>
      </c>
      <c r="F3338" s="1" t="str">
        <f>"لامپ200W"</f>
        <v>لامپ200W</v>
      </c>
      <c r="G3338" s="1" t="str">
        <f>"عدد"</f>
        <v>عدد</v>
      </c>
      <c r="H3338" s="1">
        <v>26</v>
      </c>
      <c r="I3338" s="1">
        <v>1660</v>
      </c>
      <c r="J3338" s="1">
        <v>0</v>
      </c>
      <c r="K3338" s="1">
        <v>0</v>
      </c>
      <c r="L3338" s="1">
        <v>0</v>
      </c>
      <c r="M3338" s="1">
        <v>0</v>
      </c>
      <c r="O3338" s="1">
        <v>97</v>
      </c>
      <c r="P3338" s="4">
        <f t="shared" si="156"/>
        <v>1660</v>
      </c>
      <c r="Q3338" s="4">
        <f t="shared" si="157"/>
        <v>26</v>
      </c>
      <c r="R3338" s="4">
        <f t="shared" si="158"/>
        <v>63.846153846153847</v>
      </c>
    </row>
    <row r="3339" spans="1:18">
      <c r="A3339" s="1">
        <v>2</v>
      </c>
      <c r="B3339" s="1" t="str">
        <f>"قطعات و لوازم يدكي"</f>
        <v>قطعات و لوازم يدكي</v>
      </c>
      <c r="C3339" s="1">
        <v>101</v>
      </c>
      <c r="D3339" s="1" t="str">
        <f>"انبار قطعات و لوازم يدكي اصفهان"</f>
        <v>انبار قطعات و لوازم يدكي اصفهان</v>
      </c>
      <c r="E3339" s="1" t="str">
        <f>"6935521772"</f>
        <v>6935521772</v>
      </c>
      <c r="F3339" s="1" t="str">
        <f>"لامپ HSL  250 W"</f>
        <v>لامپ HSL  250 W</v>
      </c>
      <c r="G3339" s="1" t="str">
        <f>"عدد"</f>
        <v>عدد</v>
      </c>
      <c r="H3339" s="1">
        <v>18</v>
      </c>
      <c r="I3339" s="1">
        <v>2133262</v>
      </c>
      <c r="J3339" s="1">
        <v>0</v>
      </c>
      <c r="K3339" s="1">
        <v>0</v>
      </c>
      <c r="L3339" s="1">
        <v>0</v>
      </c>
      <c r="M3339" s="1">
        <v>0</v>
      </c>
      <c r="O3339" s="1">
        <v>97</v>
      </c>
      <c r="P3339" s="4">
        <f t="shared" si="156"/>
        <v>2133262</v>
      </c>
      <c r="Q3339" s="4">
        <f t="shared" si="157"/>
        <v>18</v>
      </c>
      <c r="R3339" s="4">
        <f t="shared" si="158"/>
        <v>118514.55555555556</v>
      </c>
    </row>
    <row r="3340" spans="1:18">
      <c r="A3340" s="1">
        <v>2</v>
      </c>
      <c r="B3340" s="1" t="str">
        <f>"قطعات و لوازم يدكي"</f>
        <v>قطعات و لوازم يدكي</v>
      </c>
      <c r="C3340" s="1">
        <v>101</v>
      </c>
      <c r="D3340" s="1" t="str">
        <f>"انبار قطعات و لوازم يدكي اصفهان"</f>
        <v>انبار قطعات و لوازم يدكي اصفهان</v>
      </c>
      <c r="E3340" s="1" t="str">
        <f>"6941781462"</f>
        <v>6941781462</v>
      </c>
      <c r="F3340" s="1" t="str">
        <f>"لامپ LED 18W  آفتابي"</f>
        <v>لامپ LED 18W  آفتابي</v>
      </c>
      <c r="G3340" s="1" t="str">
        <f>"عدد"</f>
        <v>عدد</v>
      </c>
      <c r="H3340" s="1">
        <v>0</v>
      </c>
      <c r="I3340" s="1">
        <v>0</v>
      </c>
      <c r="J3340" s="1">
        <v>15</v>
      </c>
      <c r="K3340" s="1">
        <v>6900000</v>
      </c>
      <c r="L3340" s="1">
        <v>0</v>
      </c>
      <c r="M3340" s="1">
        <v>0</v>
      </c>
      <c r="O3340" s="1">
        <v>97</v>
      </c>
      <c r="P3340" s="4">
        <f t="shared" si="156"/>
        <v>6900000</v>
      </c>
      <c r="Q3340" s="4">
        <f t="shared" si="157"/>
        <v>15</v>
      </c>
      <c r="R3340" s="4">
        <f t="shared" si="158"/>
        <v>460000</v>
      </c>
    </row>
    <row r="3341" spans="1:18">
      <c r="A3341" s="1">
        <v>2</v>
      </c>
      <c r="B3341" s="1" t="str">
        <f>"قطعات و لوازم يدكي"</f>
        <v>قطعات و لوازم يدكي</v>
      </c>
      <c r="C3341" s="1">
        <v>101</v>
      </c>
      <c r="D3341" s="1" t="str">
        <f>"انبار قطعات و لوازم يدكي اصفهان"</f>
        <v>انبار قطعات و لوازم يدكي اصفهان</v>
      </c>
      <c r="E3341" s="1" t="str">
        <f>"6980291402"</f>
        <v>6980291402</v>
      </c>
      <c r="F3341" s="1" t="str">
        <f>"استارتر 400W"</f>
        <v>استارتر 400W</v>
      </c>
      <c r="G3341" s="1" t="str">
        <f>"عدد"</f>
        <v>عدد</v>
      </c>
      <c r="H3341" s="1">
        <v>4</v>
      </c>
      <c r="I3341" s="1">
        <v>600000</v>
      </c>
      <c r="J3341" s="1">
        <v>0</v>
      </c>
      <c r="K3341" s="1">
        <v>0</v>
      </c>
      <c r="L3341" s="1">
        <v>0</v>
      </c>
      <c r="M3341" s="1">
        <v>0</v>
      </c>
      <c r="O3341" s="1">
        <v>97</v>
      </c>
      <c r="P3341" s="4">
        <f t="shared" si="156"/>
        <v>600000</v>
      </c>
      <c r="Q3341" s="4">
        <f t="shared" si="157"/>
        <v>4</v>
      </c>
      <c r="R3341" s="4">
        <f t="shared" si="158"/>
        <v>150000</v>
      </c>
    </row>
    <row r="3342" spans="1:18">
      <c r="A3342" s="1">
        <v>2</v>
      </c>
      <c r="B3342" s="1" t="str">
        <f>"قطعات و لوازم يدكي"</f>
        <v>قطعات و لوازم يدكي</v>
      </c>
      <c r="C3342" s="1">
        <v>101</v>
      </c>
      <c r="D3342" s="1" t="str">
        <f>"انبار قطعات و لوازم يدكي اصفهان"</f>
        <v>انبار قطعات و لوازم يدكي اصفهان</v>
      </c>
      <c r="E3342" s="1" t="str">
        <f>"6980291432"</f>
        <v>6980291432</v>
      </c>
      <c r="F3342" s="1" t="str">
        <f>"استارت 22w-4"</f>
        <v>استارت 22w-4</v>
      </c>
      <c r="G3342" s="1" t="str">
        <f>"عدد"</f>
        <v>عدد</v>
      </c>
      <c r="H3342" s="1">
        <v>4</v>
      </c>
      <c r="I3342" s="1">
        <v>60000</v>
      </c>
      <c r="J3342" s="1">
        <v>50</v>
      </c>
      <c r="K3342" s="1">
        <v>2500000</v>
      </c>
      <c r="L3342" s="1">
        <v>10</v>
      </c>
      <c r="M3342" s="1">
        <v>474074</v>
      </c>
      <c r="O3342" s="1">
        <v>97</v>
      </c>
      <c r="P3342" s="4">
        <f t="shared" si="156"/>
        <v>2085926</v>
      </c>
      <c r="Q3342" s="4">
        <f t="shared" si="157"/>
        <v>44</v>
      </c>
      <c r="R3342" s="4">
        <f t="shared" si="158"/>
        <v>47407.409090909088</v>
      </c>
    </row>
    <row r="3343" spans="1:18">
      <c r="A3343" s="1">
        <v>2</v>
      </c>
      <c r="B3343" s="1" t="str">
        <f>"قطعات و لوازم يدكي"</f>
        <v>قطعات و لوازم يدكي</v>
      </c>
      <c r="C3343" s="1">
        <v>101</v>
      </c>
      <c r="D3343" s="1" t="str">
        <f>"انبار قطعات و لوازم يدكي اصفهان"</f>
        <v>انبار قطعات و لوازم يدكي اصفهان</v>
      </c>
      <c r="E3343" s="1" t="str">
        <f>"7001010012"</f>
        <v>7001010012</v>
      </c>
      <c r="F3343" s="1" t="str">
        <f>"کنتاکت جرقه گير متحرک"</f>
        <v>کنتاکت جرقه گير متحرک</v>
      </c>
      <c r="G3343" s="1" t="str">
        <f>"عدد"</f>
        <v>عدد</v>
      </c>
      <c r="H3343" s="1">
        <v>11</v>
      </c>
      <c r="I3343" s="1">
        <v>5500000</v>
      </c>
      <c r="J3343" s="1">
        <v>0</v>
      </c>
      <c r="K3343" s="1">
        <v>0</v>
      </c>
      <c r="L3343" s="1">
        <v>0</v>
      </c>
      <c r="M3343" s="1">
        <v>0</v>
      </c>
      <c r="O3343" s="1">
        <v>97</v>
      </c>
      <c r="P3343" s="4">
        <f t="shared" si="156"/>
        <v>5500000</v>
      </c>
      <c r="Q3343" s="4">
        <f t="shared" si="157"/>
        <v>11</v>
      </c>
      <c r="R3343" s="4">
        <f t="shared" si="158"/>
        <v>500000</v>
      </c>
    </row>
    <row r="3344" spans="1:18">
      <c r="A3344" s="1">
        <v>2</v>
      </c>
      <c r="B3344" s="1" t="str">
        <f>"قطعات و لوازم يدكي"</f>
        <v>قطعات و لوازم يدكي</v>
      </c>
      <c r="C3344" s="1">
        <v>101</v>
      </c>
      <c r="D3344" s="1" t="str">
        <f>"انبار قطعات و لوازم يدكي اصفهان"</f>
        <v>انبار قطعات و لوازم يدكي اصفهان</v>
      </c>
      <c r="E3344" s="1" t="str">
        <f>"7042041182"</f>
        <v>7042041182</v>
      </c>
      <c r="F3344" s="1" t="str">
        <f>"پريز  ارت د ار  توكار"</f>
        <v>پريز  ارت د ار  توكار</v>
      </c>
      <c r="G3344" s="1" t="str">
        <f>"عدد"</f>
        <v>عدد</v>
      </c>
      <c r="H3344" s="1">
        <v>20</v>
      </c>
      <c r="I3344" s="1">
        <v>521949</v>
      </c>
      <c r="J3344" s="1">
        <v>0</v>
      </c>
      <c r="K3344" s="1">
        <v>0</v>
      </c>
      <c r="L3344" s="1">
        <v>8</v>
      </c>
      <c r="M3344" s="1">
        <v>208779</v>
      </c>
      <c r="O3344" s="1">
        <v>97</v>
      </c>
      <c r="P3344" s="4">
        <f t="shared" si="156"/>
        <v>313170</v>
      </c>
      <c r="Q3344" s="4">
        <f t="shared" si="157"/>
        <v>12</v>
      </c>
      <c r="R3344" s="4">
        <f t="shared" si="158"/>
        <v>26097.5</v>
      </c>
    </row>
    <row r="3345" spans="1:18">
      <c r="A3345" s="1">
        <v>2</v>
      </c>
      <c r="B3345" s="1" t="str">
        <f>"قطعات و لوازم يدكي"</f>
        <v>قطعات و لوازم يدكي</v>
      </c>
      <c r="C3345" s="1">
        <v>101</v>
      </c>
      <c r="D3345" s="1" t="str">
        <f>"انبار قطعات و لوازم يدكي اصفهان"</f>
        <v>انبار قطعات و لوازم يدكي اصفهان</v>
      </c>
      <c r="E3345" s="1" t="str">
        <f>"7042043102"</f>
        <v>7042043102</v>
      </c>
      <c r="F3345" s="1" t="str">
        <f>"كليد دو پل درب پوش دار"</f>
        <v>كليد دو پل درب پوش دار</v>
      </c>
      <c r="G3345" s="1" t="str">
        <f>"عدد"</f>
        <v>عدد</v>
      </c>
      <c r="H3345" s="1">
        <v>19</v>
      </c>
      <c r="I3345" s="1">
        <v>461369</v>
      </c>
      <c r="J3345" s="1">
        <v>0</v>
      </c>
      <c r="K3345" s="1">
        <v>0</v>
      </c>
      <c r="L3345" s="1">
        <v>0</v>
      </c>
      <c r="M3345" s="1">
        <v>0</v>
      </c>
      <c r="O3345" s="1">
        <v>97</v>
      </c>
      <c r="P3345" s="4">
        <f t="shared" si="156"/>
        <v>461369</v>
      </c>
      <c r="Q3345" s="4">
        <f t="shared" si="157"/>
        <v>19</v>
      </c>
      <c r="R3345" s="4">
        <f t="shared" si="158"/>
        <v>24282.57894736842</v>
      </c>
    </row>
    <row r="3346" spans="1:18">
      <c r="A3346" s="1">
        <v>2</v>
      </c>
      <c r="B3346" s="1" t="str">
        <f>"قطعات و لوازم يدكي"</f>
        <v>قطعات و لوازم يدكي</v>
      </c>
      <c r="C3346" s="1">
        <v>101</v>
      </c>
      <c r="D3346" s="1" t="str">
        <f>"انبار قطعات و لوازم يدكي اصفهان"</f>
        <v>انبار قطعات و لوازم يدكي اصفهان</v>
      </c>
      <c r="E3346" s="1" t="str">
        <f>"7057010022"</f>
        <v>7057010022</v>
      </c>
      <c r="F3346" s="1" t="str">
        <f>"فيوز قلمي 6 آمپر(استوانه اي)"</f>
        <v>فيوز قلمي 6 آمپر(استوانه اي)</v>
      </c>
      <c r="G3346" s="1" t="str">
        <f>"عدد"</f>
        <v>عدد</v>
      </c>
      <c r="H3346" s="1">
        <v>18</v>
      </c>
      <c r="I3346" s="1">
        <v>135000</v>
      </c>
      <c r="J3346" s="1">
        <v>0</v>
      </c>
      <c r="K3346" s="1">
        <v>0</v>
      </c>
      <c r="L3346" s="1">
        <v>0</v>
      </c>
      <c r="M3346" s="1">
        <v>0</v>
      </c>
      <c r="O3346" s="1">
        <v>97</v>
      </c>
      <c r="P3346" s="4">
        <f t="shared" si="156"/>
        <v>135000</v>
      </c>
      <c r="Q3346" s="4">
        <f t="shared" si="157"/>
        <v>18</v>
      </c>
      <c r="R3346" s="4">
        <f t="shared" si="158"/>
        <v>7500</v>
      </c>
    </row>
    <row r="3347" spans="1:18">
      <c r="A3347" s="1">
        <v>2</v>
      </c>
      <c r="B3347" s="1" t="str">
        <f>"قطعات و لوازم يدكي"</f>
        <v>قطعات و لوازم يدكي</v>
      </c>
      <c r="C3347" s="1">
        <v>101</v>
      </c>
      <c r="D3347" s="1" t="str">
        <f>"انبار قطعات و لوازم يدكي اصفهان"</f>
        <v>انبار قطعات و لوازم يدكي اصفهان</v>
      </c>
      <c r="E3347" s="1" t="str">
        <f>"7057060262"</f>
        <v>7057060262</v>
      </c>
      <c r="F3347" s="1" t="str">
        <f>"فيوز فشنگي 35A"</f>
        <v>فيوز فشنگي 35A</v>
      </c>
      <c r="G3347" s="1" t="str">
        <f>"عدد"</f>
        <v>عدد</v>
      </c>
      <c r="H3347" s="1">
        <v>6</v>
      </c>
      <c r="I3347" s="1">
        <v>39000</v>
      </c>
      <c r="J3347" s="1">
        <v>0</v>
      </c>
      <c r="K3347" s="1">
        <v>0</v>
      </c>
      <c r="L3347" s="1">
        <v>1</v>
      </c>
      <c r="M3347" s="1">
        <v>6500</v>
      </c>
      <c r="O3347" s="1">
        <v>97</v>
      </c>
      <c r="P3347" s="4">
        <f t="shared" si="156"/>
        <v>32500</v>
      </c>
      <c r="Q3347" s="4">
        <f t="shared" si="157"/>
        <v>5</v>
      </c>
      <c r="R3347" s="4">
        <f t="shared" si="158"/>
        <v>6500</v>
      </c>
    </row>
    <row r="3348" spans="1:18">
      <c r="A3348" s="1">
        <v>2</v>
      </c>
      <c r="B3348" s="1" t="str">
        <f>"قطعات و لوازم يدكي"</f>
        <v>قطعات و لوازم يدكي</v>
      </c>
      <c r="C3348" s="1">
        <v>101</v>
      </c>
      <c r="D3348" s="1" t="str">
        <f>"انبار قطعات و لوازم يدكي اصفهان"</f>
        <v>انبار قطعات و لوازم يدكي اصفهان</v>
      </c>
      <c r="E3348" s="1" t="str">
        <f>"7057060282"</f>
        <v>7057060282</v>
      </c>
      <c r="F3348" s="1" t="str">
        <f>"فيوز فشنگي 63A"</f>
        <v>فيوز فشنگي 63A</v>
      </c>
      <c r="G3348" s="1" t="str">
        <f>"عدد"</f>
        <v>عدد</v>
      </c>
      <c r="H3348" s="1">
        <v>20</v>
      </c>
      <c r="I3348" s="1">
        <v>130000</v>
      </c>
      <c r="J3348" s="1">
        <v>3</v>
      </c>
      <c r="K3348" s="1">
        <v>19500</v>
      </c>
      <c r="L3348" s="1">
        <v>3</v>
      </c>
      <c r="M3348" s="1">
        <v>19500</v>
      </c>
      <c r="O3348" s="1">
        <v>97</v>
      </c>
      <c r="P3348" s="4">
        <f t="shared" si="156"/>
        <v>130000</v>
      </c>
      <c r="Q3348" s="4">
        <f t="shared" si="157"/>
        <v>20</v>
      </c>
      <c r="R3348" s="4">
        <f t="shared" si="158"/>
        <v>6500</v>
      </c>
    </row>
    <row r="3349" spans="1:18">
      <c r="A3349" s="1">
        <v>2</v>
      </c>
      <c r="B3349" s="1" t="str">
        <f>"قطعات و لوازم يدكي"</f>
        <v>قطعات و لوازم يدكي</v>
      </c>
      <c r="C3349" s="1">
        <v>101</v>
      </c>
      <c r="D3349" s="1" t="str">
        <f>"انبار قطعات و لوازم يدكي اصفهان"</f>
        <v>انبار قطعات و لوازم يدكي اصفهان</v>
      </c>
      <c r="E3349" s="1" t="str">
        <f>"7401020072"</f>
        <v>7401020072</v>
      </c>
      <c r="F3349" s="1" t="str">
        <f>"PIPE INSUL 4 PIPE SEC 50MM"</f>
        <v>PIPE INSUL 4 PIPE SEC 50MM</v>
      </c>
      <c r="G3349" s="1" t="str">
        <f>"متر"</f>
        <v>متر</v>
      </c>
      <c r="H3349" s="1">
        <v>6</v>
      </c>
      <c r="I3349" s="1">
        <v>1200000</v>
      </c>
      <c r="J3349" s="1">
        <v>0</v>
      </c>
      <c r="K3349" s="1">
        <v>0</v>
      </c>
      <c r="L3349" s="1">
        <v>0</v>
      </c>
      <c r="M3349" s="1">
        <v>0</v>
      </c>
      <c r="O3349" s="1">
        <v>97</v>
      </c>
      <c r="P3349" s="4">
        <f t="shared" si="156"/>
        <v>1200000</v>
      </c>
      <c r="Q3349" s="4">
        <f t="shared" si="157"/>
        <v>6</v>
      </c>
      <c r="R3349" s="4">
        <f t="shared" si="158"/>
        <v>200000</v>
      </c>
    </row>
    <row r="3350" spans="1:18" hidden="1">
      <c r="A3350" s="1">
        <v>2</v>
      </c>
      <c r="B3350" s="1" t="str">
        <f>"قطعات و لوازم يدكي"</f>
        <v>قطعات و لوازم يدكي</v>
      </c>
      <c r="C3350" s="1">
        <v>101</v>
      </c>
      <c r="D3350" s="1" t="str">
        <f>"انبار قطعات و لوازم يدكي اصفهان"</f>
        <v>انبار قطعات و لوازم يدكي اصفهان</v>
      </c>
      <c r="E3350" s="1" t="str">
        <f>"7413210782"</f>
        <v>7413210782</v>
      </c>
      <c r="F3350" s="1" t="s">
        <v>179</v>
      </c>
      <c r="G3350" s="1" t="str">
        <f>"فوت"</f>
        <v>فوت</v>
      </c>
      <c r="H3350" s="1">
        <v>0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O3350" s="1">
        <v>97</v>
      </c>
      <c r="P3350" s="1">
        <f t="shared" si="156"/>
        <v>0</v>
      </c>
      <c r="Q3350" s="1">
        <f t="shared" si="157"/>
        <v>0</v>
      </c>
      <c r="R3350" s="1" t="e">
        <f t="shared" si="158"/>
        <v>#DIV/0!</v>
      </c>
    </row>
    <row r="3351" spans="1:18">
      <c r="A3351" s="1">
        <v>2</v>
      </c>
      <c r="B3351" s="1" t="str">
        <f>"قطعات و لوازم يدكي"</f>
        <v>قطعات و لوازم يدكي</v>
      </c>
      <c r="C3351" s="1">
        <v>101</v>
      </c>
      <c r="D3351" s="1" t="str">
        <f>"انبار قطعات و لوازم يدكي اصفهان"</f>
        <v>انبار قطعات و لوازم يدكي اصفهان</v>
      </c>
      <c r="E3351" s="1" t="str">
        <f>"7413211282"</f>
        <v>7413211282</v>
      </c>
      <c r="F3351" s="1" t="str">
        <f>"لوله 4 اينچ رده 40"</f>
        <v>لوله 4 اينچ رده 40</v>
      </c>
      <c r="G3351" s="1" t="str">
        <f>"فوت"</f>
        <v>فوت</v>
      </c>
      <c r="H3351" s="1">
        <v>32</v>
      </c>
      <c r="I3351" s="1">
        <v>5139884</v>
      </c>
      <c r="J3351" s="1">
        <v>200</v>
      </c>
      <c r="K3351" s="1">
        <v>68750000</v>
      </c>
      <c r="L3351" s="1">
        <v>132</v>
      </c>
      <c r="M3351" s="1">
        <v>33139884</v>
      </c>
      <c r="O3351" s="1">
        <v>97</v>
      </c>
      <c r="P3351" s="4">
        <f t="shared" si="156"/>
        <v>40750000</v>
      </c>
      <c r="Q3351" s="4">
        <f t="shared" si="157"/>
        <v>100</v>
      </c>
      <c r="R3351" s="4">
        <f t="shared" si="158"/>
        <v>407500</v>
      </c>
    </row>
    <row r="3352" spans="1:18">
      <c r="A3352" s="1">
        <v>2</v>
      </c>
      <c r="B3352" s="1" t="str">
        <f>"قطعات و لوازم يدكي"</f>
        <v>قطعات و لوازم يدكي</v>
      </c>
      <c r="C3352" s="1">
        <v>101</v>
      </c>
      <c r="D3352" s="1" t="str">
        <f>"انبار قطعات و لوازم يدكي اصفهان"</f>
        <v>انبار قطعات و لوازم يدكي اصفهان</v>
      </c>
      <c r="E3352" s="1" t="str">
        <f>"7466223462"</f>
        <v>7466223462</v>
      </c>
      <c r="F3352" s="1" t="s">
        <v>180</v>
      </c>
      <c r="G3352" s="1" t="str">
        <f>"متر"</f>
        <v>متر</v>
      </c>
      <c r="H3352" s="1">
        <v>16</v>
      </c>
      <c r="I3352" s="1">
        <v>320000</v>
      </c>
      <c r="J3352" s="1">
        <v>30</v>
      </c>
      <c r="K3352" s="1">
        <v>7200000</v>
      </c>
      <c r="L3352" s="1">
        <v>21</v>
      </c>
      <c r="M3352" s="1">
        <v>3433043</v>
      </c>
      <c r="O3352" s="1">
        <v>97</v>
      </c>
      <c r="P3352" s="4">
        <f t="shared" si="156"/>
        <v>4086957</v>
      </c>
      <c r="Q3352" s="4">
        <f t="shared" si="157"/>
        <v>25</v>
      </c>
      <c r="R3352" s="4">
        <f t="shared" si="158"/>
        <v>163478.28</v>
      </c>
    </row>
    <row r="3353" spans="1:18" hidden="1">
      <c r="A3353" s="1">
        <v>2</v>
      </c>
      <c r="B3353" s="1" t="str">
        <f>"قطعات و لوازم يدكي"</f>
        <v>قطعات و لوازم يدكي</v>
      </c>
      <c r="C3353" s="1">
        <v>101</v>
      </c>
      <c r="D3353" s="1" t="str">
        <f>"انبار قطعات و لوازم يدكي اصفهان"</f>
        <v>انبار قطعات و لوازم يدكي اصفهان</v>
      </c>
      <c r="E3353" s="1" t="str">
        <f>"7501010022"</f>
        <v>7501010022</v>
      </c>
      <c r="F3353" s="1" t="str">
        <f>"گوشواره گلند ولوها"</f>
        <v>گوشواره گلند ولوها</v>
      </c>
      <c r="G3353" s="1" t="str">
        <f>"عدد"</f>
        <v>عدد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O3353" s="1">
        <v>97</v>
      </c>
      <c r="P3353" s="1">
        <f t="shared" si="156"/>
        <v>0</v>
      </c>
      <c r="Q3353" s="1">
        <f t="shared" si="157"/>
        <v>0</v>
      </c>
      <c r="R3353" s="1" t="e">
        <f t="shared" si="158"/>
        <v>#DIV/0!</v>
      </c>
    </row>
    <row r="3354" spans="1:18">
      <c r="A3354" s="1">
        <v>2</v>
      </c>
      <c r="B3354" s="1" t="str">
        <f>"قطعات و لوازم يدكي"</f>
        <v>قطعات و لوازم يدكي</v>
      </c>
      <c r="C3354" s="1">
        <v>101</v>
      </c>
      <c r="D3354" s="1" t="str">
        <f>"انبار قطعات و لوازم يدكي اصفهان"</f>
        <v>انبار قطعات و لوازم يدكي اصفهان</v>
      </c>
      <c r="E3354" s="1" t="str">
        <f>"7501010052"</f>
        <v>7501010052</v>
      </c>
      <c r="F3354" s="1" t="str">
        <f>"سر شيلنگي 3/4 اينچ"</f>
        <v>سر شيلنگي 3/4 اينچ</v>
      </c>
      <c r="G3354" s="1" t="str">
        <f>"عدد"</f>
        <v>عدد</v>
      </c>
      <c r="H3354" s="1">
        <v>2</v>
      </c>
      <c r="I3354" s="1">
        <v>70000</v>
      </c>
      <c r="J3354" s="1">
        <v>0</v>
      </c>
      <c r="K3354" s="1">
        <v>0</v>
      </c>
      <c r="L3354" s="1">
        <v>0</v>
      </c>
      <c r="M3354" s="1">
        <v>0</v>
      </c>
      <c r="O3354" s="1">
        <v>97</v>
      </c>
      <c r="P3354" s="4">
        <f t="shared" si="156"/>
        <v>70000</v>
      </c>
      <c r="Q3354" s="4">
        <f t="shared" si="157"/>
        <v>2</v>
      </c>
      <c r="R3354" s="4">
        <f t="shared" si="158"/>
        <v>35000</v>
      </c>
    </row>
    <row r="3355" spans="1:18">
      <c r="A3355" s="1">
        <v>2</v>
      </c>
      <c r="B3355" s="1" t="str">
        <f>"قطعات و لوازم يدكي"</f>
        <v>قطعات و لوازم يدكي</v>
      </c>
      <c r="C3355" s="1">
        <v>101</v>
      </c>
      <c r="D3355" s="1" t="str">
        <f>"انبار قطعات و لوازم يدكي اصفهان"</f>
        <v>انبار قطعات و لوازم يدكي اصفهان</v>
      </c>
      <c r="E3355" s="1" t="str">
        <f>"7525184062"</f>
        <v>7525184062</v>
      </c>
      <c r="F3355" s="1" t="s">
        <v>181</v>
      </c>
      <c r="G3355" s="1" t="str">
        <f>"عدد"</f>
        <v>عدد</v>
      </c>
      <c r="H3355" s="1">
        <v>7</v>
      </c>
      <c r="I3355" s="1">
        <v>2858334</v>
      </c>
      <c r="J3355" s="1">
        <v>0</v>
      </c>
      <c r="K3355" s="1">
        <v>0</v>
      </c>
      <c r="L3355" s="1">
        <v>4</v>
      </c>
      <c r="M3355" s="1">
        <v>1633334</v>
      </c>
      <c r="O3355" s="1">
        <v>97</v>
      </c>
      <c r="P3355" s="4">
        <f t="shared" si="156"/>
        <v>1225000</v>
      </c>
      <c r="Q3355" s="4">
        <f t="shared" si="157"/>
        <v>3</v>
      </c>
      <c r="R3355" s="4">
        <f t="shared" si="158"/>
        <v>408333.33333333331</v>
      </c>
    </row>
    <row r="3356" spans="1:18" hidden="1">
      <c r="A3356" s="1">
        <v>2</v>
      </c>
      <c r="B3356" s="1" t="str">
        <f>"قطعات و لوازم يدكي"</f>
        <v>قطعات و لوازم يدكي</v>
      </c>
      <c r="C3356" s="1">
        <v>101</v>
      </c>
      <c r="D3356" s="1" t="str">
        <f>"انبار قطعات و لوازم يدكي اصفهان"</f>
        <v>انبار قطعات و لوازم يدكي اصفهان</v>
      </c>
      <c r="E3356" s="1" t="str">
        <f>"7537101002"</f>
        <v>7537101002</v>
      </c>
      <c r="F3356" s="1" t="str">
        <f>"بال ولو 1/2 کلاس 150"</f>
        <v>بال ولو 1/2 کلاس 150</v>
      </c>
      <c r="G3356" s="1" t="str">
        <f>"عدد"</f>
        <v>عدد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O3356" s="1">
        <v>97</v>
      </c>
      <c r="P3356" s="1">
        <f t="shared" si="156"/>
        <v>0</v>
      </c>
      <c r="Q3356" s="1">
        <f t="shared" si="157"/>
        <v>0</v>
      </c>
      <c r="R3356" s="1" t="e">
        <f t="shared" si="158"/>
        <v>#DIV/0!</v>
      </c>
    </row>
    <row r="3357" spans="1:18">
      <c r="A3357" s="1">
        <v>2</v>
      </c>
      <c r="B3357" s="1" t="str">
        <f>"قطعات و لوازم يدكي"</f>
        <v>قطعات و لوازم يدكي</v>
      </c>
      <c r="C3357" s="1">
        <v>101</v>
      </c>
      <c r="D3357" s="1" t="str">
        <f>"انبار قطعات و لوازم يدكي اصفهان"</f>
        <v>انبار قطعات و لوازم يدكي اصفهان</v>
      </c>
      <c r="E3357" s="1" t="str">
        <f>"7537321308"</f>
        <v>7537321308</v>
      </c>
      <c r="F3357" s="1" t="s">
        <v>182</v>
      </c>
      <c r="G3357" s="1" t="str">
        <f>"عدد"</f>
        <v>عدد</v>
      </c>
      <c r="H3357" s="1">
        <v>1</v>
      </c>
      <c r="I3357" s="1">
        <v>4950000</v>
      </c>
      <c r="J3357" s="1">
        <v>0</v>
      </c>
      <c r="K3357" s="1">
        <v>0</v>
      </c>
      <c r="L3357" s="1">
        <v>0</v>
      </c>
      <c r="M3357" s="1">
        <v>0</v>
      </c>
      <c r="O3357" s="1">
        <v>97</v>
      </c>
      <c r="P3357" s="4">
        <f t="shared" si="156"/>
        <v>4950000</v>
      </c>
      <c r="Q3357" s="4">
        <f t="shared" si="157"/>
        <v>1</v>
      </c>
      <c r="R3357" s="4">
        <f t="shared" si="158"/>
        <v>4950000</v>
      </c>
    </row>
    <row r="3358" spans="1:18">
      <c r="A3358" s="1">
        <v>2</v>
      </c>
      <c r="B3358" s="1" t="str">
        <f>"قطعات و لوازم يدكي"</f>
        <v>قطعات و لوازم يدكي</v>
      </c>
      <c r="C3358" s="1">
        <v>101</v>
      </c>
      <c r="D3358" s="1" t="str">
        <f>"انبار قطعات و لوازم يدكي اصفهان"</f>
        <v>انبار قطعات و لوازم يدكي اصفهان</v>
      </c>
      <c r="E3358" s="1" t="str">
        <f>"7537721202"</f>
        <v>7537721202</v>
      </c>
      <c r="F3358" s="1" t="s">
        <v>183</v>
      </c>
      <c r="G3358" s="1" t="str">
        <f>"عدد"</f>
        <v>عدد</v>
      </c>
      <c r="H3358" s="1">
        <v>2</v>
      </c>
      <c r="I3358" s="1">
        <v>11200000</v>
      </c>
      <c r="J3358" s="1">
        <v>0</v>
      </c>
      <c r="K3358" s="1">
        <v>0</v>
      </c>
      <c r="L3358" s="1">
        <v>0</v>
      </c>
      <c r="M3358" s="1">
        <v>0</v>
      </c>
      <c r="O3358" s="1">
        <v>97</v>
      </c>
      <c r="P3358" s="4">
        <f t="shared" si="156"/>
        <v>11200000</v>
      </c>
      <c r="Q3358" s="4">
        <f t="shared" si="157"/>
        <v>2</v>
      </c>
      <c r="R3358" s="4">
        <f t="shared" si="158"/>
        <v>5600000</v>
      </c>
    </row>
    <row r="3359" spans="1:18">
      <c r="A3359" s="1">
        <v>2</v>
      </c>
      <c r="B3359" s="1" t="str">
        <f>"قطعات و لوازم يدكي"</f>
        <v>قطعات و لوازم يدكي</v>
      </c>
      <c r="C3359" s="1">
        <v>101</v>
      </c>
      <c r="D3359" s="1" t="str">
        <f>"انبار قطعات و لوازم يدكي اصفهان"</f>
        <v>انبار قطعات و لوازم يدكي اصفهان</v>
      </c>
      <c r="E3359" s="1" t="str">
        <f>"7556451122"</f>
        <v>7556451122</v>
      </c>
      <c r="F3359" s="1" t="str">
        <f>"گلوب ولو 2 / 1-1 اينچ800(GLOBE VALVE )"</f>
        <v>گلوب ولو 2 / 1-1 اينچ800(GLOBE VALVE )</v>
      </c>
      <c r="G3359" s="1" t="str">
        <f>"عدد"</f>
        <v>عدد</v>
      </c>
      <c r="H3359" s="1">
        <v>7</v>
      </c>
      <c r="I3359" s="1">
        <v>6550748</v>
      </c>
      <c r="J3359" s="1">
        <v>0</v>
      </c>
      <c r="K3359" s="1">
        <v>0</v>
      </c>
      <c r="L3359" s="1">
        <v>0</v>
      </c>
      <c r="M3359" s="1">
        <v>0</v>
      </c>
      <c r="O3359" s="1">
        <v>97</v>
      </c>
      <c r="P3359" s="4">
        <f t="shared" si="156"/>
        <v>6550748</v>
      </c>
      <c r="Q3359" s="4">
        <f t="shared" si="157"/>
        <v>7</v>
      </c>
      <c r="R3359" s="4">
        <f t="shared" si="158"/>
        <v>935821.14285714284</v>
      </c>
    </row>
    <row r="3360" spans="1:18">
      <c r="A3360" s="1">
        <v>2</v>
      </c>
      <c r="B3360" s="1" t="str">
        <f>"قطعات و لوازم يدكي"</f>
        <v>قطعات و لوازم يدكي</v>
      </c>
      <c r="C3360" s="1">
        <v>101</v>
      </c>
      <c r="D3360" s="1" t="str">
        <f>"انبار قطعات و لوازم يدكي اصفهان"</f>
        <v>انبار قطعات و لوازم يدكي اصفهان</v>
      </c>
      <c r="E3360" s="1" t="str">
        <f>"7588774002"</f>
        <v>7588774002</v>
      </c>
      <c r="F3360" s="1" t="str">
        <f>"اچار ولو   سايز كوچك"</f>
        <v>اچار ولو   سايز كوچك</v>
      </c>
      <c r="G3360" s="1" t="str">
        <f>"عدد"</f>
        <v>عدد</v>
      </c>
      <c r="H3360" s="1">
        <v>7</v>
      </c>
      <c r="I3360" s="1">
        <v>2800000</v>
      </c>
      <c r="J3360" s="1">
        <v>0</v>
      </c>
      <c r="K3360" s="1">
        <v>0</v>
      </c>
      <c r="L3360" s="1">
        <v>2</v>
      </c>
      <c r="M3360" s="1">
        <v>800000</v>
      </c>
      <c r="O3360" s="1">
        <v>97</v>
      </c>
      <c r="P3360" s="4">
        <f t="shared" si="156"/>
        <v>2000000</v>
      </c>
      <c r="Q3360" s="4">
        <f t="shared" si="157"/>
        <v>5</v>
      </c>
      <c r="R3360" s="4">
        <f t="shared" si="158"/>
        <v>400000</v>
      </c>
    </row>
    <row r="3361" spans="1:18">
      <c r="A3361" s="1">
        <v>2</v>
      </c>
      <c r="B3361" s="1" t="str">
        <f>"قطعات و لوازم يدكي"</f>
        <v>قطعات و لوازم يدكي</v>
      </c>
      <c r="C3361" s="1">
        <v>101</v>
      </c>
      <c r="D3361" s="1" t="str">
        <f>"انبار قطعات و لوازم يدكي اصفهان"</f>
        <v>انبار قطعات و لوازم يدكي اصفهان</v>
      </c>
      <c r="E3361" s="1" t="str">
        <f>"7605140462"</f>
        <v>7605140462</v>
      </c>
      <c r="F3361" s="1" t="str">
        <f>"بوشينگ 1/2 * 1 A-105"</f>
        <v>بوشينگ 1/2 * 1 A-105</v>
      </c>
      <c r="G3361" s="1" t="str">
        <f>"عدد"</f>
        <v>عدد</v>
      </c>
      <c r="H3361" s="1">
        <v>26</v>
      </c>
      <c r="I3361" s="1">
        <v>2002500</v>
      </c>
      <c r="J3361" s="1">
        <v>0</v>
      </c>
      <c r="K3361" s="1">
        <v>0</v>
      </c>
      <c r="L3361" s="1">
        <v>2</v>
      </c>
      <c r="M3361" s="1">
        <v>154038</v>
      </c>
      <c r="O3361" s="1">
        <v>97</v>
      </c>
      <c r="P3361" s="4">
        <f t="shared" si="156"/>
        <v>1848462</v>
      </c>
      <c r="Q3361" s="4">
        <f t="shared" si="157"/>
        <v>24</v>
      </c>
      <c r="R3361" s="4">
        <f t="shared" si="158"/>
        <v>77019.25</v>
      </c>
    </row>
    <row r="3362" spans="1:18">
      <c r="A3362" s="1">
        <v>2</v>
      </c>
      <c r="B3362" s="1" t="str">
        <f>"قطعات و لوازم يدكي"</f>
        <v>قطعات و لوازم يدكي</v>
      </c>
      <c r="C3362" s="1">
        <v>101</v>
      </c>
      <c r="D3362" s="1" t="str">
        <f>"انبار قطعات و لوازم يدكي اصفهان"</f>
        <v>انبار قطعات و لوازم يدكي اصفهان</v>
      </c>
      <c r="E3362" s="1" t="str">
        <f>"7605181122"</f>
        <v>7605181122</v>
      </c>
      <c r="F3362" s="1" t="str">
        <f>"كپ دنده اي3/4اينچ3000"</f>
        <v>كپ دنده اي3/4اينچ3000</v>
      </c>
      <c r="G3362" s="1" t="str">
        <f>"عدد"</f>
        <v>عدد</v>
      </c>
      <c r="H3362" s="1">
        <v>25</v>
      </c>
      <c r="I3362" s="1">
        <v>1122519</v>
      </c>
      <c r="J3362" s="1">
        <v>5</v>
      </c>
      <c r="K3362" s="1">
        <v>224504</v>
      </c>
      <c r="L3362" s="1">
        <v>16</v>
      </c>
      <c r="M3362" s="1">
        <v>718413</v>
      </c>
      <c r="O3362" s="1">
        <v>97</v>
      </c>
      <c r="P3362" s="4">
        <f t="shared" si="156"/>
        <v>628610</v>
      </c>
      <c r="Q3362" s="4">
        <f t="shared" si="157"/>
        <v>14</v>
      </c>
      <c r="R3362" s="4">
        <f t="shared" si="158"/>
        <v>44900.714285714283</v>
      </c>
    </row>
    <row r="3363" spans="1:18">
      <c r="A3363" s="1">
        <v>2</v>
      </c>
      <c r="B3363" s="1" t="str">
        <f>"قطعات و لوازم يدكي"</f>
        <v>قطعات و لوازم يدكي</v>
      </c>
      <c r="C3363" s="1">
        <v>101</v>
      </c>
      <c r="D3363" s="1" t="str">
        <f>"انبار قطعات و لوازم يدكي اصفهان"</f>
        <v>انبار قطعات و لوازم يدكي اصفهان</v>
      </c>
      <c r="E3363" s="1" t="str">
        <f>"7605281122"</f>
        <v>7605281122</v>
      </c>
      <c r="F3363" s="1" t="str">
        <f>"فول كوپلينگ دنده اي 3/4اينچ 3000"</f>
        <v>فول كوپلينگ دنده اي 3/4اينچ 3000</v>
      </c>
      <c r="G3363" s="1" t="str">
        <f>"عدد"</f>
        <v>عدد</v>
      </c>
      <c r="H3363" s="1">
        <v>60</v>
      </c>
      <c r="I3363" s="1">
        <v>2943757</v>
      </c>
      <c r="J3363" s="1">
        <v>1</v>
      </c>
      <c r="K3363" s="1">
        <v>49063</v>
      </c>
      <c r="L3363" s="1">
        <v>6</v>
      </c>
      <c r="M3363" s="1">
        <v>294378</v>
      </c>
      <c r="O3363" s="1">
        <v>97</v>
      </c>
      <c r="P3363" s="4">
        <f t="shared" si="156"/>
        <v>2698442</v>
      </c>
      <c r="Q3363" s="4">
        <f t="shared" si="157"/>
        <v>55</v>
      </c>
      <c r="R3363" s="4">
        <f t="shared" si="158"/>
        <v>49062.581818181818</v>
      </c>
    </row>
    <row r="3364" spans="1:18">
      <c r="A3364" s="1">
        <v>2</v>
      </c>
      <c r="B3364" s="1" t="str">
        <f>"قطعات و لوازم يدكي"</f>
        <v>قطعات و لوازم يدكي</v>
      </c>
      <c r="C3364" s="1">
        <v>101</v>
      </c>
      <c r="D3364" s="1" t="str">
        <f>"انبار قطعات و لوازم يدكي اصفهان"</f>
        <v>انبار قطعات و لوازم يدكي اصفهان</v>
      </c>
      <c r="E3364" s="1" t="str">
        <f>"7605284122"</f>
        <v>7605284122</v>
      </c>
      <c r="F3364" s="1" t="str">
        <f>"هاف كاپلينگ 3/4 دنده اي 3000"</f>
        <v>هاف كاپلينگ 3/4 دنده اي 3000</v>
      </c>
      <c r="G3364" s="1" t="str">
        <f>"عدد"</f>
        <v>عدد</v>
      </c>
      <c r="H3364" s="1">
        <v>49</v>
      </c>
      <c r="I3364" s="1">
        <v>1438501</v>
      </c>
      <c r="J3364" s="1">
        <v>0</v>
      </c>
      <c r="K3364" s="1">
        <v>0</v>
      </c>
      <c r="L3364" s="1">
        <v>0</v>
      </c>
      <c r="M3364" s="1">
        <v>0</v>
      </c>
      <c r="O3364" s="1">
        <v>97</v>
      </c>
      <c r="P3364" s="4">
        <f t="shared" si="156"/>
        <v>1438501</v>
      </c>
      <c r="Q3364" s="4">
        <f t="shared" si="157"/>
        <v>49</v>
      </c>
      <c r="R3364" s="4">
        <f t="shared" si="158"/>
        <v>29357.163265306124</v>
      </c>
    </row>
    <row r="3365" spans="1:18">
      <c r="A3365" s="1">
        <v>2</v>
      </c>
      <c r="B3365" s="1" t="str">
        <f>"قطعات و لوازم يدكي"</f>
        <v>قطعات و لوازم يدكي</v>
      </c>
      <c r="C3365" s="1">
        <v>101</v>
      </c>
      <c r="D3365" s="1" t="str">
        <f>"انبار قطعات و لوازم يدكي اصفهان"</f>
        <v>انبار قطعات و لوازم يدكي اصفهان</v>
      </c>
      <c r="E3365" s="1" t="str">
        <f>"7605391062"</f>
        <v>7605391062</v>
      </c>
      <c r="F3365" s="1" t="str">
        <f>"زانو 90درجه 3/8 دنده اي 3000"</f>
        <v>زانو 90درجه 3/8 دنده اي 3000</v>
      </c>
      <c r="G3365" s="1" t="str">
        <f>"عدد"</f>
        <v>عدد</v>
      </c>
      <c r="H3365" s="1">
        <v>17</v>
      </c>
      <c r="I3365" s="1">
        <v>838000</v>
      </c>
      <c r="J3365" s="1">
        <v>0</v>
      </c>
      <c r="K3365" s="1">
        <v>0</v>
      </c>
      <c r="L3365" s="1">
        <v>1</v>
      </c>
      <c r="M3365" s="1">
        <v>49294</v>
      </c>
      <c r="O3365" s="1">
        <v>97</v>
      </c>
      <c r="P3365" s="4">
        <f t="shared" si="156"/>
        <v>788706</v>
      </c>
      <c r="Q3365" s="4">
        <f t="shared" si="157"/>
        <v>16</v>
      </c>
      <c r="R3365" s="4">
        <f t="shared" si="158"/>
        <v>49294.125</v>
      </c>
    </row>
    <row r="3366" spans="1:18">
      <c r="A3366" s="1">
        <v>2</v>
      </c>
      <c r="B3366" s="1" t="str">
        <f>"قطعات و لوازم يدكي"</f>
        <v>قطعات و لوازم يدكي</v>
      </c>
      <c r="C3366" s="1">
        <v>101</v>
      </c>
      <c r="D3366" s="1" t="str">
        <f>"انبار قطعات و لوازم يدكي اصفهان"</f>
        <v>انبار قطعات و لوازم يدكي اصفهان</v>
      </c>
      <c r="E3366" s="1" t="str">
        <f>"7605391162"</f>
        <v>7605391162</v>
      </c>
      <c r="F3366" s="1" t="str">
        <f>"زانو 90درجه 1 اينچ دنده اي 3000"</f>
        <v>زانو 90درجه 1 اينچ دنده اي 3000</v>
      </c>
      <c r="G3366" s="1" t="str">
        <f>"عدد"</f>
        <v>عدد</v>
      </c>
      <c r="H3366" s="1">
        <v>7</v>
      </c>
      <c r="I3366" s="1">
        <v>1164969</v>
      </c>
      <c r="J3366" s="1">
        <v>17</v>
      </c>
      <c r="K3366" s="1">
        <v>11014969</v>
      </c>
      <c r="L3366" s="1">
        <v>7</v>
      </c>
      <c r="M3366" s="1">
        <v>1164969</v>
      </c>
      <c r="O3366" s="1">
        <v>97</v>
      </c>
      <c r="P3366" s="4">
        <f t="shared" si="156"/>
        <v>11014969</v>
      </c>
      <c r="Q3366" s="4">
        <f t="shared" si="157"/>
        <v>17</v>
      </c>
      <c r="R3366" s="4">
        <f t="shared" si="158"/>
        <v>647939.3529411765</v>
      </c>
    </row>
    <row r="3367" spans="1:18">
      <c r="A3367" s="1">
        <v>2</v>
      </c>
      <c r="B3367" s="1" t="str">
        <f>"قطعات و لوازم يدكي"</f>
        <v>قطعات و لوازم يدكي</v>
      </c>
      <c r="C3367" s="1">
        <v>101</v>
      </c>
      <c r="D3367" s="1" t="str">
        <f>"انبار قطعات و لوازم يدكي اصفهان"</f>
        <v>انبار قطعات و لوازم يدكي اصفهان</v>
      </c>
      <c r="E3367" s="1" t="str">
        <f>"7605560782"</f>
        <v>7605560782</v>
      </c>
      <c r="F3367" s="1" t="s">
        <v>184</v>
      </c>
      <c r="G3367" s="1" t="str">
        <f>"عدد"</f>
        <v>عدد</v>
      </c>
      <c r="H3367" s="1">
        <v>37</v>
      </c>
      <c r="I3367" s="1">
        <v>2160358</v>
      </c>
      <c r="J3367" s="1">
        <v>0</v>
      </c>
      <c r="K3367" s="1">
        <v>0</v>
      </c>
      <c r="L3367" s="1">
        <v>11</v>
      </c>
      <c r="M3367" s="1">
        <v>642268</v>
      </c>
      <c r="O3367" s="1">
        <v>97</v>
      </c>
      <c r="P3367" s="4">
        <f t="shared" si="156"/>
        <v>1518090</v>
      </c>
      <c r="Q3367" s="4">
        <f t="shared" si="157"/>
        <v>26</v>
      </c>
      <c r="R3367" s="4">
        <f t="shared" si="158"/>
        <v>58388.076923076922</v>
      </c>
    </row>
    <row r="3368" spans="1:18">
      <c r="A3368" s="1">
        <v>2</v>
      </c>
      <c r="B3368" s="1" t="str">
        <f>"قطعات و لوازم يدكي"</f>
        <v>قطعات و لوازم يدكي</v>
      </c>
      <c r="C3368" s="1">
        <v>101</v>
      </c>
      <c r="D3368" s="1" t="str">
        <f>"انبار قطعات و لوازم يدكي اصفهان"</f>
        <v>انبار قطعات و لوازم يدكي اصفهان</v>
      </c>
      <c r="E3368" s="1" t="str">
        <f>"7605561082"</f>
        <v>7605561082</v>
      </c>
      <c r="F3368" s="1" t="s">
        <v>185</v>
      </c>
      <c r="G3368" s="1" t="str">
        <f>"عدد"</f>
        <v>عدد</v>
      </c>
      <c r="H3368" s="1">
        <v>33</v>
      </c>
      <c r="I3368" s="1">
        <v>10631051</v>
      </c>
      <c r="J3368" s="1">
        <v>0</v>
      </c>
      <c r="K3368" s="1">
        <v>0</v>
      </c>
      <c r="L3368" s="1">
        <v>5</v>
      </c>
      <c r="M3368" s="1">
        <v>1610765</v>
      </c>
      <c r="O3368" s="1">
        <v>97</v>
      </c>
      <c r="P3368" s="4">
        <f t="shared" si="156"/>
        <v>9020286</v>
      </c>
      <c r="Q3368" s="4">
        <f t="shared" si="157"/>
        <v>28</v>
      </c>
      <c r="R3368" s="4">
        <f t="shared" si="158"/>
        <v>322153.07142857142</v>
      </c>
    </row>
    <row r="3369" spans="1:18">
      <c r="A3369" s="1">
        <v>2</v>
      </c>
      <c r="B3369" s="1" t="str">
        <f>"قطعات و لوازم يدكي"</f>
        <v>قطعات و لوازم يدكي</v>
      </c>
      <c r="C3369" s="1">
        <v>101</v>
      </c>
      <c r="D3369" s="1" t="str">
        <f>"انبار قطعات و لوازم يدكي اصفهان"</f>
        <v>انبار قطعات و لوازم يدكي اصفهان</v>
      </c>
      <c r="E3369" s="1" t="str">
        <f>"7605567382"</f>
        <v>7605567382</v>
      </c>
      <c r="F3369" s="1" t="s">
        <v>186</v>
      </c>
      <c r="G3369" s="1" t="str">
        <f>"عدد"</f>
        <v>عدد</v>
      </c>
      <c r="H3369" s="1">
        <v>7</v>
      </c>
      <c r="I3369" s="1">
        <v>641472</v>
      </c>
      <c r="J3369" s="1">
        <v>15</v>
      </c>
      <c r="K3369" s="1">
        <v>7500000</v>
      </c>
      <c r="L3369" s="1">
        <v>0</v>
      </c>
      <c r="M3369" s="1">
        <v>0</v>
      </c>
      <c r="O3369" s="1">
        <v>97</v>
      </c>
      <c r="P3369" s="4">
        <f t="shared" si="156"/>
        <v>8141472</v>
      </c>
      <c r="Q3369" s="4">
        <f t="shared" si="157"/>
        <v>22</v>
      </c>
      <c r="R3369" s="4">
        <f t="shared" si="158"/>
        <v>370066.90909090912</v>
      </c>
    </row>
    <row r="3370" spans="1:18">
      <c r="A3370" s="1">
        <v>2</v>
      </c>
      <c r="B3370" s="1" t="str">
        <f>"قطعات و لوازم يدكي"</f>
        <v>قطعات و لوازم يدكي</v>
      </c>
      <c r="C3370" s="1">
        <v>101</v>
      </c>
      <c r="D3370" s="1" t="str">
        <f>"انبار قطعات و لوازم يدكي اصفهان"</f>
        <v>انبار قطعات و لوازم يدكي اصفهان</v>
      </c>
      <c r="E3370" s="1" t="str">
        <f>"7605582722"</f>
        <v>7605582722</v>
      </c>
      <c r="F3370" s="1" t="s">
        <v>187</v>
      </c>
      <c r="G3370" s="1" t="str">
        <f>"عدد"</f>
        <v>عدد</v>
      </c>
      <c r="H3370" s="1">
        <v>27</v>
      </c>
      <c r="I3370" s="1">
        <v>3355000</v>
      </c>
      <c r="J3370" s="1">
        <v>0</v>
      </c>
      <c r="K3370" s="1">
        <v>0</v>
      </c>
      <c r="L3370" s="1">
        <v>0</v>
      </c>
      <c r="M3370" s="1">
        <v>0</v>
      </c>
      <c r="O3370" s="1">
        <v>97</v>
      </c>
      <c r="P3370" s="4">
        <f t="shared" si="156"/>
        <v>3355000</v>
      </c>
      <c r="Q3370" s="4">
        <f t="shared" si="157"/>
        <v>27</v>
      </c>
      <c r="R3370" s="4">
        <f t="shared" si="158"/>
        <v>124259.25925925926</v>
      </c>
    </row>
    <row r="3371" spans="1:18">
      <c r="A3371" s="1">
        <v>2</v>
      </c>
      <c r="B3371" s="1" t="str">
        <f>"قطعات و لوازم يدكي"</f>
        <v>قطعات و لوازم يدكي</v>
      </c>
      <c r="C3371" s="1">
        <v>101</v>
      </c>
      <c r="D3371" s="1" t="str">
        <f>"انبار قطعات و لوازم يدكي اصفهان"</f>
        <v>انبار قطعات و لوازم يدكي اصفهان</v>
      </c>
      <c r="E3371" s="1" t="str">
        <f>"7605661182"</f>
        <v>7605661182</v>
      </c>
      <c r="F3371" s="1" t="str">
        <f>"پلاگ كربن استيل 1/2-1 3000"</f>
        <v>پلاگ كربن استيل 1/2-1 3000</v>
      </c>
      <c r="G3371" s="1" t="str">
        <f>"عدد"</f>
        <v>عدد</v>
      </c>
      <c r="H3371" s="1">
        <v>4</v>
      </c>
      <c r="I3371" s="1">
        <v>148000</v>
      </c>
      <c r="J3371" s="1">
        <v>0</v>
      </c>
      <c r="K3371" s="1">
        <v>0</v>
      </c>
      <c r="L3371" s="1">
        <v>0</v>
      </c>
      <c r="M3371" s="1">
        <v>0</v>
      </c>
      <c r="O3371" s="1">
        <v>97</v>
      </c>
      <c r="P3371" s="4">
        <f t="shared" si="156"/>
        <v>148000</v>
      </c>
      <c r="Q3371" s="4">
        <f t="shared" si="157"/>
        <v>4</v>
      </c>
      <c r="R3371" s="4">
        <f t="shared" si="158"/>
        <v>37000</v>
      </c>
    </row>
    <row r="3372" spans="1:18">
      <c r="A3372" s="1">
        <v>2</v>
      </c>
      <c r="B3372" s="1" t="str">
        <f>"قطعات و لوازم يدكي"</f>
        <v>قطعات و لوازم يدكي</v>
      </c>
      <c r="C3372" s="1">
        <v>101</v>
      </c>
      <c r="D3372" s="1" t="str">
        <f>"انبار قطعات و لوازم يدكي اصفهان"</f>
        <v>انبار قطعات و لوازم يدكي اصفهان</v>
      </c>
      <c r="E3372" s="1" t="str">
        <f>"7606130122"</f>
        <v>7606130122</v>
      </c>
      <c r="F3372" s="1" t="str">
        <f>"چاپوقي 3/4 گالوانيزه"</f>
        <v>چاپوقي 3/4 گالوانيزه</v>
      </c>
      <c r="G3372" s="1" t="str">
        <f>"عدد"</f>
        <v>عدد</v>
      </c>
      <c r="H3372" s="1">
        <v>7</v>
      </c>
      <c r="I3372" s="1">
        <v>30240</v>
      </c>
      <c r="J3372" s="1">
        <v>0</v>
      </c>
      <c r="K3372" s="1">
        <v>0</v>
      </c>
      <c r="L3372" s="1">
        <v>2</v>
      </c>
      <c r="M3372" s="1">
        <v>8640</v>
      </c>
      <c r="O3372" s="1">
        <v>97</v>
      </c>
      <c r="P3372" s="4">
        <f t="shared" si="156"/>
        <v>21600</v>
      </c>
      <c r="Q3372" s="4">
        <f t="shared" si="157"/>
        <v>5</v>
      </c>
      <c r="R3372" s="4">
        <f t="shared" si="158"/>
        <v>4320</v>
      </c>
    </row>
    <row r="3373" spans="1:18">
      <c r="A3373" s="1">
        <v>2</v>
      </c>
      <c r="B3373" s="1" t="str">
        <f>"قطعات و لوازم يدكي"</f>
        <v>قطعات و لوازم يدكي</v>
      </c>
      <c r="C3373" s="1">
        <v>101</v>
      </c>
      <c r="D3373" s="1" t="str">
        <f>"انبار قطعات و لوازم يدكي اصفهان"</f>
        <v>انبار قطعات و لوازم يدكي اصفهان</v>
      </c>
      <c r="E3373" s="1" t="str">
        <f>"7606141182"</f>
        <v>7606141182</v>
      </c>
      <c r="F3373" s="1" t="str">
        <f>"بوشينگ 1/2*3/4 گالوانيزه"</f>
        <v>بوشينگ 1/2*3/4 گالوانيزه</v>
      </c>
      <c r="G3373" s="1" t="str">
        <f>"عدد"</f>
        <v>عدد</v>
      </c>
      <c r="H3373" s="1">
        <v>7</v>
      </c>
      <c r="I3373" s="1">
        <v>483000</v>
      </c>
      <c r="J3373" s="1">
        <v>1</v>
      </c>
      <c r="K3373" s="1">
        <v>69000</v>
      </c>
      <c r="L3373" s="1">
        <v>5</v>
      </c>
      <c r="M3373" s="1">
        <v>345000</v>
      </c>
      <c r="O3373" s="1">
        <v>97</v>
      </c>
      <c r="P3373" s="4">
        <f t="shared" si="156"/>
        <v>207000</v>
      </c>
      <c r="Q3373" s="4">
        <f t="shared" si="157"/>
        <v>3</v>
      </c>
      <c r="R3373" s="4">
        <f t="shared" si="158"/>
        <v>69000</v>
      </c>
    </row>
    <row r="3374" spans="1:18">
      <c r="A3374" s="1">
        <v>2</v>
      </c>
      <c r="B3374" s="1" t="str">
        <f>"قطعات و لوازم يدكي"</f>
        <v>قطعات و لوازم يدكي</v>
      </c>
      <c r="C3374" s="1">
        <v>101</v>
      </c>
      <c r="D3374" s="1" t="str">
        <f>"انبار قطعات و لوازم يدكي اصفهان"</f>
        <v>انبار قطعات و لوازم يدكي اصفهان</v>
      </c>
      <c r="E3374" s="1" t="str">
        <f>"7630407252"</f>
        <v>7630407252</v>
      </c>
      <c r="F3374" s="1" t="str">
        <f>"زانو90درجه جوشي 2اينچ اس40"</f>
        <v>زانو90درجه جوشي 2اينچ اس40</v>
      </c>
      <c r="G3374" s="1" t="str">
        <f>"عدد"</f>
        <v>عدد</v>
      </c>
      <c r="H3374" s="1">
        <v>25</v>
      </c>
      <c r="I3374" s="1">
        <v>742326</v>
      </c>
      <c r="J3374" s="1">
        <v>7</v>
      </c>
      <c r="K3374" s="1">
        <v>207852</v>
      </c>
      <c r="L3374" s="1">
        <v>31</v>
      </c>
      <c r="M3374" s="1">
        <v>920485</v>
      </c>
      <c r="O3374" s="1">
        <v>97</v>
      </c>
      <c r="P3374" s="4">
        <f t="shared" si="156"/>
        <v>29693</v>
      </c>
      <c r="Q3374" s="4">
        <f t="shared" si="157"/>
        <v>1</v>
      </c>
      <c r="R3374" s="4">
        <f t="shared" si="158"/>
        <v>29693</v>
      </c>
    </row>
    <row r="3375" spans="1:18">
      <c r="A3375" s="1">
        <v>2</v>
      </c>
      <c r="B3375" s="1" t="str">
        <f>"قطعات و لوازم يدكي"</f>
        <v>قطعات و لوازم يدكي</v>
      </c>
      <c r="C3375" s="1">
        <v>101</v>
      </c>
      <c r="D3375" s="1" t="str">
        <f>"انبار قطعات و لوازم يدكي اصفهان"</f>
        <v>انبار قطعات و لوازم يدكي اصفهان</v>
      </c>
      <c r="E3375" s="1" t="str">
        <f>"7630408052"</f>
        <v>7630408052</v>
      </c>
      <c r="F3375" s="1" t="s">
        <v>188</v>
      </c>
      <c r="G3375" s="1" t="str">
        <f>"عدد"</f>
        <v>عدد</v>
      </c>
      <c r="H3375" s="1">
        <v>16</v>
      </c>
      <c r="I3375" s="1">
        <v>10240000</v>
      </c>
      <c r="J3375" s="1">
        <v>0</v>
      </c>
      <c r="K3375" s="1">
        <v>0</v>
      </c>
      <c r="L3375" s="1">
        <v>0</v>
      </c>
      <c r="M3375" s="1">
        <v>0</v>
      </c>
      <c r="O3375" s="1">
        <v>97</v>
      </c>
      <c r="P3375" s="4">
        <f t="shared" si="156"/>
        <v>10240000</v>
      </c>
      <c r="Q3375" s="4">
        <f t="shared" si="157"/>
        <v>16</v>
      </c>
      <c r="R3375" s="4">
        <f t="shared" si="158"/>
        <v>640000</v>
      </c>
    </row>
    <row r="3376" spans="1:18">
      <c r="A3376" s="1">
        <v>2</v>
      </c>
      <c r="B3376" s="1" t="str">
        <f>"قطعات و لوازم يدكي"</f>
        <v>قطعات و لوازم يدكي</v>
      </c>
      <c r="C3376" s="1">
        <v>101</v>
      </c>
      <c r="D3376" s="1" t="str">
        <f>"انبار قطعات و لوازم يدكي اصفهان"</f>
        <v>انبار قطعات و لوازم يدكي اصفهان</v>
      </c>
      <c r="E3376" s="1" t="str">
        <f>"7630581322"</f>
        <v>7630581322</v>
      </c>
      <c r="F3376" s="1" t="s">
        <v>189</v>
      </c>
      <c r="G3376" s="1" t="str">
        <f>"عدد"</f>
        <v>عدد</v>
      </c>
      <c r="H3376" s="1">
        <v>0</v>
      </c>
      <c r="I3376" s="1">
        <v>0</v>
      </c>
      <c r="J3376" s="1">
        <v>15</v>
      </c>
      <c r="K3376" s="1">
        <v>4800000</v>
      </c>
      <c r="L3376" s="1">
        <v>0</v>
      </c>
      <c r="M3376" s="1">
        <v>0</v>
      </c>
      <c r="O3376" s="1">
        <v>97</v>
      </c>
      <c r="P3376" s="4">
        <f t="shared" si="156"/>
        <v>4800000</v>
      </c>
      <c r="Q3376" s="4">
        <f t="shared" si="157"/>
        <v>15</v>
      </c>
      <c r="R3376" s="4">
        <f t="shared" si="158"/>
        <v>320000</v>
      </c>
    </row>
    <row r="3377" spans="1:18" hidden="1">
      <c r="A3377" s="1">
        <v>2</v>
      </c>
      <c r="B3377" s="1" t="str">
        <f>"قطعات و لوازم يدكي"</f>
        <v>قطعات و لوازم يدكي</v>
      </c>
      <c r="C3377" s="1">
        <v>101</v>
      </c>
      <c r="D3377" s="1" t="str">
        <f>"انبار قطعات و لوازم يدكي اصفهان"</f>
        <v>انبار قطعات و لوازم يدكي اصفهان</v>
      </c>
      <c r="E3377" s="1" t="str">
        <f>"7630722052"</f>
        <v>7630722052</v>
      </c>
      <c r="F3377" s="1" t="s">
        <v>190</v>
      </c>
      <c r="G3377" s="1" t="str">
        <f>"عدد"</f>
        <v>عدد</v>
      </c>
      <c r="H3377" s="1">
        <v>0</v>
      </c>
      <c r="I3377" s="1">
        <v>0</v>
      </c>
      <c r="J3377" s="1">
        <v>4</v>
      </c>
      <c r="K3377" s="1">
        <v>480000</v>
      </c>
      <c r="L3377" s="1">
        <v>4</v>
      </c>
      <c r="M3377" s="1">
        <v>480000</v>
      </c>
      <c r="O3377" s="1">
        <v>97</v>
      </c>
      <c r="P3377" s="1">
        <f t="shared" si="156"/>
        <v>0</v>
      </c>
      <c r="Q3377" s="1">
        <f t="shared" si="157"/>
        <v>0</v>
      </c>
      <c r="R3377" s="1" t="e">
        <f t="shared" si="158"/>
        <v>#DIV/0!</v>
      </c>
    </row>
    <row r="3378" spans="1:18">
      <c r="A3378" s="1">
        <v>2</v>
      </c>
      <c r="B3378" s="1" t="str">
        <f>"قطعات و لوازم يدكي"</f>
        <v>قطعات و لوازم يدكي</v>
      </c>
      <c r="C3378" s="1">
        <v>101</v>
      </c>
      <c r="D3378" s="1" t="str">
        <f>"انبار قطعات و لوازم يدكي اصفهان"</f>
        <v>انبار قطعات و لوازم يدكي اصفهان</v>
      </c>
      <c r="E3378" s="1" t="str">
        <f>"7630724982"</f>
        <v>7630724982</v>
      </c>
      <c r="F3378" s="1" t="s">
        <v>191</v>
      </c>
      <c r="G3378" s="1" t="str">
        <f>"عدد"</f>
        <v>عدد</v>
      </c>
      <c r="H3378" s="1">
        <v>1</v>
      </c>
      <c r="I3378" s="1">
        <v>2450000</v>
      </c>
      <c r="J3378" s="1">
        <v>0</v>
      </c>
      <c r="K3378" s="1">
        <v>0</v>
      </c>
      <c r="L3378" s="1">
        <v>0</v>
      </c>
      <c r="M3378" s="1">
        <v>0</v>
      </c>
      <c r="O3378" s="1">
        <v>97</v>
      </c>
      <c r="P3378" s="4">
        <f t="shared" si="156"/>
        <v>2450000</v>
      </c>
      <c r="Q3378" s="4">
        <f t="shared" si="157"/>
        <v>1</v>
      </c>
      <c r="R3378" s="4">
        <f t="shared" si="158"/>
        <v>2450000</v>
      </c>
    </row>
    <row r="3379" spans="1:18">
      <c r="A3379" s="1">
        <v>2</v>
      </c>
      <c r="B3379" s="1" t="str">
        <f>"قطعات و لوازم يدكي"</f>
        <v>قطعات و لوازم يدكي</v>
      </c>
      <c r="C3379" s="1">
        <v>101</v>
      </c>
      <c r="D3379" s="1" t="str">
        <f>"انبار قطعات و لوازم يدكي اصفهان"</f>
        <v>انبار قطعات و لوازم يدكي اصفهان</v>
      </c>
      <c r="E3379" s="1" t="str">
        <f>"7630841652"</f>
        <v>7630841652</v>
      </c>
      <c r="F3379" s="1" t="str">
        <f>"سه راهي جوشي 6 اينچ رده 40"</f>
        <v>سه راهي جوشي 6 اينچ رده 40</v>
      </c>
      <c r="G3379" s="1" t="str">
        <f>"عدد"</f>
        <v>عدد</v>
      </c>
      <c r="H3379" s="1">
        <v>5</v>
      </c>
      <c r="I3379" s="1">
        <v>4120000</v>
      </c>
      <c r="J3379" s="1">
        <v>0</v>
      </c>
      <c r="K3379" s="1">
        <v>0</v>
      </c>
      <c r="L3379" s="1">
        <v>0</v>
      </c>
      <c r="M3379" s="1">
        <v>0</v>
      </c>
      <c r="O3379" s="1">
        <v>97</v>
      </c>
      <c r="P3379" s="4">
        <f t="shared" si="156"/>
        <v>4120000</v>
      </c>
      <c r="Q3379" s="4">
        <f t="shared" si="157"/>
        <v>5</v>
      </c>
      <c r="R3379" s="4">
        <f t="shared" si="158"/>
        <v>824000</v>
      </c>
    </row>
    <row r="3380" spans="1:18">
      <c r="A3380" s="1">
        <v>2</v>
      </c>
      <c r="B3380" s="1" t="str">
        <f>"قطعات و لوازم يدكي"</f>
        <v>قطعات و لوازم يدكي</v>
      </c>
      <c r="C3380" s="1">
        <v>101</v>
      </c>
      <c r="D3380" s="1" t="str">
        <f>"انبار قطعات و لوازم يدكي اصفهان"</f>
        <v>انبار قطعات و لوازم يدكي اصفهان</v>
      </c>
      <c r="E3380" s="1" t="str">
        <f>"7630852652"</f>
        <v>7630852652</v>
      </c>
      <c r="F3380" s="1" t="str">
        <f>"سه راهي جوشي 2*4 اينچ اس 40"</f>
        <v>سه راهي جوشي 2*4 اينچ اس 40</v>
      </c>
      <c r="G3380" s="1" t="str">
        <f>"عدد"</f>
        <v>عدد</v>
      </c>
      <c r="H3380" s="1">
        <v>3</v>
      </c>
      <c r="I3380" s="1">
        <v>330000</v>
      </c>
      <c r="J3380" s="1">
        <v>0</v>
      </c>
      <c r="K3380" s="1">
        <v>0</v>
      </c>
      <c r="L3380" s="1">
        <v>0</v>
      </c>
      <c r="M3380" s="1">
        <v>0</v>
      </c>
      <c r="O3380" s="1">
        <v>97</v>
      </c>
      <c r="P3380" s="4">
        <f t="shared" si="156"/>
        <v>330000</v>
      </c>
      <c r="Q3380" s="4">
        <f t="shared" si="157"/>
        <v>3</v>
      </c>
      <c r="R3380" s="4">
        <f t="shared" si="158"/>
        <v>110000</v>
      </c>
    </row>
    <row r="3381" spans="1:18">
      <c r="A3381" s="1">
        <v>2</v>
      </c>
      <c r="B3381" s="1" t="str">
        <f>"قطعات و لوازم يدكي"</f>
        <v>قطعات و لوازم يدكي</v>
      </c>
      <c r="C3381" s="1">
        <v>101</v>
      </c>
      <c r="D3381" s="1" t="str">
        <f>"انبار قطعات و لوازم يدكي اصفهان"</f>
        <v>انبار قطعات و لوازم يدكي اصفهان</v>
      </c>
      <c r="E3381" s="1" t="str">
        <f>"7630852952"</f>
        <v>7630852952</v>
      </c>
      <c r="F3381" s="1" t="str">
        <f>"سه راهي جوشي 3*6 اينچ اس 40"</f>
        <v>سه راهي جوشي 3*6 اينچ اس 40</v>
      </c>
      <c r="G3381" s="1" t="str">
        <f>"عدد"</f>
        <v>عدد</v>
      </c>
      <c r="H3381" s="1">
        <v>2</v>
      </c>
      <c r="I3381" s="1">
        <v>520000</v>
      </c>
      <c r="J3381" s="1">
        <v>0</v>
      </c>
      <c r="K3381" s="1">
        <v>0</v>
      </c>
      <c r="L3381" s="1">
        <v>0</v>
      </c>
      <c r="M3381" s="1">
        <v>0</v>
      </c>
      <c r="O3381" s="1">
        <v>97</v>
      </c>
      <c r="P3381" s="4">
        <f t="shared" si="156"/>
        <v>520000</v>
      </c>
      <c r="Q3381" s="4">
        <f t="shared" si="157"/>
        <v>2</v>
      </c>
      <c r="R3381" s="4">
        <f t="shared" si="158"/>
        <v>260000</v>
      </c>
    </row>
    <row r="3382" spans="1:18">
      <c r="A3382" s="1">
        <v>2</v>
      </c>
      <c r="B3382" s="1" t="str">
        <f>"قطعات و لوازم يدكي"</f>
        <v>قطعات و لوازم يدكي</v>
      </c>
      <c r="C3382" s="1">
        <v>101</v>
      </c>
      <c r="D3382" s="1" t="str">
        <f>"انبار قطعات و لوازم يدكي اصفهان"</f>
        <v>انبار قطعات و لوازم يدكي اصفهان</v>
      </c>
      <c r="E3382" s="1" t="str">
        <f>"7630853052"</f>
        <v>7630853052</v>
      </c>
      <c r="F3382" s="1" t="str">
        <f>"سه راهي جوشي 4*6 اينچ اس 40"</f>
        <v>سه راهي جوشي 4*6 اينچ اس 40</v>
      </c>
      <c r="G3382" s="1" t="str">
        <f>"عدد"</f>
        <v>عدد</v>
      </c>
      <c r="H3382" s="1">
        <v>2</v>
      </c>
      <c r="I3382" s="1">
        <v>520000</v>
      </c>
      <c r="J3382" s="1">
        <v>0</v>
      </c>
      <c r="K3382" s="1">
        <v>0</v>
      </c>
      <c r="L3382" s="1">
        <v>0</v>
      </c>
      <c r="M3382" s="1">
        <v>0</v>
      </c>
      <c r="O3382" s="1">
        <v>97</v>
      </c>
      <c r="P3382" s="4">
        <f t="shared" si="156"/>
        <v>520000</v>
      </c>
      <c r="Q3382" s="4">
        <f t="shared" si="157"/>
        <v>2</v>
      </c>
      <c r="R3382" s="4">
        <f t="shared" si="158"/>
        <v>260000</v>
      </c>
    </row>
    <row r="3383" spans="1:18">
      <c r="A3383" s="1">
        <v>2</v>
      </c>
      <c r="B3383" s="1" t="str">
        <f>"قطعات و لوازم يدكي"</f>
        <v>قطعات و لوازم يدكي</v>
      </c>
      <c r="C3383" s="1">
        <v>101</v>
      </c>
      <c r="D3383" s="1" t="str">
        <f>"انبار قطعات و لوازم يدكي اصفهان"</f>
        <v>انبار قطعات و لوازم يدكي اصفهان</v>
      </c>
      <c r="E3383" s="1" t="str">
        <f>"7634182182"</f>
        <v>7634182182</v>
      </c>
      <c r="F3383" s="1" t="str">
        <f>"كپ جوشي 1/2-1 اينچ رده 40"</f>
        <v>كپ جوشي 1/2-1 اينچ رده 40</v>
      </c>
      <c r="G3383" s="1" t="str">
        <f>"عدد"</f>
        <v>عدد</v>
      </c>
      <c r="H3383" s="1">
        <v>5</v>
      </c>
      <c r="I3383" s="1">
        <v>310000</v>
      </c>
      <c r="J3383" s="1">
        <v>0</v>
      </c>
      <c r="K3383" s="1">
        <v>0</v>
      </c>
      <c r="L3383" s="1">
        <v>0</v>
      </c>
      <c r="M3383" s="1">
        <v>0</v>
      </c>
      <c r="O3383" s="1">
        <v>97</v>
      </c>
      <c r="P3383" s="4">
        <f t="shared" si="156"/>
        <v>310000</v>
      </c>
      <c r="Q3383" s="4">
        <f t="shared" si="157"/>
        <v>5</v>
      </c>
      <c r="R3383" s="4">
        <f t="shared" si="158"/>
        <v>62000</v>
      </c>
    </row>
    <row r="3384" spans="1:18">
      <c r="A3384" s="1">
        <v>2</v>
      </c>
      <c r="B3384" s="1" t="str">
        <f>"قطعات و لوازم يدكي"</f>
        <v>قطعات و لوازم يدكي</v>
      </c>
      <c r="C3384" s="1">
        <v>101</v>
      </c>
      <c r="D3384" s="1" t="str">
        <f>"انبار قطعات و لوازم يدكي اصفهان"</f>
        <v>انبار قطعات و لوازم يدكي اصفهان</v>
      </c>
      <c r="E3384" s="1" t="str">
        <f>"7634285182"</f>
        <v>7634285182</v>
      </c>
      <c r="F3384" s="1" t="str">
        <f>"هالف كاپلينگ جوشي 1/2-1اينچ 3000"</f>
        <v>هالف كاپلينگ جوشي 1/2-1اينچ 3000</v>
      </c>
      <c r="G3384" s="1" t="str">
        <f>"عدد"</f>
        <v>عدد</v>
      </c>
      <c r="H3384" s="1">
        <v>6</v>
      </c>
      <c r="I3384" s="1">
        <v>570000</v>
      </c>
      <c r="J3384" s="1">
        <v>0</v>
      </c>
      <c r="K3384" s="1">
        <v>0</v>
      </c>
      <c r="L3384" s="1">
        <v>0</v>
      </c>
      <c r="M3384" s="1">
        <v>0</v>
      </c>
      <c r="O3384" s="1">
        <v>97</v>
      </c>
      <c r="P3384" s="4">
        <f t="shared" si="156"/>
        <v>570000</v>
      </c>
      <c r="Q3384" s="4">
        <f t="shared" si="157"/>
        <v>6</v>
      </c>
      <c r="R3384" s="4">
        <f t="shared" si="158"/>
        <v>95000</v>
      </c>
    </row>
    <row r="3385" spans="1:18">
      <c r="A3385" s="1">
        <v>2</v>
      </c>
      <c r="B3385" s="1" t="str">
        <f>"قطعات و لوازم يدكي"</f>
        <v>قطعات و لوازم يدكي</v>
      </c>
      <c r="C3385" s="1">
        <v>101</v>
      </c>
      <c r="D3385" s="1" t="str">
        <f>"انبار قطعات و لوازم يدكي اصفهان"</f>
        <v>انبار قطعات و لوازم يدكي اصفهان</v>
      </c>
      <c r="E3385" s="1" t="str">
        <f>"7634382082"</f>
        <v>7634382082</v>
      </c>
      <c r="F3385" s="1" t="str">
        <f>"زانو 45 درجه 1/2"</f>
        <v>زانو 45 درجه 1/2</v>
      </c>
      <c r="G3385" s="1" t="str">
        <f>"عدد"</f>
        <v>عدد</v>
      </c>
      <c r="H3385" s="1">
        <v>47</v>
      </c>
      <c r="I3385" s="1">
        <v>1277936</v>
      </c>
      <c r="J3385" s="1">
        <v>0</v>
      </c>
      <c r="K3385" s="1">
        <v>0</v>
      </c>
      <c r="L3385" s="1">
        <v>0</v>
      </c>
      <c r="M3385" s="1">
        <v>0</v>
      </c>
      <c r="O3385" s="1">
        <v>97</v>
      </c>
      <c r="P3385" s="4">
        <f t="shared" si="156"/>
        <v>1277936</v>
      </c>
      <c r="Q3385" s="4">
        <f t="shared" si="157"/>
        <v>47</v>
      </c>
      <c r="R3385" s="4">
        <f t="shared" si="158"/>
        <v>27190.127659574468</v>
      </c>
    </row>
    <row r="3386" spans="1:18">
      <c r="A3386" s="1">
        <v>2</v>
      </c>
      <c r="B3386" s="1" t="str">
        <f>"قطعات و لوازم يدكي"</f>
        <v>قطعات و لوازم يدكي</v>
      </c>
      <c r="C3386" s="1">
        <v>101</v>
      </c>
      <c r="D3386" s="1" t="str">
        <f>"انبار قطعات و لوازم يدكي اصفهان"</f>
        <v>انبار قطعات و لوازم يدكي اصفهان</v>
      </c>
      <c r="E3386" s="1" t="str">
        <f>"7634702042"</f>
        <v>7634702042</v>
      </c>
      <c r="F3386" s="1" t="s">
        <v>192</v>
      </c>
      <c r="G3386" s="1" t="str">
        <f>"عدد"</f>
        <v>عدد</v>
      </c>
      <c r="H3386" s="1">
        <v>21</v>
      </c>
      <c r="I3386" s="1">
        <v>1915200</v>
      </c>
      <c r="J3386" s="1">
        <v>1</v>
      </c>
      <c r="K3386" s="1">
        <v>91200</v>
      </c>
      <c r="L3386" s="1">
        <v>1</v>
      </c>
      <c r="M3386" s="1">
        <v>91200</v>
      </c>
      <c r="O3386" s="1">
        <v>97</v>
      </c>
      <c r="P3386" s="4">
        <f t="shared" si="156"/>
        <v>1915200</v>
      </c>
      <c r="Q3386" s="4">
        <f t="shared" si="157"/>
        <v>21</v>
      </c>
      <c r="R3386" s="4">
        <f t="shared" si="158"/>
        <v>91200</v>
      </c>
    </row>
    <row r="3387" spans="1:18">
      <c r="A3387" s="1">
        <v>2</v>
      </c>
      <c r="B3387" s="1" t="str">
        <f>"قطعات و لوازم يدكي"</f>
        <v>قطعات و لوازم يدكي</v>
      </c>
      <c r="C3387" s="1">
        <v>101</v>
      </c>
      <c r="D3387" s="1" t="str">
        <f>"انبار قطعات و لوازم يدكي اصفهان"</f>
        <v>انبار قطعات و لوازم يدكي اصفهان</v>
      </c>
      <c r="E3387" s="1" t="str">
        <f>"7634842162"</f>
        <v>7634842162</v>
      </c>
      <c r="F3387" s="1" t="s">
        <v>193</v>
      </c>
      <c r="G3387" s="1" t="str">
        <f>"عدد"</f>
        <v>عدد</v>
      </c>
      <c r="H3387" s="1">
        <v>9</v>
      </c>
      <c r="I3387" s="1">
        <v>1591994</v>
      </c>
      <c r="J3387" s="1">
        <v>65</v>
      </c>
      <c r="K3387" s="1">
        <v>19887500</v>
      </c>
      <c r="L3387" s="1">
        <v>4</v>
      </c>
      <c r="M3387" s="1">
        <v>1161052</v>
      </c>
      <c r="O3387" s="1">
        <v>97</v>
      </c>
      <c r="P3387" s="4">
        <f t="shared" si="156"/>
        <v>20318442</v>
      </c>
      <c r="Q3387" s="4">
        <f t="shared" si="157"/>
        <v>70</v>
      </c>
      <c r="R3387" s="4">
        <f t="shared" si="158"/>
        <v>290263.45714285714</v>
      </c>
    </row>
    <row r="3388" spans="1:18">
      <c r="A3388" s="1">
        <v>2</v>
      </c>
      <c r="B3388" s="1" t="str">
        <f>"قطعات و لوازم يدكي"</f>
        <v>قطعات و لوازم يدكي</v>
      </c>
      <c r="C3388" s="1">
        <v>101</v>
      </c>
      <c r="D3388" s="1" t="str">
        <f>"انبار قطعات و لوازم يدكي اصفهان"</f>
        <v>انبار قطعات و لوازم يدكي اصفهان</v>
      </c>
      <c r="E3388" s="1" t="str">
        <f>"7640260362"</f>
        <v>7640260362</v>
      </c>
      <c r="F3388" s="1" t="str">
        <f>"STUD CONNECTOR 3/4*3/4 M"</f>
        <v>STUD CONNECTOR 3/4*3/4 M</v>
      </c>
      <c r="G3388" s="1" t="str">
        <f>"عدد"</f>
        <v>عدد</v>
      </c>
      <c r="H3388" s="1">
        <v>24</v>
      </c>
      <c r="I3388" s="1">
        <v>4466667</v>
      </c>
      <c r="J3388" s="1">
        <v>0</v>
      </c>
      <c r="K3388" s="1">
        <v>0</v>
      </c>
      <c r="L3388" s="1">
        <v>6</v>
      </c>
      <c r="M3388" s="1">
        <v>1116666</v>
      </c>
      <c r="O3388" s="1">
        <v>97</v>
      </c>
      <c r="P3388" s="4">
        <f t="shared" si="156"/>
        <v>3350001</v>
      </c>
      <c r="Q3388" s="4">
        <f t="shared" si="157"/>
        <v>18</v>
      </c>
      <c r="R3388" s="4">
        <f t="shared" si="158"/>
        <v>186111.16666666666</v>
      </c>
    </row>
    <row r="3389" spans="1:18">
      <c r="A3389" s="1">
        <v>2</v>
      </c>
      <c r="B3389" s="1" t="str">
        <f>"قطعات و لوازم يدكي"</f>
        <v>قطعات و لوازم يدكي</v>
      </c>
      <c r="C3389" s="1">
        <v>101</v>
      </c>
      <c r="D3389" s="1" t="str">
        <f>"انبار قطعات و لوازم يدكي اصفهان"</f>
        <v>انبار قطعات و لوازم يدكي اصفهان</v>
      </c>
      <c r="E3389" s="1" t="str">
        <f>"7640900062"</f>
        <v>7640900062</v>
      </c>
      <c r="F3389" s="1" t="str">
        <f>"يونيون براس 3/8 اينچ"</f>
        <v>يونيون براس 3/8 اينچ</v>
      </c>
      <c r="G3389" s="1" t="str">
        <f>"عدد"</f>
        <v>عدد</v>
      </c>
      <c r="H3389" s="1">
        <v>20</v>
      </c>
      <c r="I3389" s="1">
        <v>6200000</v>
      </c>
      <c r="J3389" s="1">
        <v>17</v>
      </c>
      <c r="K3389" s="1">
        <v>9695000</v>
      </c>
      <c r="L3389" s="1">
        <v>21</v>
      </c>
      <c r="M3389" s="1">
        <v>6770294</v>
      </c>
      <c r="O3389" s="1">
        <v>97</v>
      </c>
      <c r="P3389" s="4">
        <f t="shared" si="156"/>
        <v>9124706</v>
      </c>
      <c r="Q3389" s="4">
        <f t="shared" si="157"/>
        <v>16</v>
      </c>
      <c r="R3389" s="4">
        <f t="shared" si="158"/>
        <v>570294.125</v>
      </c>
    </row>
    <row r="3390" spans="1:18">
      <c r="A3390" s="1">
        <v>2</v>
      </c>
      <c r="B3390" s="1" t="str">
        <f>"قطعات و لوازم يدكي"</f>
        <v>قطعات و لوازم يدكي</v>
      </c>
      <c r="C3390" s="1">
        <v>101</v>
      </c>
      <c r="D3390" s="1" t="str">
        <f>"انبار قطعات و لوازم يدكي اصفهان"</f>
        <v>انبار قطعات و لوازم يدكي اصفهان</v>
      </c>
      <c r="E3390" s="1" t="str">
        <f>"7640910012"</f>
        <v>7640910012</v>
      </c>
      <c r="F3390" s="1" t="str">
        <f>"رديوس يونيون 1/4*3/8"</f>
        <v>رديوس يونيون 1/4*3/8</v>
      </c>
      <c r="G3390" s="1" t="str">
        <f>"عدد"</f>
        <v>عدد</v>
      </c>
      <c r="H3390" s="1">
        <v>17</v>
      </c>
      <c r="I3390" s="1">
        <v>4241500</v>
      </c>
      <c r="J3390" s="1">
        <v>0</v>
      </c>
      <c r="K3390" s="1">
        <v>0</v>
      </c>
      <c r="L3390" s="1">
        <v>0</v>
      </c>
      <c r="M3390" s="1">
        <v>0</v>
      </c>
      <c r="O3390" s="1">
        <v>97</v>
      </c>
      <c r="P3390" s="4">
        <f t="shared" si="156"/>
        <v>4241500</v>
      </c>
      <c r="Q3390" s="4">
        <f t="shared" si="157"/>
        <v>17</v>
      </c>
      <c r="R3390" s="4">
        <f t="shared" si="158"/>
        <v>249500</v>
      </c>
    </row>
    <row r="3391" spans="1:18">
      <c r="A3391" s="1">
        <v>2</v>
      </c>
      <c r="B3391" s="1" t="str">
        <f>"قطعات و لوازم يدكي"</f>
        <v>قطعات و لوازم يدكي</v>
      </c>
      <c r="C3391" s="1">
        <v>101</v>
      </c>
      <c r="D3391" s="1" t="str">
        <f>"انبار قطعات و لوازم يدكي اصفهان"</f>
        <v>انبار قطعات و لوازم يدكي اصفهان</v>
      </c>
      <c r="E3391" s="1" t="str">
        <f>"7662300902"</f>
        <v>7662300902</v>
      </c>
      <c r="F3391" s="1" t="str">
        <f>"فلنج سيليپون 20 اينچ کلاس 150"</f>
        <v>فلنج سيليپون 20 اينچ کلاس 150</v>
      </c>
      <c r="G3391" s="1" t="str">
        <f>"عدد"</f>
        <v>عدد</v>
      </c>
      <c r="H3391" s="1">
        <v>2</v>
      </c>
      <c r="I3391" s="1">
        <v>8880000</v>
      </c>
      <c r="J3391" s="1">
        <v>0</v>
      </c>
      <c r="K3391" s="1">
        <v>0</v>
      </c>
      <c r="L3391" s="1">
        <v>0</v>
      </c>
      <c r="M3391" s="1">
        <v>0</v>
      </c>
      <c r="O3391" s="1">
        <v>97</v>
      </c>
      <c r="P3391" s="4">
        <f t="shared" si="156"/>
        <v>8880000</v>
      </c>
      <c r="Q3391" s="4">
        <f t="shared" si="157"/>
        <v>2</v>
      </c>
      <c r="R3391" s="4">
        <f t="shared" si="158"/>
        <v>4440000</v>
      </c>
    </row>
    <row r="3392" spans="1:18">
      <c r="A3392" s="1">
        <v>2</v>
      </c>
      <c r="B3392" s="1" t="str">
        <f>"قطعات و لوازم يدكي"</f>
        <v>قطعات و لوازم يدكي</v>
      </c>
      <c r="C3392" s="1">
        <v>101</v>
      </c>
      <c r="D3392" s="1" t="str">
        <f>"انبار قطعات و لوازم يدكي اصفهان"</f>
        <v>انبار قطعات و لوازم يدكي اصفهان</v>
      </c>
      <c r="E3392" s="1" t="str">
        <f>"7662400322"</f>
        <v>7662400322</v>
      </c>
      <c r="F3392" s="1" t="str">
        <f>"فلنج 3*2 اينچ 150"</f>
        <v>فلنج 3*2 اينچ 150</v>
      </c>
      <c r="G3392" s="1" t="str">
        <f>"عدد"</f>
        <v>عدد</v>
      </c>
      <c r="H3392" s="1">
        <v>3</v>
      </c>
      <c r="I3392" s="1">
        <v>322534</v>
      </c>
      <c r="J3392" s="1">
        <v>1</v>
      </c>
      <c r="K3392" s="1">
        <v>107511</v>
      </c>
      <c r="L3392" s="1">
        <v>1</v>
      </c>
      <c r="M3392" s="1">
        <v>107511</v>
      </c>
      <c r="O3392" s="1">
        <v>97</v>
      </c>
      <c r="P3392" s="4">
        <f t="shared" si="156"/>
        <v>322534</v>
      </c>
      <c r="Q3392" s="4">
        <f t="shared" si="157"/>
        <v>3</v>
      </c>
      <c r="R3392" s="4">
        <f t="shared" si="158"/>
        <v>107511.33333333333</v>
      </c>
    </row>
    <row r="3393" spans="1:18">
      <c r="A3393" s="1">
        <v>2</v>
      </c>
      <c r="B3393" s="1" t="str">
        <f>"قطعات و لوازم يدكي"</f>
        <v>قطعات و لوازم يدكي</v>
      </c>
      <c r="C3393" s="1">
        <v>101</v>
      </c>
      <c r="D3393" s="1" t="str">
        <f>"انبار قطعات و لوازم يدكي اصفهان"</f>
        <v>انبار قطعات و لوازم يدكي اصفهان</v>
      </c>
      <c r="E3393" s="1" t="str">
        <f>"7662400772"</f>
        <v>7662400772</v>
      </c>
      <c r="F3393" s="1" t="str">
        <f>"رديوس فلنج 8*6 سيليفون كلاس 150"</f>
        <v>رديوس فلنج 8*6 سيليفون كلاس 150</v>
      </c>
      <c r="G3393" s="1" t="str">
        <f>"عدد"</f>
        <v>عدد</v>
      </c>
      <c r="H3393" s="1">
        <v>2</v>
      </c>
      <c r="I3393" s="1">
        <v>2864603</v>
      </c>
      <c r="J3393" s="1">
        <v>0</v>
      </c>
      <c r="K3393" s="1">
        <v>0</v>
      </c>
      <c r="L3393" s="1">
        <v>0</v>
      </c>
      <c r="M3393" s="1">
        <v>0</v>
      </c>
      <c r="O3393" s="1">
        <v>97</v>
      </c>
      <c r="P3393" s="4">
        <f t="shared" si="156"/>
        <v>2864603</v>
      </c>
      <c r="Q3393" s="4">
        <f t="shared" si="157"/>
        <v>2</v>
      </c>
      <c r="R3393" s="4">
        <f t="shared" si="158"/>
        <v>1432301.5</v>
      </c>
    </row>
    <row r="3394" spans="1:18">
      <c r="A3394" s="1">
        <v>2</v>
      </c>
      <c r="B3394" s="1" t="str">
        <f>"قطعات و لوازم يدكي"</f>
        <v>قطعات و لوازم يدكي</v>
      </c>
      <c r="C3394" s="1">
        <v>101</v>
      </c>
      <c r="D3394" s="1" t="str">
        <f>"انبار قطعات و لوازم يدكي اصفهان"</f>
        <v>انبار قطعات و لوازم يدكي اصفهان</v>
      </c>
      <c r="E3394" s="1" t="str">
        <f>"7662792562"</f>
        <v>7662792562</v>
      </c>
      <c r="F3394" s="1" t="str">
        <f>"فلنج 6 اينچ 150W.N"</f>
        <v>فلنج 6 اينچ 150W.N</v>
      </c>
      <c r="G3394" s="1" t="str">
        <f>"عدد"</f>
        <v>عدد</v>
      </c>
      <c r="H3394" s="1">
        <v>2</v>
      </c>
      <c r="I3394" s="1">
        <v>5139091</v>
      </c>
      <c r="J3394" s="1">
        <v>3</v>
      </c>
      <c r="K3394" s="1">
        <v>3450000</v>
      </c>
      <c r="L3394" s="1">
        <v>0</v>
      </c>
      <c r="M3394" s="1">
        <v>0</v>
      </c>
      <c r="O3394" s="1">
        <v>97</v>
      </c>
      <c r="P3394" s="4">
        <f t="shared" si="156"/>
        <v>8589091</v>
      </c>
      <c r="Q3394" s="4">
        <f t="shared" si="157"/>
        <v>5</v>
      </c>
      <c r="R3394" s="4">
        <f t="shared" si="158"/>
        <v>1717818.2</v>
      </c>
    </row>
    <row r="3395" spans="1:18">
      <c r="A3395" s="1">
        <v>2</v>
      </c>
      <c r="B3395" s="1" t="str">
        <f>"قطعات و لوازم يدكي"</f>
        <v>قطعات و لوازم يدكي</v>
      </c>
      <c r="C3395" s="1">
        <v>101</v>
      </c>
      <c r="D3395" s="1" t="str">
        <f>"انبار قطعات و لوازم يدكي اصفهان"</f>
        <v>انبار قطعات و لوازم يدكي اصفهان</v>
      </c>
      <c r="E3395" s="1" t="str">
        <f>"7662795762"</f>
        <v>7662795762</v>
      </c>
      <c r="F3395" s="1" t="s">
        <v>194</v>
      </c>
      <c r="G3395" s="1" t="str">
        <f>"عدد"</f>
        <v>عدد</v>
      </c>
      <c r="H3395" s="1">
        <v>6</v>
      </c>
      <c r="I3395" s="1">
        <v>997688</v>
      </c>
      <c r="J3395" s="1">
        <v>0</v>
      </c>
      <c r="K3395" s="1">
        <v>0</v>
      </c>
      <c r="L3395" s="1">
        <v>0</v>
      </c>
      <c r="M3395" s="1">
        <v>0</v>
      </c>
      <c r="O3395" s="1">
        <v>97</v>
      </c>
      <c r="P3395" s="4">
        <f t="shared" ref="P3395:P3458" si="159">I3395+K3395-M3395</f>
        <v>997688</v>
      </c>
      <c r="Q3395" s="4">
        <f t="shared" ref="Q3395:Q3458" si="160">H3395+J3395-L3395</f>
        <v>6</v>
      </c>
      <c r="R3395" s="4">
        <f t="shared" ref="R3395:R3458" si="161">P3395/Q3395</f>
        <v>166281.33333333334</v>
      </c>
    </row>
    <row r="3396" spans="1:18">
      <c r="A3396" s="1">
        <v>2</v>
      </c>
      <c r="B3396" s="1" t="str">
        <f>"قطعات و لوازم يدكي"</f>
        <v>قطعات و لوازم يدكي</v>
      </c>
      <c r="C3396" s="1">
        <v>101</v>
      </c>
      <c r="D3396" s="1" t="str">
        <f>"انبار قطعات و لوازم يدكي اصفهان"</f>
        <v>انبار قطعات و لوازم يدكي اصفهان</v>
      </c>
      <c r="E3396" s="1" t="str">
        <f>"7688062202"</f>
        <v>7688062202</v>
      </c>
      <c r="F3396" s="1" t="str">
        <f>"فلنج عينكي 2 اينچ كلاس 150"</f>
        <v>فلنج عينكي 2 اينچ كلاس 150</v>
      </c>
      <c r="G3396" s="1" t="str">
        <f>"عدد"</f>
        <v>عدد</v>
      </c>
      <c r="H3396" s="1">
        <v>4</v>
      </c>
      <c r="I3396" s="1">
        <v>1941258</v>
      </c>
      <c r="J3396" s="1">
        <v>0</v>
      </c>
      <c r="K3396" s="1">
        <v>0</v>
      </c>
      <c r="L3396" s="1">
        <v>0</v>
      </c>
      <c r="M3396" s="1">
        <v>0</v>
      </c>
      <c r="O3396" s="1">
        <v>97</v>
      </c>
      <c r="P3396" s="4">
        <f t="shared" si="159"/>
        <v>1941258</v>
      </c>
      <c r="Q3396" s="4">
        <f t="shared" si="160"/>
        <v>4</v>
      </c>
      <c r="R3396" s="4">
        <f t="shared" si="161"/>
        <v>485314.5</v>
      </c>
    </row>
    <row r="3397" spans="1:18">
      <c r="A3397" s="1">
        <v>2</v>
      </c>
      <c r="B3397" s="1" t="str">
        <f>"قطعات و لوازم يدكي"</f>
        <v>قطعات و لوازم يدكي</v>
      </c>
      <c r="C3397" s="1">
        <v>101</v>
      </c>
      <c r="D3397" s="1" t="str">
        <f>"انبار قطعات و لوازم يدكي اصفهان"</f>
        <v>انبار قطعات و لوازم يدكي اصفهان</v>
      </c>
      <c r="E3397" s="1" t="str">
        <f>"8100000052"</f>
        <v>8100000052</v>
      </c>
      <c r="F3397" s="1" t="str">
        <f>"يوبلت 3 اينچ"</f>
        <v>يوبلت 3 اينچ</v>
      </c>
      <c r="G3397" s="1" t="str">
        <f>"عدد"</f>
        <v>عدد</v>
      </c>
      <c r="H3397" s="1">
        <v>12</v>
      </c>
      <c r="I3397" s="1">
        <v>1320000</v>
      </c>
      <c r="J3397" s="1">
        <v>0</v>
      </c>
      <c r="K3397" s="1">
        <v>0</v>
      </c>
      <c r="L3397" s="1">
        <v>0</v>
      </c>
      <c r="M3397" s="1">
        <v>0</v>
      </c>
      <c r="O3397" s="1">
        <v>97</v>
      </c>
      <c r="P3397" s="4">
        <f t="shared" si="159"/>
        <v>1320000</v>
      </c>
      <c r="Q3397" s="4">
        <f t="shared" si="160"/>
        <v>12</v>
      </c>
      <c r="R3397" s="4">
        <f t="shared" si="161"/>
        <v>110000</v>
      </c>
    </row>
    <row r="3398" spans="1:18">
      <c r="A3398" s="1">
        <v>2</v>
      </c>
      <c r="B3398" s="1" t="str">
        <f>"قطعات و لوازم يدكي"</f>
        <v>قطعات و لوازم يدكي</v>
      </c>
      <c r="C3398" s="1">
        <v>101</v>
      </c>
      <c r="D3398" s="1" t="str">
        <f>"انبار قطعات و لوازم يدكي اصفهان"</f>
        <v>انبار قطعات و لوازم يدكي اصفهان</v>
      </c>
      <c r="E3398" s="1" t="str">
        <f>"8101012602"</f>
        <v>8101012602</v>
      </c>
      <c r="F3398" s="1" t="str">
        <f>"ماشين بولت 20*6"</f>
        <v>ماشين بولت 20*6</v>
      </c>
      <c r="G3398" s="1" t="str">
        <f>"عدد"</f>
        <v>عدد</v>
      </c>
      <c r="H3398" s="1">
        <v>27</v>
      </c>
      <c r="I3398" s="1">
        <v>6750</v>
      </c>
      <c r="J3398" s="1">
        <v>0</v>
      </c>
      <c r="K3398" s="1">
        <v>0</v>
      </c>
      <c r="L3398" s="1">
        <v>0</v>
      </c>
      <c r="M3398" s="1">
        <v>0</v>
      </c>
      <c r="O3398" s="1">
        <v>97</v>
      </c>
      <c r="P3398" s="4">
        <f t="shared" si="159"/>
        <v>6750</v>
      </c>
      <c r="Q3398" s="4">
        <f t="shared" si="160"/>
        <v>27</v>
      </c>
      <c r="R3398" s="4">
        <f t="shared" si="161"/>
        <v>250</v>
      </c>
    </row>
    <row r="3399" spans="1:18">
      <c r="A3399" s="1">
        <v>2</v>
      </c>
      <c r="B3399" s="1" t="str">
        <f>"قطعات و لوازم يدكي"</f>
        <v>قطعات و لوازم يدكي</v>
      </c>
      <c r="C3399" s="1">
        <v>101</v>
      </c>
      <c r="D3399" s="1" t="str">
        <f>"انبار قطعات و لوازم يدكي اصفهان"</f>
        <v>انبار قطعات و لوازم يدكي اصفهان</v>
      </c>
      <c r="E3399" s="1" t="str">
        <f>"8101016402"</f>
        <v>8101016402</v>
      </c>
      <c r="F3399" s="1" t="str">
        <f>"پيچ و مهره 3/4*205"</f>
        <v>پيچ و مهره 3/4*205</v>
      </c>
      <c r="G3399" s="1" t="str">
        <f>"عدد"</f>
        <v>عدد</v>
      </c>
      <c r="H3399" s="1">
        <v>10</v>
      </c>
      <c r="I3399" s="1">
        <v>1261</v>
      </c>
      <c r="J3399" s="1">
        <v>0</v>
      </c>
      <c r="K3399" s="1">
        <v>0</v>
      </c>
      <c r="L3399" s="1">
        <v>0</v>
      </c>
      <c r="M3399" s="1">
        <v>0</v>
      </c>
      <c r="O3399" s="1">
        <v>97</v>
      </c>
      <c r="P3399" s="4">
        <f t="shared" si="159"/>
        <v>1261</v>
      </c>
      <c r="Q3399" s="4">
        <f t="shared" si="160"/>
        <v>10</v>
      </c>
      <c r="R3399" s="4">
        <f t="shared" si="161"/>
        <v>126.1</v>
      </c>
    </row>
    <row r="3400" spans="1:18">
      <c r="A3400" s="1">
        <v>2</v>
      </c>
      <c r="B3400" s="1" t="str">
        <f>"قطعات و لوازم يدكي"</f>
        <v>قطعات و لوازم يدكي</v>
      </c>
      <c r="C3400" s="1">
        <v>101</v>
      </c>
      <c r="D3400" s="1" t="str">
        <f>"انبار قطعات و لوازم يدكي اصفهان"</f>
        <v>انبار قطعات و لوازم يدكي اصفهان</v>
      </c>
      <c r="E3400" s="1" t="str">
        <f>"8138613402"</f>
        <v>8138613402</v>
      </c>
      <c r="F3400" s="1" t="s">
        <v>195</v>
      </c>
      <c r="G3400" s="1" t="str">
        <f>"عدد"</f>
        <v>عدد</v>
      </c>
      <c r="H3400" s="1">
        <v>181</v>
      </c>
      <c r="I3400" s="1">
        <v>5121394</v>
      </c>
      <c r="J3400" s="1">
        <v>210</v>
      </c>
      <c r="K3400" s="1">
        <v>17105000</v>
      </c>
      <c r="L3400" s="1">
        <v>213</v>
      </c>
      <c r="M3400" s="1">
        <v>9472125</v>
      </c>
      <c r="O3400" s="1">
        <v>97</v>
      </c>
      <c r="P3400" s="4">
        <f t="shared" si="159"/>
        <v>12754269</v>
      </c>
      <c r="Q3400" s="4">
        <f t="shared" si="160"/>
        <v>178</v>
      </c>
      <c r="R3400" s="4">
        <f t="shared" si="161"/>
        <v>71653.196629213489</v>
      </c>
    </row>
    <row r="3401" spans="1:18">
      <c r="A3401" s="1">
        <v>2</v>
      </c>
      <c r="B3401" s="1" t="str">
        <f>"قطعات و لوازم يدكي"</f>
        <v>قطعات و لوازم يدكي</v>
      </c>
      <c r="C3401" s="1">
        <v>101</v>
      </c>
      <c r="D3401" s="1" t="str">
        <f>"انبار قطعات و لوازم يدكي اصفهان"</f>
        <v>انبار قطعات و لوازم يدكي اصفهان</v>
      </c>
      <c r="E3401" s="1" t="str">
        <f>"8138614712"</f>
        <v>8138614712</v>
      </c>
      <c r="F3401" s="1" t="str">
        <f>"پيچ نگهدارنده 3/4 اينچ * 100 ميليمتر"</f>
        <v>پيچ نگهدارنده 3/4 اينچ * 100 ميليمتر</v>
      </c>
      <c r="G3401" s="1" t="str">
        <f>"عدد"</f>
        <v>عدد</v>
      </c>
      <c r="H3401" s="1">
        <v>152</v>
      </c>
      <c r="I3401" s="1">
        <v>6450918</v>
      </c>
      <c r="J3401" s="1">
        <v>0</v>
      </c>
      <c r="K3401" s="1">
        <v>0</v>
      </c>
      <c r="L3401" s="1">
        <v>0</v>
      </c>
      <c r="M3401" s="1">
        <v>0</v>
      </c>
      <c r="O3401" s="1">
        <v>97</v>
      </c>
      <c r="P3401" s="4">
        <f t="shared" si="159"/>
        <v>6450918</v>
      </c>
      <c r="Q3401" s="4">
        <f t="shared" si="160"/>
        <v>152</v>
      </c>
      <c r="R3401" s="4">
        <f t="shared" si="161"/>
        <v>42440.25</v>
      </c>
    </row>
    <row r="3402" spans="1:18">
      <c r="A3402" s="1">
        <v>2</v>
      </c>
      <c r="B3402" s="1" t="str">
        <f>"قطعات و لوازم يدكي"</f>
        <v>قطعات و لوازم يدكي</v>
      </c>
      <c r="C3402" s="1">
        <v>101</v>
      </c>
      <c r="D3402" s="1" t="str">
        <f>"انبار قطعات و لوازم يدكي اصفهان"</f>
        <v>انبار قطعات و لوازم يدكي اصفهان</v>
      </c>
      <c r="E3402" s="1" t="str">
        <f>"8138615152"</f>
        <v>8138615152</v>
      </c>
      <c r="F3402" s="1" t="str">
        <f>"استد بولت 310*3/4"</f>
        <v>استد بولت 310*3/4</v>
      </c>
      <c r="G3402" s="1" t="str">
        <f>"عدد"</f>
        <v>عدد</v>
      </c>
      <c r="H3402" s="1">
        <v>97</v>
      </c>
      <c r="I3402" s="1">
        <v>7971146</v>
      </c>
      <c r="J3402" s="1">
        <v>0</v>
      </c>
      <c r="K3402" s="1">
        <v>0</v>
      </c>
      <c r="L3402" s="1">
        <v>2</v>
      </c>
      <c r="M3402" s="1">
        <v>164354</v>
      </c>
      <c r="O3402" s="1">
        <v>97</v>
      </c>
      <c r="P3402" s="4">
        <f t="shared" si="159"/>
        <v>7806792</v>
      </c>
      <c r="Q3402" s="4">
        <f t="shared" si="160"/>
        <v>95</v>
      </c>
      <c r="R3402" s="4">
        <f t="shared" si="161"/>
        <v>82176.757894736846</v>
      </c>
    </row>
    <row r="3403" spans="1:18">
      <c r="A3403" s="1">
        <v>2</v>
      </c>
      <c r="B3403" s="1" t="str">
        <f>"قطعات و لوازم يدكي"</f>
        <v>قطعات و لوازم يدكي</v>
      </c>
      <c r="C3403" s="1">
        <v>101</v>
      </c>
      <c r="D3403" s="1" t="str">
        <f>"انبار قطعات و لوازم يدكي اصفهان"</f>
        <v>انبار قطعات و لوازم يدكي اصفهان</v>
      </c>
      <c r="E3403" s="1" t="str">
        <f>"8138616042"</f>
        <v>8138616042</v>
      </c>
      <c r="F3403" s="1" t="str">
        <f>"stud bolt  7/8 * 310"</f>
        <v>stud bolt  7/8 * 310</v>
      </c>
      <c r="G3403" s="1" t="str">
        <f>"عدد"</f>
        <v>عدد</v>
      </c>
      <c r="H3403" s="1">
        <v>39</v>
      </c>
      <c r="I3403" s="1">
        <v>454369</v>
      </c>
      <c r="J3403" s="1">
        <v>76</v>
      </c>
      <c r="K3403" s="1">
        <v>15212309</v>
      </c>
      <c r="L3403" s="1">
        <v>39</v>
      </c>
      <c r="M3403" s="1">
        <v>2680007</v>
      </c>
      <c r="O3403" s="1">
        <v>97</v>
      </c>
      <c r="P3403" s="4">
        <f t="shared" si="159"/>
        <v>12986671</v>
      </c>
      <c r="Q3403" s="4">
        <f t="shared" si="160"/>
        <v>76</v>
      </c>
      <c r="R3403" s="4">
        <f t="shared" si="161"/>
        <v>170877.25</v>
      </c>
    </row>
    <row r="3404" spans="1:18">
      <c r="A3404" s="1">
        <v>2</v>
      </c>
      <c r="B3404" s="1" t="str">
        <f>"قطعات و لوازم يدكي"</f>
        <v>قطعات و لوازم يدكي</v>
      </c>
      <c r="C3404" s="1">
        <v>101</v>
      </c>
      <c r="D3404" s="1" t="str">
        <f>"انبار قطعات و لوازم يدكي اصفهان"</f>
        <v>انبار قطعات و لوازم يدكي اصفهان</v>
      </c>
      <c r="E3404" s="1" t="str">
        <f>"8138617452"</f>
        <v>8138617452</v>
      </c>
      <c r="F3404" s="1" t="str">
        <f>"پيچ نگهدارنده 1 اينچ * 280 ميليمتر"</f>
        <v>پيچ نگهدارنده 1 اينچ * 280 ميليمتر</v>
      </c>
      <c r="G3404" s="1" t="str">
        <f>"عدد"</f>
        <v>عدد</v>
      </c>
      <c r="H3404" s="1">
        <v>40</v>
      </c>
      <c r="I3404" s="1">
        <v>1068380</v>
      </c>
      <c r="J3404" s="1">
        <v>0</v>
      </c>
      <c r="K3404" s="1">
        <v>0</v>
      </c>
      <c r="L3404" s="1">
        <v>0</v>
      </c>
      <c r="M3404" s="1">
        <v>0</v>
      </c>
      <c r="O3404" s="1">
        <v>97</v>
      </c>
      <c r="P3404" s="4">
        <f t="shared" si="159"/>
        <v>1068380</v>
      </c>
      <c r="Q3404" s="4">
        <f t="shared" si="160"/>
        <v>40</v>
      </c>
      <c r="R3404" s="4">
        <f t="shared" si="161"/>
        <v>26709.5</v>
      </c>
    </row>
    <row r="3405" spans="1:18">
      <c r="A3405" s="1">
        <v>2</v>
      </c>
      <c r="B3405" s="1" t="str">
        <f>"قطعات و لوازم يدكي"</f>
        <v>قطعات و لوازم يدكي</v>
      </c>
      <c r="C3405" s="1">
        <v>101</v>
      </c>
      <c r="D3405" s="1" t="str">
        <f>"انبار قطعات و لوازم يدكي اصفهان"</f>
        <v>انبار قطعات و لوازم يدكي اصفهان</v>
      </c>
      <c r="E3405" s="1" t="str">
        <f>"8180800022"</f>
        <v>8180800022</v>
      </c>
      <c r="F3405" s="1" t="str">
        <f>"V-LUG 1/5 INCH"</f>
        <v>V-LUG 1/5 INCH</v>
      </c>
      <c r="G3405" s="1" t="str">
        <f>"عدد"</f>
        <v>عدد</v>
      </c>
      <c r="H3405" s="1">
        <v>510</v>
      </c>
      <c r="I3405" s="1">
        <v>4335000</v>
      </c>
      <c r="J3405" s="1">
        <v>174</v>
      </c>
      <c r="K3405" s="1">
        <v>1479000</v>
      </c>
      <c r="L3405" s="1">
        <v>400</v>
      </c>
      <c r="M3405" s="1">
        <v>3400000</v>
      </c>
      <c r="O3405" s="1">
        <v>97</v>
      </c>
      <c r="P3405" s="4">
        <f t="shared" si="159"/>
        <v>2414000</v>
      </c>
      <c r="Q3405" s="4">
        <f t="shared" si="160"/>
        <v>284</v>
      </c>
      <c r="R3405" s="4">
        <f t="shared" si="161"/>
        <v>8500</v>
      </c>
    </row>
    <row r="3406" spans="1:18">
      <c r="A3406" s="1">
        <v>2</v>
      </c>
      <c r="B3406" s="1" t="str">
        <f>"قطعات و لوازم يدكي"</f>
        <v>قطعات و لوازم يدكي</v>
      </c>
      <c r="C3406" s="1">
        <v>101</v>
      </c>
      <c r="D3406" s="1" t="str">
        <f>"انبار قطعات و لوازم يدكي اصفهان"</f>
        <v>انبار قطعات و لوازم يدكي اصفهان</v>
      </c>
      <c r="E3406" s="1" t="str">
        <f>"8301010072"</f>
        <v>8301010072</v>
      </c>
      <c r="F3406" s="1" t="str">
        <f>"صفحه سنگ ساب ميني"</f>
        <v>صفحه سنگ ساب ميني</v>
      </c>
      <c r="G3406" s="1" t="str">
        <f>"عدد"</f>
        <v>عدد</v>
      </c>
      <c r="H3406" s="1">
        <v>30</v>
      </c>
      <c r="I3406" s="1">
        <v>1500000</v>
      </c>
      <c r="J3406" s="1">
        <v>0</v>
      </c>
      <c r="K3406" s="1">
        <v>0</v>
      </c>
      <c r="L3406" s="1">
        <v>2</v>
      </c>
      <c r="M3406" s="1">
        <v>100000</v>
      </c>
      <c r="O3406" s="1">
        <v>97</v>
      </c>
      <c r="P3406" s="4">
        <f t="shared" si="159"/>
        <v>1400000</v>
      </c>
      <c r="Q3406" s="4">
        <f t="shared" si="160"/>
        <v>28</v>
      </c>
      <c r="R3406" s="4">
        <f t="shared" si="161"/>
        <v>50000</v>
      </c>
    </row>
    <row r="3407" spans="1:18" hidden="1">
      <c r="A3407" s="1">
        <v>2</v>
      </c>
      <c r="B3407" s="1" t="str">
        <f>"قطعات و لوازم يدكي"</f>
        <v>قطعات و لوازم يدكي</v>
      </c>
      <c r="C3407" s="1">
        <v>101</v>
      </c>
      <c r="D3407" s="1" t="str">
        <f>"انبار قطعات و لوازم يدكي اصفهان"</f>
        <v>انبار قطعات و لوازم يدكي اصفهان</v>
      </c>
      <c r="E3407" s="1" t="str">
        <f>"8301010102"</f>
        <v>8301010102</v>
      </c>
      <c r="F3407" s="1" t="str">
        <f>"فيلتر روغن اوليه"</f>
        <v>فيلتر روغن اوليه</v>
      </c>
      <c r="G3407" s="1" t="str">
        <f>"عدد"</f>
        <v>عدد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O3407" s="1">
        <v>97</v>
      </c>
      <c r="P3407" s="1">
        <f t="shared" si="159"/>
        <v>0</v>
      </c>
      <c r="Q3407" s="1">
        <f t="shared" si="160"/>
        <v>0</v>
      </c>
      <c r="R3407" s="1" t="e">
        <f t="shared" si="161"/>
        <v>#DIV/0!</v>
      </c>
    </row>
    <row r="3408" spans="1:18">
      <c r="A3408" s="1">
        <v>2</v>
      </c>
      <c r="B3408" s="1" t="str">
        <f>"قطعات و لوازم يدكي"</f>
        <v>قطعات و لوازم يدكي</v>
      </c>
      <c r="C3408" s="1">
        <v>101</v>
      </c>
      <c r="D3408" s="1" t="str">
        <f>"انبار قطعات و لوازم يدكي اصفهان"</f>
        <v>انبار قطعات و لوازم يدكي اصفهان</v>
      </c>
      <c r="E3408" s="1" t="str">
        <f>"8301010202"</f>
        <v>8301010202</v>
      </c>
      <c r="F3408" s="1" t="str">
        <f>"فيلتر روغن کمپرسور1003A/B"</f>
        <v>فيلتر روغن کمپرسور1003A/B</v>
      </c>
      <c r="G3408" s="1" t="str">
        <f>"عدد"</f>
        <v>عدد</v>
      </c>
      <c r="H3408" s="1">
        <v>3</v>
      </c>
      <c r="I3408" s="1">
        <v>240000</v>
      </c>
      <c r="J3408" s="1">
        <v>0</v>
      </c>
      <c r="K3408" s="1">
        <v>0</v>
      </c>
      <c r="L3408" s="1">
        <v>1</v>
      </c>
      <c r="M3408" s="1">
        <v>80000</v>
      </c>
      <c r="O3408" s="1">
        <v>97</v>
      </c>
      <c r="P3408" s="4">
        <f t="shared" si="159"/>
        <v>160000</v>
      </c>
      <c r="Q3408" s="4">
        <f t="shared" si="160"/>
        <v>2</v>
      </c>
      <c r="R3408" s="4">
        <f t="shared" si="161"/>
        <v>80000</v>
      </c>
    </row>
    <row r="3409" spans="1:18" hidden="1">
      <c r="A3409" s="1">
        <v>2</v>
      </c>
      <c r="B3409" s="1" t="str">
        <f>"قطعات و لوازم يدكي"</f>
        <v>قطعات و لوازم يدكي</v>
      </c>
      <c r="C3409" s="1">
        <v>101</v>
      </c>
      <c r="D3409" s="1" t="str">
        <f>"انبار قطعات و لوازم يدكي اصفهان"</f>
        <v>انبار قطعات و لوازم يدكي اصفهان</v>
      </c>
      <c r="E3409" s="1" t="str">
        <f>"8301010242"</f>
        <v>8301010242</v>
      </c>
      <c r="F3409" s="1" t="str">
        <f>"فيلتر گازوئيل"</f>
        <v>فيلتر گازوئيل</v>
      </c>
      <c r="G3409" s="1" t="str">
        <f>"عدد"</f>
        <v>عدد</v>
      </c>
      <c r="H3409" s="1">
        <v>0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O3409" s="1">
        <v>97</v>
      </c>
      <c r="P3409" s="1">
        <f t="shared" si="159"/>
        <v>0</v>
      </c>
      <c r="Q3409" s="1">
        <f t="shared" si="160"/>
        <v>0</v>
      </c>
      <c r="R3409" s="1" t="e">
        <f t="shared" si="161"/>
        <v>#DIV/0!</v>
      </c>
    </row>
    <row r="3410" spans="1:18">
      <c r="A3410" s="1">
        <v>2</v>
      </c>
      <c r="B3410" s="1" t="str">
        <f>"قطعات و لوازم يدكي"</f>
        <v>قطعات و لوازم يدكي</v>
      </c>
      <c r="C3410" s="1">
        <v>101</v>
      </c>
      <c r="D3410" s="1" t="str">
        <f>"انبار قطعات و لوازم يدكي اصفهان"</f>
        <v>انبار قطعات و لوازم يدكي اصفهان</v>
      </c>
      <c r="E3410" s="1" t="str">
        <f>"8501135652"</f>
        <v>8501135652</v>
      </c>
      <c r="F3410" s="1" t="str">
        <f>"PACKING 3/8"</f>
        <v>PACKING 3/8</v>
      </c>
      <c r="G3410" s="1" t="str">
        <f>"كيلوگرم"</f>
        <v>كيلوگرم</v>
      </c>
      <c r="H3410" s="1">
        <v>5</v>
      </c>
      <c r="I3410" s="1">
        <v>4400000</v>
      </c>
      <c r="J3410" s="1">
        <v>0</v>
      </c>
      <c r="K3410" s="1">
        <v>0</v>
      </c>
      <c r="L3410" s="1">
        <v>0</v>
      </c>
      <c r="M3410" s="1">
        <v>0</v>
      </c>
      <c r="O3410" s="1">
        <v>97</v>
      </c>
      <c r="P3410" s="4">
        <f t="shared" si="159"/>
        <v>4400000</v>
      </c>
      <c r="Q3410" s="4">
        <f t="shared" si="160"/>
        <v>5</v>
      </c>
      <c r="R3410" s="4">
        <f t="shared" si="161"/>
        <v>880000</v>
      </c>
    </row>
    <row r="3411" spans="1:18">
      <c r="A3411" s="1">
        <v>2</v>
      </c>
      <c r="B3411" s="1" t="str">
        <f>"قطعات و لوازم يدكي"</f>
        <v>قطعات و لوازم يدكي</v>
      </c>
      <c r="C3411" s="1">
        <v>101</v>
      </c>
      <c r="D3411" s="1" t="str">
        <f>"انبار قطعات و لوازم يدكي اصفهان"</f>
        <v>انبار قطعات و لوازم يدكي اصفهان</v>
      </c>
      <c r="E3411" s="1" t="str">
        <f>"8501135662"</f>
        <v>8501135662</v>
      </c>
      <c r="F3411" s="1" t="str">
        <f>"PACKING 1/2"</f>
        <v>PACKING 1/2</v>
      </c>
      <c r="G3411" s="1" t="str">
        <f>"كيلوگرم"</f>
        <v>كيلوگرم</v>
      </c>
      <c r="H3411" s="1">
        <v>5</v>
      </c>
      <c r="I3411" s="1">
        <v>4400000</v>
      </c>
      <c r="J3411" s="1">
        <v>0</v>
      </c>
      <c r="K3411" s="1">
        <v>0</v>
      </c>
      <c r="L3411" s="1">
        <v>0</v>
      </c>
      <c r="M3411" s="1">
        <v>0</v>
      </c>
      <c r="O3411" s="1">
        <v>97</v>
      </c>
      <c r="P3411" s="4">
        <f t="shared" si="159"/>
        <v>4400000</v>
      </c>
      <c r="Q3411" s="4">
        <f t="shared" si="160"/>
        <v>5</v>
      </c>
      <c r="R3411" s="4">
        <f t="shared" si="161"/>
        <v>880000</v>
      </c>
    </row>
    <row r="3412" spans="1:18">
      <c r="A3412" s="1">
        <v>2</v>
      </c>
      <c r="B3412" s="1" t="str">
        <f>"قطعات و لوازم يدكي"</f>
        <v>قطعات و لوازم يدكي</v>
      </c>
      <c r="C3412" s="1">
        <v>101</v>
      </c>
      <c r="D3412" s="1" t="str">
        <f>"انبار قطعات و لوازم يدكي اصفهان"</f>
        <v>انبار قطعات و لوازم يدكي اصفهان</v>
      </c>
      <c r="E3412" s="1" t="str">
        <f>"8501135672"</f>
        <v>8501135672</v>
      </c>
      <c r="F3412" s="1" t="str">
        <f>"PACKING5/8"</f>
        <v>PACKING5/8</v>
      </c>
      <c r="G3412" s="1" t="str">
        <f>"كيلوگرم"</f>
        <v>كيلوگرم</v>
      </c>
      <c r="H3412" s="1">
        <v>5</v>
      </c>
      <c r="I3412" s="1">
        <v>4400000</v>
      </c>
      <c r="J3412" s="1">
        <v>0</v>
      </c>
      <c r="K3412" s="1">
        <v>0</v>
      </c>
      <c r="L3412" s="1">
        <v>0</v>
      </c>
      <c r="M3412" s="1">
        <v>0</v>
      </c>
      <c r="O3412" s="1">
        <v>97</v>
      </c>
      <c r="P3412" s="4">
        <f t="shared" si="159"/>
        <v>4400000</v>
      </c>
      <c r="Q3412" s="4">
        <f t="shared" si="160"/>
        <v>5</v>
      </c>
      <c r="R3412" s="4">
        <f t="shared" si="161"/>
        <v>880000</v>
      </c>
    </row>
    <row r="3413" spans="1:18" hidden="1">
      <c r="A3413" s="1">
        <v>2</v>
      </c>
      <c r="B3413" s="1" t="str">
        <f>"قطعات و لوازم يدكي"</f>
        <v>قطعات و لوازم يدكي</v>
      </c>
      <c r="C3413" s="1">
        <v>101</v>
      </c>
      <c r="D3413" s="1" t="str">
        <f>"انبار قطعات و لوازم يدكي اصفهان"</f>
        <v>انبار قطعات و لوازم يدكي اصفهان</v>
      </c>
      <c r="E3413" s="1" t="str">
        <f>"8521203122"</f>
        <v>8521203122</v>
      </c>
      <c r="F3413" s="1" t="s">
        <v>196</v>
      </c>
      <c r="G3413" s="1" t="str">
        <f>"SH"</f>
        <v>SH</v>
      </c>
      <c r="H3413" s="1">
        <v>0</v>
      </c>
      <c r="I3413" s="1">
        <v>0</v>
      </c>
      <c r="J3413" s="1">
        <v>3</v>
      </c>
      <c r="K3413" s="1">
        <v>30000000</v>
      </c>
      <c r="L3413" s="1">
        <v>3</v>
      </c>
      <c r="M3413" s="1">
        <v>30000000</v>
      </c>
      <c r="O3413" s="1">
        <v>97</v>
      </c>
      <c r="P3413" s="1">
        <f t="shared" si="159"/>
        <v>0</v>
      </c>
      <c r="Q3413" s="1">
        <f t="shared" si="160"/>
        <v>0</v>
      </c>
      <c r="R3413" s="1" t="e">
        <f t="shared" si="161"/>
        <v>#DIV/0!</v>
      </c>
    </row>
    <row r="3414" spans="1:18" hidden="1">
      <c r="A3414" s="1">
        <v>2</v>
      </c>
      <c r="B3414" s="1" t="str">
        <f>"قطعات و لوازم يدكي"</f>
        <v>قطعات و لوازم يدكي</v>
      </c>
      <c r="C3414" s="1">
        <v>101</v>
      </c>
      <c r="D3414" s="1" t="str">
        <f>"انبار قطعات و لوازم يدكي اصفهان"</f>
        <v>انبار قطعات و لوازم يدكي اصفهان</v>
      </c>
      <c r="E3414" s="1" t="str">
        <f>"8541201162"</f>
        <v>8541201162</v>
      </c>
      <c r="F3414" s="1" t="str">
        <f>"واشر گسکت اسپيرال 1/2-1 کلاس 150"</f>
        <v>واشر گسکت اسپيرال 1/2-1 کلاس 150</v>
      </c>
      <c r="G3414" s="1" t="str">
        <f>"عدد"</f>
        <v>عدد</v>
      </c>
      <c r="H3414" s="1">
        <v>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O3414" s="1">
        <v>97</v>
      </c>
      <c r="P3414" s="1">
        <f t="shared" si="159"/>
        <v>0</v>
      </c>
      <c r="Q3414" s="1">
        <f t="shared" si="160"/>
        <v>0</v>
      </c>
      <c r="R3414" s="1" t="e">
        <f t="shared" si="161"/>
        <v>#DIV/0!</v>
      </c>
    </row>
    <row r="3415" spans="1:18" hidden="1">
      <c r="A3415" s="1">
        <v>2</v>
      </c>
      <c r="B3415" s="1" t="str">
        <f>"قطعات و لوازم يدكي"</f>
        <v>قطعات و لوازم يدكي</v>
      </c>
      <c r="C3415" s="1">
        <v>101</v>
      </c>
      <c r="D3415" s="1" t="str">
        <f>"انبار قطعات و لوازم يدكي اصفهان"</f>
        <v>انبار قطعات و لوازم يدكي اصفهان</v>
      </c>
      <c r="E3415" s="1" t="str">
        <f>"8541201172"</f>
        <v>8541201172</v>
      </c>
      <c r="F3415" s="1" t="str">
        <f>"واشر گسکت اسپيرال 2 کلاس 150"</f>
        <v>واشر گسکت اسپيرال 2 کلاس 150</v>
      </c>
      <c r="G3415" s="1" t="str">
        <f>"عدد"</f>
        <v>عدد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O3415" s="1">
        <v>97</v>
      </c>
      <c r="P3415" s="1">
        <f t="shared" si="159"/>
        <v>0</v>
      </c>
      <c r="Q3415" s="1">
        <f t="shared" si="160"/>
        <v>0</v>
      </c>
      <c r="R3415" s="1" t="e">
        <f t="shared" si="161"/>
        <v>#DIV/0!</v>
      </c>
    </row>
    <row r="3416" spans="1:18" hidden="1">
      <c r="A3416" s="1">
        <v>2</v>
      </c>
      <c r="B3416" s="1" t="str">
        <f>"قطعات و لوازم يدكي"</f>
        <v>قطعات و لوازم يدكي</v>
      </c>
      <c r="C3416" s="1">
        <v>101</v>
      </c>
      <c r="D3416" s="1" t="str">
        <f>"انبار قطعات و لوازم يدكي اصفهان"</f>
        <v>انبار قطعات و لوازم يدكي اصفهان</v>
      </c>
      <c r="E3416" s="1" t="str">
        <f>"8541201222"</f>
        <v>8541201222</v>
      </c>
      <c r="F3416" s="1" t="str">
        <f>"واشر گسکت اسپيرال 5 کلاس 150"</f>
        <v>واشر گسکت اسپيرال 5 کلاس 150</v>
      </c>
      <c r="G3416" s="1" t="str">
        <f>"عدد"</f>
        <v>عدد</v>
      </c>
      <c r="H3416" s="1">
        <v>0</v>
      </c>
      <c r="I3416" s="1">
        <v>0</v>
      </c>
      <c r="J3416" s="1">
        <v>0</v>
      </c>
      <c r="K3416" s="1">
        <v>0</v>
      </c>
      <c r="L3416" s="1">
        <v>0</v>
      </c>
      <c r="M3416" s="1">
        <v>0</v>
      </c>
      <c r="O3416" s="1">
        <v>97</v>
      </c>
      <c r="P3416" s="1">
        <f t="shared" si="159"/>
        <v>0</v>
      </c>
      <c r="Q3416" s="1">
        <f t="shared" si="160"/>
        <v>0</v>
      </c>
      <c r="R3416" s="1" t="e">
        <f t="shared" si="161"/>
        <v>#DIV/0!</v>
      </c>
    </row>
    <row r="3417" spans="1:18">
      <c r="A3417" s="1">
        <v>2</v>
      </c>
      <c r="B3417" s="1" t="str">
        <f>"قطعات و لوازم يدكي"</f>
        <v>قطعات و لوازم يدكي</v>
      </c>
      <c r="C3417" s="1">
        <v>101</v>
      </c>
      <c r="D3417" s="1" t="str">
        <f>"انبار قطعات و لوازم يدكي اصفهان"</f>
        <v>انبار قطعات و لوازم يدكي اصفهان</v>
      </c>
      <c r="E3417" s="1" t="str">
        <f>"8541330082"</f>
        <v>8541330082</v>
      </c>
      <c r="F3417" s="1" t="s">
        <v>197</v>
      </c>
      <c r="G3417" s="1" t="str">
        <f>"عدد"</f>
        <v>عدد</v>
      </c>
      <c r="H3417" s="1">
        <v>59</v>
      </c>
      <c r="I3417" s="1">
        <v>1562854</v>
      </c>
      <c r="J3417" s="1">
        <v>246</v>
      </c>
      <c r="K3417" s="1">
        <v>30054047</v>
      </c>
      <c r="L3417" s="1">
        <v>71</v>
      </c>
      <c r="M3417" s="1">
        <v>7357357</v>
      </c>
      <c r="O3417" s="1">
        <v>97</v>
      </c>
      <c r="P3417" s="4">
        <f t="shared" si="159"/>
        <v>24259544</v>
      </c>
      <c r="Q3417" s="4">
        <f t="shared" si="160"/>
        <v>234</v>
      </c>
      <c r="R3417" s="4">
        <f t="shared" si="161"/>
        <v>103673.26495726495</v>
      </c>
    </row>
    <row r="3418" spans="1:18">
      <c r="A3418" s="1">
        <v>2</v>
      </c>
      <c r="B3418" s="1" t="str">
        <f>"قطعات و لوازم يدكي"</f>
        <v>قطعات و لوازم يدكي</v>
      </c>
      <c r="C3418" s="1">
        <v>101</v>
      </c>
      <c r="D3418" s="1" t="str">
        <f>"انبار قطعات و لوازم يدكي اصفهان"</f>
        <v>انبار قطعات و لوازم يدكي اصفهان</v>
      </c>
      <c r="E3418" s="1" t="str">
        <f>"8541331062"</f>
        <v>8541331062</v>
      </c>
      <c r="F3418" s="1" t="s">
        <v>198</v>
      </c>
      <c r="G3418" s="1" t="str">
        <f>"عدد"</f>
        <v>عدد</v>
      </c>
      <c r="H3418" s="1">
        <v>117</v>
      </c>
      <c r="I3418" s="1">
        <v>2995463</v>
      </c>
      <c r="J3418" s="1">
        <v>261</v>
      </c>
      <c r="K3418" s="1">
        <v>18316000</v>
      </c>
      <c r="L3418" s="1">
        <v>144</v>
      </c>
      <c r="M3418" s="1">
        <v>8995559</v>
      </c>
      <c r="O3418" s="1">
        <v>97</v>
      </c>
      <c r="P3418" s="4">
        <f t="shared" si="159"/>
        <v>12315904</v>
      </c>
      <c r="Q3418" s="4">
        <f t="shared" si="160"/>
        <v>234</v>
      </c>
      <c r="R3418" s="4">
        <f t="shared" si="161"/>
        <v>52632.068376068375</v>
      </c>
    </row>
    <row r="3419" spans="1:18">
      <c r="A3419" s="1">
        <v>2</v>
      </c>
      <c r="B3419" s="1" t="str">
        <f>"قطعات و لوازم يدكي"</f>
        <v>قطعات و لوازم يدكي</v>
      </c>
      <c r="C3419" s="1">
        <v>101</v>
      </c>
      <c r="D3419" s="1" t="str">
        <f>"انبار قطعات و لوازم يدكي اصفهان"</f>
        <v>انبار قطعات و لوازم يدكي اصفهان</v>
      </c>
      <c r="E3419" s="1" t="str">
        <f>"8541331202"</f>
        <v>8541331202</v>
      </c>
      <c r="F3419" s="1" t="s">
        <v>199</v>
      </c>
      <c r="G3419" s="1" t="str">
        <f>"عدد"</f>
        <v>عدد</v>
      </c>
      <c r="H3419" s="1">
        <v>35</v>
      </c>
      <c r="I3419" s="1">
        <v>437007</v>
      </c>
      <c r="J3419" s="1">
        <v>200</v>
      </c>
      <c r="K3419" s="1">
        <v>23036000</v>
      </c>
      <c r="L3419" s="1">
        <v>38</v>
      </c>
      <c r="M3419" s="1">
        <v>3025661</v>
      </c>
      <c r="O3419" s="1">
        <v>97</v>
      </c>
      <c r="P3419" s="4">
        <f t="shared" si="159"/>
        <v>20447346</v>
      </c>
      <c r="Q3419" s="4">
        <f t="shared" si="160"/>
        <v>197</v>
      </c>
      <c r="R3419" s="4">
        <f t="shared" si="161"/>
        <v>103793.63451776649</v>
      </c>
    </row>
    <row r="3420" spans="1:18">
      <c r="A3420" s="1">
        <v>2</v>
      </c>
      <c r="B3420" s="1" t="str">
        <f>"قطعات و لوازم يدكي"</f>
        <v>قطعات و لوازم يدكي</v>
      </c>
      <c r="C3420" s="1">
        <v>101</v>
      </c>
      <c r="D3420" s="1" t="str">
        <f>"انبار قطعات و لوازم يدكي اصفهان"</f>
        <v>انبار قطعات و لوازم يدكي اصفهان</v>
      </c>
      <c r="E3420" s="1" t="str">
        <f>"8553101002"</f>
        <v>8553101002</v>
      </c>
      <c r="F3420" s="1" t="str">
        <f>"نوار تفلون"</f>
        <v>نوار تفلون</v>
      </c>
      <c r="G3420" s="1" t="str">
        <f>"عدد"</f>
        <v>عدد</v>
      </c>
      <c r="H3420" s="1">
        <v>480</v>
      </c>
      <c r="I3420" s="1">
        <v>3726205</v>
      </c>
      <c r="J3420" s="1">
        <v>11</v>
      </c>
      <c r="K3420" s="1">
        <v>85392</v>
      </c>
      <c r="L3420" s="1">
        <v>235</v>
      </c>
      <c r="M3420" s="1">
        <v>1824288</v>
      </c>
      <c r="O3420" s="1">
        <v>97</v>
      </c>
      <c r="P3420" s="4">
        <f t="shared" si="159"/>
        <v>1987309</v>
      </c>
      <c r="Q3420" s="4">
        <f t="shared" si="160"/>
        <v>256</v>
      </c>
      <c r="R3420" s="4">
        <f t="shared" si="161"/>
        <v>7762.92578125</v>
      </c>
    </row>
    <row r="3421" spans="1:18" hidden="1">
      <c r="A3421" s="1">
        <v>2</v>
      </c>
      <c r="B3421" s="1" t="str">
        <f>"قطعات و لوازم يدكي"</f>
        <v>قطعات و لوازم يدكي</v>
      </c>
      <c r="C3421" s="1">
        <v>101</v>
      </c>
      <c r="D3421" s="1" t="str">
        <f>"انبار قطعات و لوازم يدكي اصفهان"</f>
        <v>انبار قطعات و لوازم يدكي اصفهان</v>
      </c>
      <c r="E3421" s="1" t="str">
        <f>"8564010222"</f>
        <v>8564010222</v>
      </c>
      <c r="F3421" s="1" t="str">
        <f>"كلسيم سيليكات 1/2 اينچ(ايزوپايپ)"</f>
        <v>كلسيم سيليكات 1/2 اينچ(ايزوپايپ)</v>
      </c>
      <c r="G3421" s="1" t="str">
        <f>"متر"</f>
        <v>متر</v>
      </c>
      <c r="H3421" s="1">
        <v>0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O3421" s="1">
        <v>97</v>
      </c>
      <c r="P3421" s="1">
        <f t="shared" si="159"/>
        <v>0</v>
      </c>
      <c r="Q3421" s="1">
        <f t="shared" si="160"/>
        <v>0</v>
      </c>
      <c r="R3421" s="1" t="e">
        <f t="shared" si="161"/>
        <v>#DIV/0!</v>
      </c>
    </row>
    <row r="3422" spans="1:18" hidden="1">
      <c r="A3422" s="1">
        <v>2</v>
      </c>
      <c r="B3422" s="1" t="str">
        <f>"قطعات و لوازم يدكي"</f>
        <v>قطعات و لوازم يدكي</v>
      </c>
      <c r="C3422" s="1">
        <v>101</v>
      </c>
      <c r="D3422" s="1" t="str">
        <f>"انبار قطعات و لوازم يدكي اصفهان"</f>
        <v>انبار قطعات و لوازم يدكي اصفهان</v>
      </c>
      <c r="E3422" s="1" t="str">
        <f>"8564011022"</f>
        <v>8564011022</v>
      </c>
      <c r="F3422" s="1" t="str">
        <f>"كلسيم سيليكات 2 اينچ(ايزوپايپ)"</f>
        <v>كلسيم سيليكات 2 اينچ(ايزوپايپ)</v>
      </c>
      <c r="G3422" s="1" t="str">
        <f>"متر"</f>
        <v>متر</v>
      </c>
      <c r="H3422" s="1">
        <v>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O3422" s="1">
        <v>97</v>
      </c>
      <c r="P3422" s="1">
        <f t="shared" si="159"/>
        <v>0</v>
      </c>
      <c r="Q3422" s="1">
        <f t="shared" si="160"/>
        <v>0</v>
      </c>
      <c r="R3422" s="1" t="e">
        <f t="shared" si="161"/>
        <v>#DIV/0!</v>
      </c>
    </row>
    <row r="3423" spans="1:18" hidden="1">
      <c r="A3423" s="1">
        <v>2</v>
      </c>
      <c r="B3423" s="1" t="str">
        <f>"قطعات و لوازم يدكي"</f>
        <v>قطعات و لوازم يدكي</v>
      </c>
      <c r="C3423" s="1">
        <v>101</v>
      </c>
      <c r="D3423" s="1" t="str">
        <f>"انبار قطعات و لوازم يدكي اصفهان"</f>
        <v>انبار قطعات و لوازم يدكي اصفهان</v>
      </c>
      <c r="E3423" s="1" t="str">
        <f>"8574402092"</f>
        <v>8574402092</v>
      </c>
      <c r="F3423" s="1" t="str">
        <f>"فنر کتابي 10 سانتي"</f>
        <v>فنر کتابي 10 سانتي</v>
      </c>
      <c r="G3423" s="1" t="str">
        <f>"عدد"</f>
        <v>عدد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O3423" s="1">
        <v>97</v>
      </c>
      <c r="P3423" s="1">
        <f t="shared" si="159"/>
        <v>0</v>
      </c>
      <c r="Q3423" s="1">
        <f t="shared" si="160"/>
        <v>0</v>
      </c>
      <c r="R3423" s="1" t="e">
        <f t="shared" si="161"/>
        <v>#DIV/0!</v>
      </c>
    </row>
    <row r="3424" spans="1:18" hidden="1">
      <c r="A3424" s="1">
        <v>2</v>
      </c>
      <c r="B3424" s="1" t="str">
        <f>"قطعات و لوازم يدكي"</f>
        <v>قطعات و لوازم يدكي</v>
      </c>
      <c r="C3424" s="1">
        <v>101</v>
      </c>
      <c r="D3424" s="1" t="str">
        <f>"انبار قطعات و لوازم يدكي اصفهان"</f>
        <v>انبار قطعات و لوازم يدكي اصفهان</v>
      </c>
      <c r="E3424" s="1" t="str">
        <f>"8574402202"</f>
        <v>8574402202</v>
      </c>
      <c r="F3424" s="1" t="str">
        <f>"بست  5/ 0 13x"</f>
        <v>بست  5/ 0 13x</v>
      </c>
      <c r="G3424" s="1" t="str">
        <f>"عدد"</f>
        <v>عدد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O3424" s="1">
        <v>97</v>
      </c>
      <c r="P3424" s="1">
        <f t="shared" si="159"/>
        <v>0</v>
      </c>
      <c r="Q3424" s="1">
        <f t="shared" si="160"/>
        <v>0</v>
      </c>
      <c r="R3424" s="1" t="e">
        <f t="shared" si="161"/>
        <v>#DIV/0!</v>
      </c>
    </row>
    <row r="3425" spans="1:18">
      <c r="A3425" s="1">
        <v>2</v>
      </c>
      <c r="B3425" s="1" t="str">
        <f>"قطعات و لوازم يدكي"</f>
        <v>قطعات و لوازم يدكي</v>
      </c>
      <c r="C3425" s="1">
        <v>101</v>
      </c>
      <c r="D3425" s="1" t="str">
        <f>"انبار قطعات و لوازم يدكي اصفهان"</f>
        <v>انبار قطعات و لوازم يدكي اصفهان</v>
      </c>
      <c r="E3425" s="1" t="str">
        <f>"8701010012"</f>
        <v>8701010012</v>
      </c>
      <c r="F3425" s="1" t="str">
        <f>"روغن هيدروليک vG22"</f>
        <v>روغن هيدروليک vG22</v>
      </c>
      <c r="G3425" s="1" t="str">
        <f>"ليتر"</f>
        <v>ليتر</v>
      </c>
      <c r="H3425" s="1">
        <v>8</v>
      </c>
      <c r="I3425" s="1">
        <v>800000</v>
      </c>
      <c r="J3425" s="1">
        <v>0</v>
      </c>
      <c r="K3425" s="1">
        <v>0</v>
      </c>
      <c r="L3425" s="1">
        <v>0</v>
      </c>
      <c r="M3425" s="1">
        <v>0</v>
      </c>
      <c r="O3425" s="1">
        <v>97</v>
      </c>
      <c r="P3425" s="4">
        <f t="shared" si="159"/>
        <v>800000</v>
      </c>
      <c r="Q3425" s="4">
        <f t="shared" si="160"/>
        <v>8</v>
      </c>
      <c r="R3425" s="4">
        <f t="shared" si="161"/>
        <v>100000</v>
      </c>
    </row>
    <row r="3426" spans="1:18">
      <c r="A3426" s="1">
        <v>2</v>
      </c>
      <c r="B3426" s="1" t="str">
        <f>"قطعات و لوازم يدكي"</f>
        <v>قطعات و لوازم يدكي</v>
      </c>
      <c r="C3426" s="1">
        <v>101</v>
      </c>
      <c r="D3426" s="1" t="str">
        <f>"انبار قطعات و لوازم يدكي اصفهان"</f>
        <v>انبار قطعات و لوازم يدكي اصفهان</v>
      </c>
      <c r="E3426" s="1" t="str">
        <f>"8701021072"</f>
        <v>8701021072</v>
      </c>
      <c r="F3426" s="1" t="str">
        <f>"AMBERGREASE SIT 4000"</f>
        <v>AMBERGREASE SIT 4000</v>
      </c>
      <c r="G3426" s="1" t="str">
        <f>"عدد"</f>
        <v>عدد</v>
      </c>
      <c r="H3426" s="1">
        <v>14</v>
      </c>
      <c r="I3426" s="1">
        <v>6916000</v>
      </c>
      <c r="J3426" s="1">
        <v>15</v>
      </c>
      <c r="K3426" s="1">
        <v>23250000</v>
      </c>
      <c r="L3426" s="1">
        <v>10</v>
      </c>
      <c r="M3426" s="1">
        <v>5732000</v>
      </c>
      <c r="O3426" s="1">
        <v>97</v>
      </c>
      <c r="P3426" s="4">
        <f t="shared" si="159"/>
        <v>24434000</v>
      </c>
      <c r="Q3426" s="4">
        <f t="shared" si="160"/>
        <v>19</v>
      </c>
      <c r="R3426" s="4">
        <f t="shared" si="161"/>
        <v>1286000</v>
      </c>
    </row>
    <row r="3427" spans="1:18">
      <c r="A3427" s="1">
        <v>2</v>
      </c>
      <c r="B3427" s="1" t="str">
        <f>"قطعات و لوازم يدكي"</f>
        <v>قطعات و لوازم يدكي</v>
      </c>
      <c r="C3427" s="1">
        <v>101</v>
      </c>
      <c r="D3427" s="1" t="str">
        <f>"انبار قطعات و لوازم يدكي اصفهان"</f>
        <v>انبار قطعات و لوازم يدكي اصفهان</v>
      </c>
      <c r="E3427" s="1" t="str">
        <f>"8765523472"</f>
        <v>8765523472</v>
      </c>
      <c r="F3427" s="1" t="str">
        <f>"گريس قلمي سايز D"</f>
        <v>گريس قلمي سايز D</v>
      </c>
      <c r="G3427" s="1" t="str">
        <f>"عدد"</f>
        <v>عدد</v>
      </c>
      <c r="H3427" s="1">
        <v>120</v>
      </c>
      <c r="I3427" s="1">
        <v>11750000</v>
      </c>
      <c r="J3427" s="1">
        <v>192</v>
      </c>
      <c r="K3427" s="1">
        <v>11200000</v>
      </c>
      <c r="L3427" s="1">
        <v>109</v>
      </c>
      <c r="M3427" s="1">
        <v>10215509</v>
      </c>
      <c r="O3427" s="1">
        <v>97</v>
      </c>
      <c r="P3427" s="4">
        <f t="shared" si="159"/>
        <v>12734491</v>
      </c>
      <c r="Q3427" s="4">
        <f t="shared" si="160"/>
        <v>203</v>
      </c>
      <c r="R3427" s="4">
        <f t="shared" si="161"/>
        <v>62731.482758620688</v>
      </c>
    </row>
    <row r="3428" spans="1:18">
      <c r="A3428" s="1">
        <v>2</v>
      </c>
      <c r="B3428" s="1" t="str">
        <f>"قطعات و لوازم يدكي"</f>
        <v>قطعات و لوازم يدكي</v>
      </c>
      <c r="C3428" s="1">
        <v>101</v>
      </c>
      <c r="D3428" s="1" t="str">
        <f>"انبار قطعات و لوازم يدكي اصفهان"</f>
        <v>انبار قطعات و لوازم يدكي اصفهان</v>
      </c>
      <c r="E3428" s="1" t="str">
        <f>"8765523492"</f>
        <v>8765523492</v>
      </c>
      <c r="F3428" s="1" t="str">
        <f>"گريس قلمي سايز B"</f>
        <v>گريس قلمي سايز B</v>
      </c>
      <c r="G3428" s="1" t="str">
        <f>"عدد"</f>
        <v>عدد</v>
      </c>
      <c r="H3428" s="1">
        <v>72</v>
      </c>
      <c r="I3428" s="1">
        <v>2297872</v>
      </c>
      <c r="J3428" s="1">
        <v>53</v>
      </c>
      <c r="K3428" s="1">
        <v>1970745</v>
      </c>
      <c r="L3428" s="1">
        <v>5</v>
      </c>
      <c r="M3428" s="1">
        <v>170745</v>
      </c>
      <c r="O3428" s="1">
        <v>97</v>
      </c>
      <c r="P3428" s="4">
        <f t="shared" si="159"/>
        <v>4097872</v>
      </c>
      <c r="Q3428" s="4">
        <f t="shared" si="160"/>
        <v>120</v>
      </c>
      <c r="R3428" s="4">
        <f t="shared" si="161"/>
        <v>34148.933333333334</v>
      </c>
    </row>
    <row r="3429" spans="1:18">
      <c r="A3429" s="1">
        <v>2</v>
      </c>
      <c r="B3429" s="1" t="str">
        <f>"قطعات و لوازم يدكي"</f>
        <v>قطعات و لوازم يدكي</v>
      </c>
      <c r="C3429" s="1">
        <v>101</v>
      </c>
      <c r="D3429" s="1" t="str">
        <f>"انبار قطعات و لوازم يدكي اصفهان"</f>
        <v>انبار قطعات و لوازم يدكي اصفهان</v>
      </c>
      <c r="E3429" s="1" t="str">
        <f>"8765524322"</f>
        <v>8765524322</v>
      </c>
      <c r="F3429" s="1" t="str">
        <f>"گريس LITIUM COMPLEX. GR3"</f>
        <v>گريس LITIUM COMPLEX. GR3</v>
      </c>
      <c r="G3429" s="1" t="str">
        <f>"كيلوگرم"</f>
        <v>كيلوگرم</v>
      </c>
      <c r="H3429" s="1">
        <v>18</v>
      </c>
      <c r="I3429" s="1">
        <v>4500000</v>
      </c>
      <c r="J3429" s="1">
        <v>1</v>
      </c>
      <c r="K3429" s="1">
        <v>250000</v>
      </c>
      <c r="L3429" s="1">
        <v>2</v>
      </c>
      <c r="M3429" s="1">
        <v>500000</v>
      </c>
      <c r="O3429" s="1">
        <v>97</v>
      </c>
      <c r="P3429" s="4">
        <f t="shared" si="159"/>
        <v>4250000</v>
      </c>
      <c r="Q3429" s="4">
        <f t="shared" si="160"/>
        <v>17</v>
      </c>
      <c r="R3429" s="4">
        <f t="shared" si="161"/>
        <v>250000</v>
      </c>
    </row>
    <row r="3430" spans="1:18" hidden="1">
      <c r="A3430" s="1">
        <v>2</v>
      </c>
      <c r="B3430" s="1" t="str">
        <f>"قطعات و لوازم يدكي"</f>
        <v>قطعات و لوازم يدكي</v>
      </c>
      <c r="C3430" s="1">
        <v>101</v>
      </c>
      <c r="D3430" s="1" t="str">
        <f>"انبار قطعات و لوازم يدكي اصفهان"</f>
        <v>انبار قطعات و لوازم يدكي اصفهان</v>
      </c>
      <c r="E3430" s="1" t="str">
        <f>"8900000052"</f>
        <v>8900000052</v>
      </c>
      <c r="F3430" s="1" t="str">
        <f>"استون محرك اصل 100013"</f>
        <v>استون محرك اصل 100013</v>
      </c>
      <c r="G3430" s="1" t="str">
        <f>"ليتر"</f>
        <v>ليتر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O3430" s="1">
        <v>97</v>
      </c>
      <c r="P3430" s="1">
        <f t="shared" si="159"/>
        <v>0</v>
      </c>
      <c r="Q3430" s="1">
        <f t="shared" si="160"/>
        <v>0</v>
      </c>
      <c r="R3430" s="1" t="e">
        <f t="shared" si="161"/>
        <v>#DIV/0!</v>
      </c>
    </row>
    <row r="3431" spans="1:18" hidden="1">
      <c r="A3431" s="1">
        <v>2</v>
      </c>
      <c r="B3431" s="1" t="str">
        <f>"قطعات و لوازم يدكي"</f>
        <v>قطعات و لوازم يدكي</v>
      </c>
      <c r="C3431" s="1">
        <v>101</v>
      </c>
      <c r="D3431" s="1" t="str">
        <f>"انبار قطعات و لوازم يدكي اصفهان"</f>
        <v>انبار قطعات و لوازم يدكي اصفهان</v>
      </c>
      <c r="E3431" s="1" t="str">
        <f>"8900000072"</f>
        <v>8900000072</v>
      </c>
      <c r="F3431" s="1" t="str">
        <f>"هپتان نرمال محرك اصل 104379"</f>
        <v>هپتان نرمال محرك اصل 104379</v>
      </c>
      <c r="G3431" s="1" t="str">
        <f>"ليتر"</f>
        <v>ليتر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O3431" s="1">
        <v>97</v>
      </c>
      <c r="P3431" s="1">
        <f t="shared" si="159"/>
        <v>0</v>
      </c>
      <c r="Q3431" s="1">
        <f t="shared" si="160"/>
        <v>0</v>
      </c>
      <c r="R3431" s="1" t="e">
        <f t="shared" si="161"/>
        <v>#DIV/0!</v>
      </c>
    </row>
    <row r="3432" spans="1:18" hidden="1">
      <c r="A3432" s="1">
        <v>2</v>
      </c>
      <c r="B3432" s="1" t="str">
        <f>"قطعات و لوازم يدكي"</f>
        <v>قطعات و لوازم يدكي</v>
      </c>
      <c r="C3432" s="1">
        <v>101</v>
      </c>
      <c r="D3432" s="1" t="str">
        <f>"انبار قطعات و لوازم يدكي اصفهان"</f>
        <v>انبار قطعات و لوازم يدكي اصفهان</v>
      </c>
      <c r="E3432" s="1" t="str">
        <f>"8901020302"</f>
        <v>8901020302</v>
      </c>
      <c r="F3432" s="1" t="str">
        <f>"سنسور 868  TFA"</f>
        <v>سنسور 868  TFA</v>
      </c>
      <c r="G3432" s="1" t="str">
        <f>"عدد"</f>
        <v>عدد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O3432" s="1">
        <v>97</v>
      </c>
      <c r="P3432" s="1">
        <f t="shared" si="159"/>
        <v>0</v>
      </c>
      <c r="Q3432" s="1">
        <f t="shared" si="160"/>
        <v>0</v>
      </c>
      <c r="R3432" s="1" t="e">
        <f t="shared" si="161"/>
        <v>#DIV/0!</v>
      </c>
    </row>
    <row r="3433" spans="1:18" hidden="1">
      <c r="A3433" s="1">
        <v>2</v>
      </c>
      <c r="B3433" s="1" t="str">
        <f>"قطعات و لوازم يدكي"</f>
        <v>قطعات و لوازم يدكي</v>
      </c>
      <c r="C3433" s="1">
        <v>101</v>
      </c>
      <c r="D3433" s="1" t="str">
        <f>"انبار قطعات و لوازم يدكي اصفهان"</f>
        <v>انبار قطعات و لوازم يدكي اصفهان</v>
      </c>
      <c r="E3433" s="1" t="str">
        <f>"9000000082"</f>
        <v>9000000082</v>
      </c>
      <c r="F3433" s="1" t="str">
        <f>"ارلن خلاء"</f>
        <v>ارلن خلاء</v>
      </c>
      <c r="G3433" s="1" t="str">
        <f>"عدد"</f>
        <v>عدد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O3433" s="1">
        <v>97</v>
      </c>
      <c r="P3433" s="1">
        <f t="shared" si="159"/>
        <v>0</v>
      </c>
      <c r="Q3433" s="1">
        <f t="shared" si="160"/>
        <v>0</v>
      </c>
      <c r="R3433" s="1" t="e">
        <f t="shared" si="161"/>
        <v>#DIV/0!</v>
      </c>
    </row>
    <row r="3434" spans="1:18" hidden="1">
      <c r="A3434" s="1">
        <v>2</v>
      </c>
      <c r="B3434" s="1" t="str">
        <f>"قطعات و لوازم يدكي"</f>
        <v>قطعات و لوازم يدكي</v>
      </c>
      <c r="C3434" s="1">
        <v>101</v>
      </c>
      <c r="D3434" s="1" t="str">
        <f>"انبار قطعات و لوازم يدكي اصفهان"</f>
        <v>انبار قطعات و لوازم يدكي اصفهان</v>
      </c>
      <c r="E3434" s="1" t="str">
        <f>"9500000112"</f>
        <v>9500000112</v>
      </c>
      <c r="F3434" s="1" t="str">
        <f>"لوله فولادي 8 رده 40"</f>
        <v>لوله فولادي 8 رده 40</v>
      </c>
      <c r="G3434" s="1" t="str">
        <f>"عدد"</f>
        <v>عدد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O3434" s="1">
        <v>97</v>
      </c>
      <c r="P3434" s="1">
        <f t="shared" si="159"/>
        <v>0</v>
      </c>
      <c r="Q3434" s="1">
        <f t="shared" si="160"/>
        <v>0</v>
      </c>
      <c r="R3434" s="1" t="e">
        <f t="shared" si="161"/>
        <v>#DIV/0!</v>
      </c>
    </row>
    <row r="3435" spans="1:18" hidden="1">
      <c r="A3435" s="1">
        <v>2</v>
      </c>
      <c r="B3435" s="1" t="str">
        <f>"قطعات و لوازم يدكي"</f>
        <v>قطعات و لوازم يدكي</v>
      </c>
      <c r="C3435" s="1">
        <v>101</v>
      </c>
      <c r="D3435" s="1" t="str">
        <f>"انبار قطعات و لوازم يدكي اصفهان"</f>
        <v>انبار قطعات و لوازم يدكي اصفهان</v>
      </c>
      <c r="E3435" s="1" t="str">
        <f>"9500000262"</f>
        <v>9500000262</v>
      </c>
      <c r="F3435" s="1" t="str">
        <f>"رديوس فلنج سيليپون 6*8 کلاس 150"</f>
        <v>رديوس فلنج سيليپون 6*8 کلاس 150</v>
      </c>
      <c r="G3435" s="1" t="str">
        <f>"عدد"</f>
        <v>عدد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O3435" s="1">
        <v>97</v>
      </c>
      <c r="P3435" s="1">
        <f t="shared" si="159"/>
        <v>0</v>
      </c>
      <c r="Q3435" s="1">
        <f t="shared" si="160"/>
        <v>0</v>
      </c>
      <c r="R3435" s="1" t="e">
        <f t="shared" si="161"/>
        <v>#DIV/0!</v>
      </c>
    </row>
    <row r="3436" spans="1:18">
      <c r="A3436" s="1">
        <v>2</v>
      </c>
      <c r="B3436" s="1" t="str">
        <f>"قطعات و لوازم يدكي"</f>
        <v>قطعات و لوازم يدكي</v>
      </c>
      <c r="C3436" s="1">
        <v>120</v>
      </c>
      <c r="D3436" s="1" t="str">
        <f>"انبار قطعات و لوازم يدكي بشکه سازي اصفهان"</f>
        <v>انبار قطعات و لوازم يدكي بشکه سازي اصفهان</v>
      </c>
      <c r="E3436" s="1" t="str">
        <f>"4111700011"</f>
        <v>4111700011</v>
      </c>
      <c r="F3436" s="1" t="str">
        <f>"پريز گلابي شکل"</f>
        <v>پريز گلابي شکل</v>
      </c>
      <c r="G3436" s="1" t="str">
        <f>"عدد"</f>
        <v>عدد</v>
      </c>
      <c r="H3436" s="1">
        <v>0</v>
      </c>
      <c r="I3436" s="1">
        <v>0</v>
      </c>
      <c r="J3436" s="1">
        <v>7</v>
      </c>
      <c r="K3436" s="1">
        <v>140000</v>
      </c>
      <c r="L3436" s="1">
        <v>0</v>
      </c>
      <c r="M3436" s="1">
        <v>0</v>
      </c>
      <c r="O3436" s="1">
        <v>97</v>
      </c>
      <c r="P3436" s="4">
        <f t="shared" si="159"/>
        <v>140000</v>
      </c>
      <c r="Q3436" s="4">
        <f t="shared" si="160"/>
        <v>7</v>
      </c>
      <c r="R3436" s="4">
        <f t="shared" si="161"/>
        <v>20000</v>
      </c>
    </row>
    <row r="3437" spans="1:18">
      <c r="A3437" s="1">
        <v>2</v>
      </c>
      <c r="B3437" s="1" t="str">
        <f>"قطعات و لوازم يدكي"</f>
        <v>قطعات و لوازم يدكي</v>
      </c>
      <c r="C3437" s="1">
        <v>120</v>
      </c>
      <c r="D3437" s="1" t="str">
        <f>"انبار قطعات و لوازم يدكي بشکه سازي اصفهان"</f>
        <v>انبار قطعات و لوازم يدكي بشکه سازي اصفهان</v>
      </c>
      <c r="E3437" s="1" t="str">
        <f>"4111700015"</f>
        <v>4111700015</v>
      </c>
      <c r="F3437" s="1" t="str">
        <f>"کليد مينياتوري 3 فاز 2 آمپر"</f>
        <v>کليد مينياتوري 3 فاز 2 آمپر</v>
      </c>
      <c r="G3437" s="1" t="str">
        <f>"عدد"</f>
        <v>عدد</v>
      </c>
      <c r="H3437" s="1">
        <v>0</v>
      </c>
      <c r="I3437" s="1">
        <v>0</v>
      </c>
      <c r="J3437" s="1">
        <v>4</v>
      </c>
      <c r="K3437" s="1">
        <v>80000</v>
      </c>
      <c r="L3437" s="1">
        <v>0</v>
      </c>
      <c r="M3437" s="1">
        <v>0</v>
      </c>
      <c r="O3437" s="1">
        <v>97</v>
      </c>
      <c r="P3437" s="4">
        <f t="shared" si="159"/>
        <v>80000</v>
      </c>
      <c r="Q3437" s="4">
        <f t="shared" si="160"/>
        <v>4</v>
      </c>
      <c r="R3437" s="4">
        <f t="shared" si="161"/>
        <v>20000</v>
      </c>
    </row>
    <row r="3438" spans="1:18">
      <c r="A3438" s="1">
        <v>2</v>
      </c>
      <c r="B3438" s="1" t="str">
        <f>"قطعات و لوازم يدكي"</f>
        <v>قطعات و لوازم يدكي</v>
      </c>
      <c r="C3438" s="1">
        <v>120</v>
      </c>
      <c r="D3438" s="1" t="str">
        <f>"انبار قطعات و لوازم يدكي بشکه سازي اصفهان"</f>
        <v>انبار قطعات و لوازم يدكي بشکه سازي اصفهان</v>
      </c>
      <c r="E3438" s="1" t="str">
        <f>"4111700016"</f>
        <v>4111700016</v>
      </c>
      <c r="F3438" s="1" t="str">
        <f>"ميکرو سوِئيچ"</f>
        <v>ميکرو سوِئيچ</v>
      </c>
      <c r="G3438" s="1" t="str">
        <f>"عدد"</f>
        <v>عدد</v>
      </c>
      <c r="H3438" s="1">
        <v>0</v>
      </c>
      <c r="I3438" s="1">
        <v>0</v>
      </c>
      <c r="J3438" s="1">
        <v>3</v>
      </c>
      <c r="K3438" s="1">
        <v>2400000</v>
      </c>
      <c r="L3438" s="1">
        <v>1</v>
      </c>
      <c r="M3438" s="1">
        <v>800000</v>
      </c>
      <c r="O3438" s="1">
        <v>97</v>
      </c>
      <c r="P3438" s="4">
        <f t="shared" si="159"/>
        <v>1600000</v>
      </c>
      <c r="Q3438" s="4">
        <f t="shared" si="160"/>
        <v>2</v>
      </c>
      <c r="R3438" s="4">
        <f t="shared" si="161"/>
        <v>800000</v>
      </c>
    </row>
    <row r="3439" spans="1:18">
      <c r="A3439" s="1">
        <v>2</v>
      </c>
      <c r="B3439" s="1" t="str">
        <f>"قطعات و لوازم يدكي"</f>
        <v>قطعات و لوازم يدكي</v>
      </c>
      <c r="C3439" s="1">
        <v>120</v>
      </c>
      <c r="D3439" s="1" t="str">
        <f>"انبار قطعات و لوازم يدكي بشکه سازي اصفهان"</f>
        <v>انبار قطعات و لوازم يدكي بشکه سازي اصفهان</v>
      </c>
      <c r="E3439" s="1" t="str">
        <f>"4111700017"</f>
        <v>4111700017</v>
      </c>
      <c r="F3439" s="1" t="str">
        <f>"جعبه استپ استارت 3 سوراخ"</f>
        <v>جعبه استپ استارت 3 سوراخ</v>
      </c>
      <c r="G3439" s="1" t="str">
        <f>"عدد"</f>
        <v>عدد</v>
      </c>
      <c r="H3439" s="1">
        <v>0</v>
      </c>
      <c r="I3439" s="1">
        <v>0</v>
      </c>
      <c r="J3439" s="1">
        <v>5</v>
      </c>
      <c r="K3439" s="1">
        <v>180000</v>
      </c>
      <c r="L3439" s="1">
        <v>2</v>
      </c>
      <c r="M3439" s="1">
        <v>20000</v>
      </c>
      <c r="O3439" s="1">
        <v>97</v>
      </c>
      <c r="P3439" s="4">
        <f t="shared" si="159"/>
        <v>160000</v>
      </c>
      <c r="Q3439" s="4">
        <f t="shared" si="160"/>
        <v>3</v>
      </c>
      <c r="R3439" s="4">
        <f t="shared" si="161"/>
        <v>53333.333333333336</v>
      </c>
    </row>
    <row r="3440" spans="1:18">
      <c r="A3440" s="1">
        <v>2</v>
      </c>
      <c r="B3440" s="1" t="str">
        <f>"قطعات و لوازم يدكي"</f>
        <v>قطعات و لوازم يدكي</v>
      </c>
      <c r="C3440" s="1">
        <v>120</v>
      </c>
      <c r="D3440" s="1" t="str">
        <f>"انبار قطعات و لوازم يدكي بشکه سازي اصفهان"</f>
        <v>انبار قطعات و لوازم يدكي بشکه سازي اصفهان</v>
      </c>
      <c r="E3440" s="1" t="str">
        <f>"4111700028"</f>
        <v>4111700028</v>
      </c>
      <c r="F3440" s="1" t="str">
        <f>"چراغ بزرگ تراکتور"</f>
        <v>چراغ بزرگ تراکتور</v>
      </c>
      <c r="G3440" s="1" t="str">
        <f>"عدد"</f>
        <v>عدد</v>
      </c>
      <c r="H3440" s="1">
        <v>0</v>
      </c>
      <c r="I3440" s="1">
        <v>0</v>
      </c>
      <c r="J3440" s="1">
        <v>1</v>
      </c>
      <c r="K3440" s="1">
        <v>300000</v>
      </c>
      <c r="L3440" s="1">
        <v>0</v>
      </c>
      <c r="M3440" s="1">
        <v>0</v>
      </c>
      <c r="O3440" s="1">
        <v>97</v>
      </c>
      <c r="P3440" s="4">
        <f t="shared" si="159"/>
        <v>300000</v>
      </c>
      <c r="Q3440" s="4">
        <f t="shared" si="160"/>
        <v>1</v>
      </c>
      <c r="R3440" s="4">
        <f t="shared" si="161"/>
        <v>300000</v>
      </c>
    </row>
    <row r="3441" spans="1:18">
      <c r="A3441" s="1">
        <v>2</v>
      </c>
      <c r="B3441" s="1" t="str">
        <f>"قطعات و لوازم يدكي"</f>
        <v>قطعات و لوازم يدكي</v>
      </c>
      <c r="C3441" s="1">
        <v>120</v>
      </c>
      <c r="D3441" s="1" t="str">
        <f>"انبار قطعات و لوازم يدكي بشکه سازي اصفهان"</f>
        <v>انبار قطعات و لوازم يدكي بشکه سازي اصفهان</v>
      </c>
      <c r="E3441" s="1" t="str">
        <f>"4111700042"</f>
        <v>4111700042</v>
      </c>
      <c r="F3441" s="1" t="str">
        <f>"رله و پايه 11 تيغه"</f>
        <v>رله و پايه 11 تيغه</v>
      </c>
      <c r="G3441" s="1" t="str">
        <f>"عدد"</f>
        <v>عدد</v>
      </c>
      <c r="H3441" s="1">
        <v>0</v>
      </c>
      <c r="I3441" s="1">
        <v>0</v>
      </c>
      <c r="J3441" s="1">
        <v>1</v>
      </c>
      <c r="K3441" s="1">
        <v>380000</v>
      </c>
      <c r="L3441" s="1">
        <v>0</v>
      </c>
      <c r="M3441" s="1">
        <v>0</v>
      </c>
      <c r="O3441" s="1">
        <v>97</v>
      </c>
      <c r="P3441" s="4">
        <f t="shared" si="159"/>
        <v>380000</v>
      </c>
      <c r="Q3441" s="4">
        <f t="shared" si="160"/>
        <v>1</v>
      </c>
      <c r="R3441" s="4">
        <f t="shared" si="161"/>
        <v>380000</v>
      </c>
    </row>
    <row r="3442" spans="1:18">
      <c r="A3442" s="1">
        <v>2</v>
      </c>
      <c r="B3442" s="1" t="str">
        <f>"قطعات و لوازم يدكي"</f>
        <v>قطعات و لوازم يدكي</v>
      </c>
      <c r="C3442" s="1">
        <v>120</v>
      </c>
      <c r="D3442" s="1" t="str">
        <f>"انبار قطعات و لوازم يدكي بشکه سازي اصفهان"</f>
        <v>انبار قطعات و لوازم يدكي بشکه سازي اصفهان</v>
      </c>
      <c r="E3442" s="1" t="str">
        <f>"4111700051"</f>
        <v>4111700051</v>
      </c>
      <c r="F3442" s="1" t="str">
        <f>"خازن الکترو پمپ 20 امپر"</f>
        <v>خازن الکترو پمپ 20 امپر</v>
      </c>
      <c r="G3442" s="1" t="str">
        <f>"عدد"</f>
        <v>عدد</v>
      </c>
      <c r="H3442" s="1">
        <v>0</v>
      </c>
      <c r="I3442" s="1">
        <v>0</v>
      </c>
      <c r="J3442" s="1">
        <v>5</v>
      </c>
      <c r="K3442" s="1">
        <v>500000</v>
      </c>
      <c r="L3442" s="1">
        <v>0</v>
      </c>
      <c r="M3442" s="1">
        <v>0</v>
      </c>
      <c r="O3442" s="1">
        <v>97</v>
      </c>
      <c r="P3442" s="4">
        <f t="shared" si="159"/>
        <v>500000</v>
      </c>
      <c r="Q3442" s="4">
        <f t="shared" si="160"/>
        <v>5</v>
      </c>
      <c r="R3442" s="4">
        <f t="shared" si="161"/>
        <v>100000</v>
      </c>
    </row>
    <row r="3443" spans="1:18">
      <c r="A3443" s="1">
        <v>2</v>
      </c>
      <c r="B3443" s="1" t="str">
        <f>"قطعات و لوازم يدكي"</f>
        <v>قطعات و لوازم يدكي</v>
      </c>
      <c r="C3443" s="1">
        <v>120</v>
      </c>
      <c r="D3443" s="1" t="str">
        <f>"انبار قطعات و لوازم يدكي بشکه سازي اصفهان"</f>
        <v>انبار قطعات و لوازم يدكي بشکه سازي اصفهان</v>
      </c>
      <c r="E3443" s="1" t="str">
        <f>"4111700060"</f>
        <v>4111700060</v>
      </c>
      <c r="F3443" s="1" t="str">
        <f>"کليد استپ استارت  2 پل"</f>
        <v>کليد استپ استارت  2 پل</v>
      </c>
      <c r="G3443" s="1" t="str">
        <f>"عدد"</f>
        <v>عدد</v>
      </c>
      <c r="H3443" s="1">
        <v>0</v>
      </c>
      <c r="I3443" s="1">
        <v>0</v>
      </c>
      <c r="J3443" s="1">
        <v>6</v>
      </c>
      <c r="K3443" s="1">
        <v>300000</v>
      </c>
      <c r="L3443" s="1">
        <v>0</v>
      </c>
      <c r="M3443" s="1">
        <v>0</v>
      </c>
      <c r="O3443" s="1">
        <v>97</v>
      </c>
      <c r="P3443" s="4">
        <f t="shared" si="159"/>
        <v>300000</v>
      </c>
      <c r="Q3443" s="4">
        <f t="shared" si="160"/>
        <v>6</v>
      </c>
      <c r="R3443" s="4">
        <f t="shared" si="161"/>
        <v>50000</v>
      </c>
    </row>
    <row r="3444" spans="1:18">
      <c r="A3444" s="1">
        <v>2</v>
      </c>
      <c r="B3444" s="1" t="str">
        <f>"قطعات و لوازم يدكي"</f>
        <v>قطعات و لوازم يدكي</v>
      </c>
      <c r="C3444" s="1">
        <v>120</v>
      </c>
      <c r="D3444" s="1" t="str">
        <f>"انبار قطعات و لوازم يدكي بشکه سازي اصفهان"</f>
        <v>انبار قطعات و لوازم يدكي بشکه سازي اصفهان</v>
      </c>
      <c r="E3444" s="1" t="str">
        <f>"4111700077"</f>
        <v>4111700077</v>
      </c>
      <c r="F3444" s="1" t="str">
        <f>"کابل 4* 2/5"</f>
        <v>کابل 4* 2/5</v>
      </c>
      <c r="G3444" s="1" t="str">
        <f>"متر"</f>
        <v>متر</v>
      </c>
      <c r="H3444" s="1">
        <v>0</v>
      </c>
      <c r="I3444" s="1">
        <v>0</v>
      </c>
      <c r="J3444" s="1">
        <v>17</v>
      </c>
      <c r="K3444" s="1">
        <v>4556000</v>
      </c>
      <c r="L3444" s="1">
        <v>0</v>
      </c>
      <c r="M3444" s="1">
        <v>0</v>
      </c>
      <c r="O3444" s="1">
        <v>97</v>
      </c>
      <c r="P3444" s="4">
        <f t="shared" si="159"/>
        <v>4556000</v>
      </c>
      <c r="Q3444" s="4">
        <f t="shared" si="160"/>
        <v>17</v>
      </c>
      <c r="R3444" s="4">
        <f t="shared" si="161"/>
        <v>268000</v>
      </c>
    </row>
    <row r="3445" spans="1:18">
      <c r="A3445" s="1">
        <v>2</v>
      </c>
      <c r="B3445" s="1" t="str">
        <f>"قطعات و لوازم يدكي"</f>
        <v>قطعات و لوازم يدكي</v>
      </c>
      <c r="C3445" s="1">
        <v>120</v>
      </c>
      <c r="D3445" s="1" t="str">
        <f>"انبار قطعات و لوازم يدكي بشکه سازي اصفهان"</f>
        <v>انبار قطعات و لوازم يدكي بشکه سازي اصفهان</v>
      </c>
      <c r="E3445" s="1" t="str">
        <f>"4111700088"</f>
        <v>4111700088</v>
      </c>
      <c r="F3445" s="1" t="str">
        <f>"دوراهي کاندوويک 1/2"</f>
        <v>دوراهي کاندوويک 1/2</v>
      </c>
      <c r="G3445" s="1" t="str">
        <f>"عدد"</f>
        <v>عدد</v>
      </c>
      <c r="H3445" s="1">
        <v>0</v>
      </c>
      <c r="I3445" s="1">
        <v>0</v>
      </c>
      <c r="J3445" s="1">
        <v>13</v>
      </c>
      <c r="K3445" s="1">
        <v>1300000</v>
      </c>
      <c r="L3445" s="1">
        <v>0</v>
      </c>
      <c r="M3445" s="1">
        <v>0</v>
      </c>
      <c r="O3445" s="1">
        <v>97</v>
      </c>
      <c r="P3445" s="4">
        <f t="shared" si="159"/>
        <v>1300000</v>
      </c>
      <c r="Q3445" s="4">
        <f t="shared" si="160"/>
        <v>13</v>
      </c>
      <c r="R3445" s="4">
        <f t="shared" si="161"/>
        <v>100000</v>
      </c>
    </row>
    <row r="3446" spans="1:18">
      <c r="A3446" s="1">
        <v>2</v>
      </c>
      <c r="B3446" s="1" t="str">
        <f>"قطعات و لوازم يدكي"</f>
        <v>قطعات و لوازم يدكي</v>
      </c>
      <c r="C3446" s="1">
        <v>120</v>
      </c>
      <c r="D3446" s="1" t="str">
        <f>"انبار قطعات و لوازم يدكي بشکه سازي اصفهان"</f>
        <v>انبار قطعات و لوازم يدكي بشکه سازي اصفهان</v>
      </c>
      <c r="E3446" s="1" t="str">
        <f>"4111700092"</f>
        <v>4111700092</v>
      </c>
      <c r="F3446" s="1" t="str">
        <f>"شير برقي دو سر بوبين"</f>
        <v>شير برقي دو سر بوبين</v>
      </c>
      <c r="G3446" s="1" t="str">
        <f>"عدد"</f>
        <v>عدد</v>
      </c>
      <c r="H3446" s="1">
        <v>0</v>
      </c>
      <c r="I3446" s="1">
        <v>0</v>
      </c>
      <c r="J3446" s="1">
        <v>2</v>
      </c>
      <c r="K3446" s="1">
        <v>4800000</v>
      </c>
      <c r="L3446" s="1">
        <v>0</v>
      </c>
      <c r="M3446" s="1">
        <v>0</v>
      </c>
      <c r="O3446" s="1">
        <v>97</v>
      </c>
      <c r="P3446" s="4">
        <f t="shared" si="159"/>
        <v>4800000</v>
      </c>
      <c r="Q3446" s="4">
        <f t="shared" si="160"/>
        <v>2</v>
      </c>
      <c r="R3446" s="4">
        <f t="shared" si="161"/>
        <v>2400000</v>
      </c>
    </row>
    <row r="3447" spans="1:18">
      <c r="A3447" s="1">
        <v>2</v>
      </c>
      <c r="B3447" s="1" t="str">
        <f>"قطعات و لوازم يدكي"</f>
        <v>قطعات و لوازم يدكي</v>
      </c>
      <c r="C3447" s="1">
        <v>120</v>
      </c>
      <c r="D3447" s="1" t="str">
        <f>"انبار قطعات و لوازم يدكي بشکه سازي اصفهان"</f>
        <v>انبار قطعات و لوازم يدكي بشکه سازي اصفهان</v>
      </c>
      <c r="E3447" s="1" t="str">
        <f>"4111700093"</f>
        <v>4111700093</v>
      </c>
      <c r="F3447" s="1" t="str">
        <f>"کنترل 4 تايي"</f>
        <v>کنترل 4 تايي</v>
      </c>
      <c r="G3447" s="1" t="str">
        <f>"عدد"</f>
        <v>عدد</v>
      </c>
      <c r="H3447" s="1">
        <v>0</v>
      </c>
      <c r="I3447" s="1">
        <v>0</v>
      </c>
      <c r="J3447" s="1">
        <v>2</v>
      </c>
      <c r="K3447" s="1">
        <v>360000</v>
      </c>
      <c r="L3447" s="1">
        <v>1</v>
      </c>
      <c r="M3447" s="1">
        <v>180000</v>
      </c>
      <c r="O3447" s="1">
        <v>97</v>
      </c>
      <c r="P3447" s="4">
        <f t="shared" si="159"/>
        <v>180000</v>
      </c>
      <c r="Q3447" s="4">
        <f t="shared" si="160"/>
        <v>1</v>
      </c>
      <c r="R3447" s="4">
        <f t="shared" si="161"/>
        <v>180000</v>
      </c>
    </row>
    <row r="3448" spans="1:18">
      <c r="A3448" s="1">
        <v>2</v>
      </c>
      <c r="B3448" s="1" t="str">
        <f>"قطعات و لوازم يدكي"</f>
        <v>قطعات و لوازم يدكي</v>
      </c>
      <c r="C3448" s="1">
        <v>120</v>
      </c>
      <c r="D3448" s="1" t="str">
        <f>"انبار قطعات و لوازم يدكي بشکه سازي اصفهان"</f>
        <v>انبار قطعات و لوازم يدكي بشکه سازي اصفهان</v>
      </c>
      <c r="E3448" s="1" t="str">
        <f>"4111700123"</f>
        <v>4111700123</v>
      </c>
      <c r="F3448" s="1" t="str">
        <f>"لامپ قلمي 500 وات"</f>
        <v>لامپ قلمي 500 وات</v>
      </c>
      <c r="G3448" s="1" t="str">
        <f>"عدد"</f>
        <v>عدد</v>
      </c>
      <c r="H3448" s="1">
        <v>0</v>
      </c>
      <c r="I3448" s="1">
        <v>0</v>
      </c>
      <c r="J3448" s="1">
        <v>1</v>
      </c>
      <c r="K3448" s="1">
        <v>50000</v>
      </c>
      <c r="L3448" s="1">
        <v>0</v>
      </c>
      <c r="M3448" s="1">
        <v>0</v>
      </c>
      <c r="O3448" s="1">
        <v>97</v>
      </c>
      <c r="P3448" s="4">
        <f t="shared" si="159"/>
        <v>50000</v>
      </c>
      <c r="Q3448" s="4">
        <f t="shared" si="160"/>
        <v>1</v>
      </c>
      <c r="R3448" s="4">
        <f t="shared" si="161"/>
        <v>50000</v>
      </c>
    </row>
    <row r="3449" spans="1:18">
      <c r="A3449" s="1">
        <v>2</v>
      </c>
      <c r="B3449" s="1" t="str">
        <f>"قطعات و لوازم يدكي"</f>
        <v>قطعات و لوازم يدكي</v>
      </c>
      <c r="C3449" s="1">
        <v>120</v>
      </c>
      <c r="D3449" s="1" t="str">
        <f>"انبار قطعات و لوازم يدكي بشکه سازي اصفهان"</f>
        <v>انبار قطعات و لوازم يدكي بشکه سازي اصفهان</v>
      </c>
      <c r="E3449" s="1" t="str">
        <f>"4211700010"</f>
        <v>4211700010</v>
      </c>
      <c r="F3449" s="1" t="str">
        <f>"فيلتر گازوئيل تراکتور فر گوسن"</f>
        <v>فيلتر گازوئيل تراکتور فر گوسن</v>
      </c>
      <c r="G3449" s="1" t="str">
        <f>"عدد"</f>
        <v>عدد</v>
      </c>
      <c r="H3449" s="1">
        <v>0</v>
      </c>
      <c r="I3449" s="1">
        <v>0</v>
      </c>
      <c r="J3449" s="1">
        <v>6</v>
      </c>
      <c r="K3449" s="1">
        <v>2910000</v>
      </c>
      <c r="L3449" s="1">
        <v>0</v>
      </c>
      <c r="M3449" s="1">
        <v>0</v>
      </c>
      <c r="O3449" s="1">
        <v>97</v>
      </c>
      <c r="P3449" s="4">
        <f t="shared" si="159"/>
        <v>2910000</v>
      </c>
      <c r="Q3449" s="4">
        <f t="shared" si="160"/>
        <v>6</v>
      </c>
      <c r="R3449" s="4">
        <f t="shared" si="161"/>
        <v>485000</v>
      </c>
    </row>
    <row r="3450" spans="1:18">
      <c r="A3450" s="1">
        <v>2</v>
      </c>
      <c r="B3450" s="1" t="str">
        <f>"قطعات و لوازم يدكي"</f>
        <v>قطعات و لوازم يدكي</v>
      </c>
      <c r="C3450" s="1">
        <v>120</v>
      </c>
      <c r="D3450" s="1" t="str">
        <f>"انبار قطعات و لوازم يدكي بشکه سازي اصفهان"</f>
        <v>انبار قطعات و لوازم يدكي بشکه سازي اصفهان</v>
      </c>
      <c r="E3450" s="1" t="str">
        <f>"4211700012"</f>
        <v>4211700012</v>
      </c>
      <c r="F3450" s="1" t="str">
        <f>"تيوپ تراکتور 600-650-16"</f>
        <v>تيوپ تراکتور 600-650-16</v>
      </c>
      <c r="G3450" s="1" t="str">
        <f>"عدد"</f>
        <v>عدد</v>
      </c>
      <c r="H3450" s="1">
        <v>0</v>
      </c>
      <c r="I3450" s="1">
        <v>0</v>
      </c>
      <c r="J3450" s="1">
        <v>2</v>
      </c>
      <c r="K3450" s="1">
        <v>1000000</v>
      </c>
      <c r="L3450" s="1">
        <v>0</v>
      </c>
      <c r="M3450" s="1">
        <v>0</v>
      </c>
      <c r="O3450" s="1">
        <v>97</v>
      </c>
      <c r="P3450" s="4">
        <f t="shared" si="159"/>
        <v>1000000</v>
      </c>
      <c r="Q3450" s="4">
        <f t="shared" si="160"/>
        <v>2</v>
      </c>
      <c r="R3450" s="4">
        <f t="shared" si="161"/>
        <v>500000</v>
      </c>
    </row>
    <row r="3451" spans="1:18">
      <c r="A3451" s="1">
        <v>2</v>
      </c>
      <c r="B3451" s="1" t="str">
        <f>"قطعات و لوازم يدكي"</f>
        <v>قطعات و لوازم يدكي</v>
      </c>
      <c r="C3451" s="1">
        <v>120</v>
      </c>
      <c r="D3451" s="1" t="str">
        <f>"انبار قطعات و لوازم يدكي بشکه سازي اصفهان"</f>
        <v>انبار قطعات و لوازم يدكي بشکه سازي اصفهان</v>
      </c>
      <c r="E3451" s="1" t="str">
        <f>"4211700041"</f>
        <v>4211700041</v>
      </c>
      <c r="F3451" s="1" t="str">
        <f>"غلطک لبه زن"</f>
        <v>غلطک لبه زن</v>
      </c>
      <c r="G3451" s="1" t="str">
        <f>"عدد"</f>
        <v>عدد</v>
      </c>
      <c r="H3451" s="1">
        <v>0</v>
      </c>
      <c r="I3451" s="1">
        <v>0</v>
      </c>
      <c r="J3451" s="1">
        <v>4</v>
      </c>
      <c r="K3451" s="1">
        <v>12000000</v>
      </c>
      <c r="L3451" s="1">
        <v>0</v>
      </c>
      <c r="M3451" s="1">
        <v>0</v>
      </c>
      <c r="O3451" s="1">
        <v>97</v>
      </c>
      <c r="P3451" s="4">
        <f t="shared" si="159"/>
        <v>12000000</v>
      </c>
      <c r="Q3451" s="4">
        <f t="shared" si="160"/>
        <v>4</v>
      </c>
      <c r="R3451" s="4">
        <f t="shared" si="161"/>
        <v>3000000</v>
      </c>
    </row>
    <row r="3452" spans="1:18">
      <c r="A3452" s="1">
        <v>2</v>
      </c>
      <c r="B3452" s="1" t="str">
        <f>"قطعات و لوازم يدكي"</f>
        <v>قطعات و لوازم يدكي</v>
      </c>
      <c r="C3452" s="1">
        <v>120</v>
      </c>
      <c r="D3452" s="1" t="str">
        <f>"انبار قطعات و لوازم يدكي بشکه سازي اصفهان"</f>
        <v>انبار قطعات و لوازم يدكي بشکه سازي اصفهان</v>
      </c>
      <c r="E3452" s="1" t="str">
        <f>"4211700060"</f>
        <v>4211700060</v>
      </c>
      <c r="F3452" s="1" t="str">
        <f>"بلبيرينگ 6008"</f>
        <v>بلبيرينگ 6008</v>
      </c>
      <c r="G3452" s="1" t="str">
        <f>"عدد"</f>
        <v>عدد</v>
      </c>
      <c r="H3452" s="1">
        <v>0</v>
      </c>
      <c r="I3452" s="1">
        <v>0</v>
      </c>
      <c r="J3452" s="1">
        <v>2</v>
      </c>
      <c r="K3452" s="1">
        <v>400000</v>
      </c>
      <c r="L3452" s="1">
        <v>0</v>
      </c>
      <c r="M3452" s="1">
        <v>0</v>
      </c>
      <c r="O3452" s="1">
        <v>97</v>
      </c>
      <c r="P3452" s="4">
        <f t="shared" si="159"/>
        <v>400000</v>
      </c>
      <c r="Q3452" s="4">
        <f t="shared" si="160"/>
        <v>2</v>
      </c>
      <c r="R3452" s="4">
        <f t="shared" si="161"/>
        <v>200000</v>
      </c>
    </row>
    <row r="3453" spans="1:18">
      <c r="A3453" s="1">
        <v>2</v>
      </c>
      <c r="B3453" s="1" t="str">
        <f>"قطعات و لوازم يدكي"</f>
        <v>قطعات و لوازم يدكي</v>
      </c>
      <c r="C3453" s="1">
        <v>120</v>
      </c>
      <c r="D3453" s="1" t="str">
        <f>"انبار قطعات و لوازم يدكي بشکه سازي اصفهان"</f>
        <v>انبار قطعات و لوازم يدكي بشکه سازي اصفهان</v>
      </c>
      <c r="E3453" s="1" t="str">
        <f>"4211700069"</f>
        <v>4211700069</v>
      </c>
      <c r="F3453" s="1" t="str">
        <f>"بلبرينگ 11910 (11002)"</f>
        <v>بلبرينگ 11910 (11002)</v>
      </c>
      <c r="G3453" s="1" t="str">
        <f>"عدد"</f>
        <v>عدد</v>
      </c>
      <c r="H3453" s="1">
        <v>0</v>
      </c>
      <c r="I3453" s="1">
        <v>0</v>
      </c>
      <c r="J3453" s="1">
        <v>1</v>
      </c>
      <c r="K3453" s="1">
        <v>200000</v>
      </c>
      <c r="L3453" s="1">
        <v>0</v>
      </c>
      <c r="M3453" s="1">
        <v>0</v>
      </c>
      <c r="O3453" s="1">
        <v>97</v>
      </c>
      <c r="P3453" s="4">
        <f t="shared" si="159"/>
        <v>200000</v>
      </c>
      <c r="Q3453" s="4">
        <f t="shared" si="160"/>
        <v>1</v>
      </c>
      <c r="R3453" s="4">
        <f t="shared" si="161"/>
        <v>200000</v>
      </c>
    </row>
    <row r="3454" spans="1:18" hidden="1">
      <c r="A3454" s="1">
        <v>2</v>
      </c>
      <c r="B3454" s="1" t="str">
        <f>"قطعات و لوازم يدكي"</f>
        <v>قطعات و لوازم يدكي</v>
      </c>
      <c r="C3454" s="1">
        <v>120</v>
      </c>
      <c r="D3454" s="1" t="str">
        <f>"انبار قطعات و لوازم يدكي بشکه سازي اصفهان"</f>
        <v>انبار قطعات و لوازم يدكي بشکه سازي اصفهان</v>
      </c>
      <c r="E3454" s="1" t="str">
        <f>"4211700090"</f>
        <v>4211700090</v>
      </c>
      <c r="F3454" s="1" t="str">
        <f>"اسپري رنگ بدنه ليفتراک"</f>
        <v>اسپري رنگ بدنه ليفتراک</v>
      </c>
      <c r="G3454" s="1" t="str">
        <f>"عدد"</f>
        <v>عدد</v>
      </c>
      <c r="H3454" s="1">
        <v>0</v>
      </c>
      <c r="I3454" s="1">
        <v>0</v>
      </c>
      <c r="J3454" s="1">
        <v>2</v>
      </c>
      <c r="K3454" s="1">
        <v>100000</v>
      </c>
      <c r="L3454" s="1">
        <v>2</v>
      </c>
      <c r="M3454" s="1">
        <v>100000</v>
      </c>
      <c r="O3454" s="1">
        <v>97</v>
      </c>
      <c r="P3454" s="1">
        <f t="shared" si="159"/>
        <v>0</v>
      </c>
      <c r="Q3454" s="1">
        <f t="shared" si="160"/>
        <v>0</v>
      </c>
      <c r="R3454" s="1" t="e">
        <f t="shared" si="161"/>
        <v>#DIV/0!</v>
      </c>
    </row>
    <row r="3455" spans="1:18">
      <c r="A3455" s="1">
        <v>2</v>
      </c>
      <c r="B3455" s="1" t="str">
        <f>"قطعات و لوازم يدكي"</f>
        <v>قطعات و لوازم يدكي</v>
      </c>
      <c r="C3455" s="1">
        <v>120</v>
      </c>
      <c r="D3455" s="1" t="str">
        <f>"انبار قطعات و لوازم يدكي بشکه سازي اصفهان"</f>
        <v>انبار قطعات و لوازم يدكي بشکه سازي اصفهان</v>
      </c>
      <c r="E3455" s="1" t="str">
        <f>"4211700098"</f>
        <v>4211700098</v>
      </c>
      <c r="F3455" s="1" t="str">
        <f>"شافت و غلطک لبه زن کامل"</f>
        <v>شافت و غلطک لبه زن کامل</v>
      </c>
      <c r="G3455" s="1" t="str">
        <f>"عدد"</f>
        <v>عدد</v>
      </c>
      <c r="H3455" s="1">
        <v>0</v>
      </c>
      <c r="I3455" s="1">
        <v>0</v>
      </c>
      <c r="J3455" s="1">
        <v>2</v>
      </c>
      <c r="K3455" s="1">
        <v>12000000</v>
      </c>
      <c r="L3455" s="1">
        <v>0</v>
      </c>
      <c r="M3455" s="1">
        <v>0</v>
      </c>
      <c r="O3455" s="1">
        <v>97</v>
      </c>
      <c r="P3455" s="4">
        <f t="shared" si="159"/>
        <v>12000000</v>
      </c>
      <c r="Q3455" s="4">
        <f t="shared" si="160"/>
        <v>2</v>
      </c>
      <c r="R3455" s="4">
        <f t="shared" si="161"/>
        <v>6000000</v>
      </c>
    </row>
    <row r="3456" spans="1:18">
      <c r="A3456" s="1">
        <v>2</v>
      </c>
      <c r="B3456" s="1" t="str">
        <f>"قطعات و لوازم يدكي"</f>
        <v>قطعات و لوازم يدكي</v>
      </c>
      <c r="C3456" s="1">
        <v>120</v>
      </c>
      <c r="D3456" s="1" t="str">
        <f>"انبار قطعات و لوازم يدكي بشکه سازي اصفهان"</f>
        <v>انبار قطعات و لوازم يدكي بشکه سازي اصفهان</v>
      </c>
      <c r="E3456" s="1" t="str">
        <f>"4211700099"</f>
        <v>4211700099</v>
      </c>
      <c r="F3456" s="1" t="str">
        <f>"پيچ متري (در چند سايز)"</f>
        <v>پيچ متري (در چند سايز)</v>
      </c>
      <c r="G3456" s="1" t="str">
        <f>"عدد"</f>
        <v>عدد</v>
      </c>
      <c r="H3456" s="1">
        <v>0</v>
      </c>
      <c r="I3456" s="1">
        <v>0</v>
      </c>
      <c r="J3456" s="1">
        <v>37</v>
      </c>
      <c r="K3456" s="1">
        <v>1110000</v>
      </c>
      <c r="L3456" s="1">
        <v>1</v>
      </c>
      <c r="M3456" s="1">
        <v>30000</v>
      </c>
      <c r="O3456" s="1">
        <v>97</v>
      </c>
      <c r="P3456" s="4">
        <f t="shared" si="159"/>
        <v>1080000</v>
      </c>
      <c r="Q3456" s="4">
        <f t="shared" si="160"/>
        <v>36</v>
      </c>
      <c r="R3456" s="4">
        <f t="shared" si="161"/>
        <v>30000</v>
      </c>
    </row>
    <row r="3457" spans="1:18">
      <c r="A3457" s="1">
        <v>2</v>
      </c>
      <c r="B3457" s="1" t="str">
        <f>"قطعات و لوازم يدكي"</f>
        <v>قطعات و لوازم يدكي</v>
      </c>
      <c r="C3457" s="1">
        <v>120</v>
      </c>
      <c r="D3457" s="1" t="str">
        <f>"انبار قطعات و لوازم يدكي بشکه سازي اصفهان"</f>
        <v>انبار قطعات و لوازم يدكي بشکه سازي اصفهان</v>
      </c>
      <c r="E3457" s="1" t="str">
        <f>"4211700102"</f>
        <v>4211700102</v>
      </c>
      <c r="F3457" s="1" t="str">
        <f>"سري فر"</f>
        <v>سري فر</v>
      </c>
      <c r="G3457" s="1" t="str">
        <f>"عدد"</f>
        <v>عدد</v>
      </c>
      <c r="H3457" s="1">
        <v>0</v>
      </c>
      <c r="I3457" s="1">
        <v>0</v>
      </c>
      <c r="J3457" s="1">
        <v>44</v>
      </c>
      <c r="K3457" s="1">
        <v>7920000</v>
      </c>
      <c r="L3457" s="1">
        <v>10</v>
      </c>
      <c r="M3457" s="1">
        <v>1800000</v>
      </c>
      <c r="O3457" s="1">
        <v>97</v>
      </c>
      <c r="P3457" s="4">
        <f t="shared" si="159"/>
        <v>6120000</v>
      </c>
      <c r="Q3457" s="4">
        <f t="shared" si="160"/>
        <v>34</v>
      </c>
      <c r="R3457" s="4">
        <f t="shared" si="161"/>
        <v>180000</v>
      </c>
    </row>
    <row r="3458" spans="1:18">
      <c r="A3458" s="1">
        <v>2</v>
      </c>
      <c r="B3458" s="1" t="str">
        <f>"قطعات و لوازم يدكي"</f>
        <v>قطعات و لوازم يدكي</v>
      </c>
      <c r="C3458" s="1">
        <v>120</v>
      </c>
      <c r="D3458" s="1" t="str">
        <f>"انبار قطعات و لوازم يدكي بشکه سازي اصفهان"</f>
        <v>انبار قطعات و لوازم يدكي بشکه سازي اصفهان</v>
      </c>
      <c r="E3458" s="1" t="str">
        <f>"4211700103"</f>
        <v>4211700103</v>
      </c>
      <c r="F3458" s="1" t="str">
        <f>"چرخ فلزي ثابت"</f>
        <v>چرخ فلزي ثابت</v>
      </c>
      <c r="G3458" s="1" t="str">
        <f>"عدد"</f>
        <v>عدد</v>
      </c>
      <c r="H3458" s="1">
        <v>0</v>
      </c>
      <c r="I3458" s="1">
        <v>0</v>
      </c>
      <c r="J3458" s="1">
        <v>1</v>
      </c>
      <c r="K3458" s="1">
        <v>385000</v>
      </c>
      <c r="L3458" s="1">
        <v>0</v>
      </c>
      <c r="M3458" s="1">
        <v>0</v>
      </c>
      <c r="O3458" s="1">
        <v>97</v>
      </c>
      <c r="P3458" s="4">
        <f t="shared" si="159"/>
        <v>385000</v>
      </c>
      <c r="Q3458" s="4">
        <f t="shared" si="160"/>
        <v>1</v>
      </c>
      <c r="R3458" s="4">
        <f t="shared" si="161"/>
        <v>385000</v>
      </c>
    </row>
    <row r="3459" spans="1:18">
      <c r="A3459" s="1">
        <v>2</v>
      </c>
      <c r="B3459" s="1" t="str">
        <f>"قطعات و لوازم يدكي"</f>
        <v>قطعات و لوازم يدكي</v>
      </c>
      <c r="C3459" s="1">
        <v>120</v>
      </c>
      <c r="D3459" s="1" t="str">
        <f>"انبار قطعات و لوازم يدكي بشکه سازي اصفهان"</f>
        <v>انبار قطعات و لوازم يدكي بشکه سازي اصفهان</v>
      </c>
      <c r="E3459" s="1" t="str">
        <f>"4211700110"</f>
        <v>4211700110</v>
      </c>
      <c r="F3459" s="1" t="str">
        <f>"سيلندر جک 100*125"</f>
        <v>سيلندر جک 100*125</v>
      </c>
      <c r="G3459" s="1" t="str">
        <f>"عدد"</f>
        <v>عدد</v>
      </c>
      <c r="H3459" s="1">
        <v>0</v>
      </c>
      <c r="I3459" s="1">
        <v>0</v>
      </c>
      <c r="J3459" s="1">
        <v>2</v>
      </c>
      <c r="K3459" s="1">
        <v>2000000</v>
      </c>
      <c r="L3459" s="1">
        <v>0</v>
      </c>
      <c r="M3459" s="1">
        <v>0</v>
      </c>
      <c r="O3459" s="1">
        <v>97</v>
      </c>
      <c r="P3459" s="4">
        <f t="shared" ref="P3459:P3522" si="162">I3459+K3459-M3459</f>
        <v>2000000</v>
      </c>
      <c r="Q3459" s="4">
        <f t="shared" ref="Q3459:Q3522" si="163">H3459+J3459-L3459</f>
        <v>2</v>
      </c>
      <c r="R3459" s="4">
        <f t="shared" ref="R3459:R3522" si="164">P3459/Q3459</f>
        <v>1000000</v>
      </c>
    </row>
    <row r="3460" spans="1:18">
      <c r="A3460" s="1">
        <v>2</v>
      </c>
      <c r="B3460" s="1" t="str">
        <f>"قطعات و لوازم يدكي"</f>
        <v>قطعات و لوازم يدكي</v>
      </c>
      <c r="C3460" s="1">
        <v>120</v>
      </c>
      <c r="D3460" s="1" t="str">
        <f>"انبار قطعات و لوازم يدكي بشکه سازي اصفهان"</f>
        <v>انبار قطعات و لوازم يدكي بشکه سازي اصفهان</v>
      </c>
      <c r="E3460" s="1" t="str">
        <f>"4211700117"</f>
        <v>4211700117</v>
      </c>
      <c r="F3460" s="1" t="str">
        <f>"کاسه نمدکلاچ پرس 160 تن"</f>
        <v>کاسه نمدکلاچ پرس 160 تن</v>
      </c>
      <c r="G3460" s="1" t="str">
        <f>"عدد"</f>
        <v>عدد</v>
      </c>
      <c r="H3460" s="1">
        <v>0</v>
      </c>
      <c r="I3460" s="1">
        <v>0</v>
      </c>
      <c r="J3460" s="1">
        <v>1</v>
      </c>
      <c r="K3460" s="1">
        <v>1000000</v>
      </c>
      <c r="L3460" s="1">
        <v>0</v>
      </c>
      <c r="M3460" s="1">
        <v>0</v>
      </c>
      <c r="O3460" s="1">
        <v>97</v>
      </c>
      <c r="P3460" s="4">
        <f t="shared" si="162"/>
        <v>1000000</v>
      </c>
      <c r="Q3460" s="4">
        <f t="shared" si="163"/>
        <v>1</v>
      </c>
      <c r="R3460" s="4">
        <f t="shared" si="164"/>
        <v>1000000</v>
      </c>
    </row>
    <row r="3461" spans="1:18" hidden="1">
      <c r="A3461" s="1">
        <v>2</v>
      </c>
      <c r="B3461" s="1" t="str">
        <f>"قطعات و لوازم يدكي"</f>
        <v>قطعات و لوازم يدكي</v>
      </c>
      <c r="C3461" s="1">
        <v>120</v>
      </c>
      <c r="D3461" s="1" t="str">
        <f>"انبار قطعات و لوازم يدكي بشکه سازي اصفهان"</f>
        <v>انبار قطعات و لوازم يدكي بشکه سازي اصفهان</v>
      </c>
      <c r="E3461" s="1" t="str">
        <f>"4211700119"</f>
        <v>4211700119</v>
      </c>
      <c r="F3461" s="1" t="str">
        <f>"عاج زن"</f>
        <v>عاج زن</v>
      </c>
      <c r="G3461" s="1" t="str">
        <f>"عدد"</f>
        <v>عدد</v>
      </c>
      <c r="H3461" s="1">
        <v>0</v>
      </c>
      <c r="I3461" s="1">
        <v>0</v>
      </c>
      <c r="J3461" s="1">
        <v>2</v>
      </c>
      <c r="K3461" s="1">
        <v>4000000</v>
      </c>
      <c r="L3461" s="1">
        <v>2</v>
      </c>
      <c r="M3461" s="1">
        <v>4000000</v>
      </c>
      <c r="O3461" s="1">
        <v>97</v>
      </c>
      <c r="P3461" s="1">
        <f t="shared" si="162"/>
        <v>0</v>
      </c>
      <c r="Q3461" s="1">
        <f t="shared" si="163"/>
        <v>0</v>
      </c>
      <c r="R3461" s="1" t="e">
        <f t="shared" si="164"/>
        <v>#DIV/0!</v>
      </c>
    </row>
    <row r="3462" spans="1:18">
      <c r="A3462" s="1">
        <v>2</v>
      </c>
      <c r="B3462" s="1" t="str">
        <f>"قطعات و لوازم يدكي"</f>
        <v>قطعات و لوازم يدكي</v>
      </c>
      <c r="C3462" s="1">
        <v>120</v>
      </c>
      <c r="D3462" s="1" t="str">
        <f>"انبار قطعات و لوازم يدكي بشکه سازي اصفهان"</f>
        <v>انبار قطعات و لوازم يدكي بشکه سازي اصفهان</v>
      </c>
      <c r="E3462" s="1" t="str">
        <f>"4211700120"</f>
        <v>4211700120</v>
      </c>
      <c r="F3462" s="1" t="str">
        <f>"شير بلوکه روغن پرس ها"</f>
        <v>شير بلوکه روغن پرس ها</v>
      </c>
      <c r="G3462" s="1" t="str">
        <f>"عدد"</f>
        <v>عدد</v>
      </c>
      <c r="H3462" s="1">
        <v>0</v>
      </c>
      <c r="I3462" s="1">
        <v>0</v>
      </c>
      <c r="J3462" s="1">
        <v>22</v>
      </c>
      <c r="K3462" s="1">
        <v>2640000</v>
      </c>
      <c r="L3462" s="1">
        <v>2</v>
      </c>
      <c r="M3462" s="1">
        <v>182857</v>
      </c>
      <c r="O3462" s="1">
        <v>97</v>
      </c>
      <c r="P3462" s="4">
        <f t="shared" si="162"/>
        <v>2457143</v>
      </c>
      <c r="Q3462" s="4">
        <f t="shared" si="163"/>
        <v>20</v>
      </c>
      <c r="R3462" s="4">
        <f t="shared" si="164"/>
        <v>122857.15</v>
      </c>
    </row>
    <row r="3463" spans="1:18">
      <c r="A3463" s="1">
        <v>2</v>
      </c>
      <c r="B3463" s="1" t="str">
        <f>"قطعات و لوازم يدكي"</f>
        <v>قطعات و لوازم يدكي</v>
      </c>
      <c r="C3463" s="1">
        <v>120</v>
      </c>
      <c r="D3463" s="1" t="str">
        <f>"انبار قطعات و لوازم يدكي بشکه سازي اصفهان"</f>
        <v>انبار قطعات و لوازم يدكي بشکه سازي اصفهان</v>
      </c>
      <c r="E3463" s="1" t="str">
        <f>"4211700123"</f>
        <v>4211700123</v>
      </c>
      <c r="F3463" s="1" t="str">
        <f>"تسمه A38"</f>
        <v>تسمه A38</v>
      </c>
      <c r="G3463" s="1" t="str">
        <f>"عدد"</f>
        <v>عدد</v>
      </c>
      <c r="H3463" s="1">
        <v>0</v>
      </c>
      <c r="I3463" s="1">
        <v>0</v>
      </c>
      <c r="J3463" s="1">
        <v>21</v>
      </c>
      <c r="K3463" s="1">
        <v>3360000</v>
      </c>
      <c r="L3463" s="1">
        <v>0</v>
      </c>
      <c r="M3463" s="1">
        <v>0</v>
      </c>
      <c r="O3463" s="1">
        <v>97</v>
      </c>
      <c r="P3463" s="4">
        <f t="shared" si="162"/>
        <v>3360000</v>
      </c>
      <c r="Q3463" s="4">
        <f t="shared" si="163"/>
        <v>21</v>
      </c>
      <c r="R3463" s="4">
        <f t="shared" si="164"/>
        <v>160000</v>
      </c>
    </row>
    <row r="3464" spans="1:18">
      <c r="A3464" s="1">
        <v>2</v>
      </c>
      <c r="B3464" s="1" t="str">
        <f>"قطعات و لوازم يدكي"</f>
        <v>قطعات و لوازم يدكي</v>
      </c>
      <c r="C3464" s="1">
        <v>120</v>
      </c>
      <c r="D3464" s="1" t="str">
        <f>"انبار قطعات و لوازم يدكي بشکه سازي اصفهان"</f>
        <v>انبار قطعات و لوازم يدكي بشکه سازي اصفهان</v>
      </c>
      <c r="E3464" s="1" t="str">
        <f>"4211700124"</f>
        <v>4211700124</v>
      </c>
      <c r="F3464" s="1" t="str">
        <f>"تسمه پمپ دنده جوش اتومات H360"</f>
        <v>تسمه پمپ دنده جوش اتومات H360</v>
      </c>
      <c r="G3464" s="1" t="str">
        <f>"عدد"</f>
        <v>عدد</v>
      </c>
      <c r="H3464" s="1">
        <v>0</v>
      </c>
      <c r="I3464" s="1">
        <v>0</v>
      </c>
      <c r="J3464" s="1">
        <v>3</v>
      </c>
      <c r="K3464" s="1">
        <v>480000</v>
      </c>
      <c r="L3464" s="1">
        <v>0</v>
      </c>
      <c r="M3464" s="1">
        <v>0</v>
      </c>
      <c r="O3464" s="1">
        <v>97</v>
      </c>
      <c r="P3464" s="4">
        <f t="shared" si="162"/>
        <v>480000</v>
      </c>
      <c r="Q3464" s="4">
        <f t="shared" si="163"/>
        <v>3</v>
      </c>
      <c r="R3464" s="4">
        <f t="shared" si="164"/>
        <v>160000</v>
      </c>
    </row>
    <row r="3465" spans="1:18">
      <c r="A3465" s="1">
        <v>2</v>
      </c>
      <c r="B3465" s="1" t="str">
        <f>"قطعات و لوازم يدكي"</f>
        <v>قطعات و لوازم يدكي</v>
      </c>
      <c r="C3465" s="1">
        <v>120</v>
      </c>
      <c r="D3465" s="1" t="str">
        <f>"انبار قطعات و لوازم يدكي بشکه سازي اصفهان"</f>
        <v>انبار قطعات و لوازم يدكي بشکه سازي اصفهان</v>
      </c>
      <c r="E3465" s="1" t="str">
        <f>"4211700134"</f>
        <v>4211700134</v>
      </c>
      <c r="F3465" s="1" t="str">
        <f>"تسمه A28"</f>
        <v>تسمه A28</v>
      </c>
      <c r="G3465" s="1" t="str">
        <f>"عدد"</f>
        <v>عدد</v>
      </c>
      <c r="H3465" s="1">
        <v>0</v>
      </c>
      <c r="I3465" s="1">
        <v>0</v>
      </c>
      <c r="J3465" s="1">
        <v>2</v>
      </c>
      <c r="K3465" s="1">
        <v>320000</v>
      </c>
      <c r="L3465" s="1">
        <v>0</v>
      </c>
      <c r="M3465" s="1">
        <v>0</v>
      </c>
      <c r="O3465" s="1">
        <v>97</v>
      </c>
      <c r="P3465" s="4">
        <f t="shared" si="162"/>
        <v>320000</v>
      </c>
      <c r="Q3465" s="4">
        <f t="shared" si="163"/>
        <v>2</v>
      </c>
      <c r="R3465" s="4">
        <f t="shared" si="164"/>
        <v>160000</v>
      </c>
    </row>
    <row r="3466" spans="1:18" hidden="1">
      <c r="A3466" s="1">
        <v>2</v>
      </c>
      <c r="B3466" s="1" t="str">
        <f>"قطعات و لوازم يدكي"</f>
        <v>قطعات و لوازم يدكي</v>
      </c>
      <c r="C3466" s="1">
        <v>120</v>
      </c>
      <c r="D3466" s="1" t="str">
        <f>"انبار قطعات و لوازم يدكي بشکه سازي اصفهان"</f>
        <v>انبار قطعات و لوازم يدكي بشکه سازي اصفهان</v>
      </c>
      <c r="E3466" s="1" t="str">
        <f>"4211700166"</f>
        <v>4211700166</v>
      </c>
      <c r="F3466" s="1" t="str">
        <f>"جعبه ابزار فلزي"</f>
        <v>جعبه ابزار فلزي</v>
      </c>
      <c r="G3466" s="1" t="str">
        <f>"عدد"</f>
        <v>عدد</v>
      </c>
      <c r="H3466" s="1">
        <v>0</v>
      </c>
      <c r="I3466" s="1">
        <v>0</v>
      </c>
      <c r="J3466" s="1">
        <v>2</v>
      </c>
      <c r="K3466" s="1">
        <v>1900000</v>
      </c>
      <c r="L3466" s="1">
        <v>2</v>
      </c>
      <c r="M3466" s="1">
        <v>1900000</v>
      </c>
      <c r="O3466" s="1">
        <v>97</v>
      </c>
      <c r="P3466" s="1">
        <f t="shared" si="162"/>
        <v>0</v>
      </c>
      <c r="Q3466" s="1">
        <f t="shared" si="163"/>
        <v>0</v>
      </c>
      <c r="R3466" s="1" t="e">
        <f t="shared" si="164"/>
        <v>#DIV/0!</v>
      </c>
    </row>
    <row r="3467" spans="1:18">
      <c r="A3467" s="1">
        <v>2</v>
      </c>
      <c r="B3467" s="1" t="str">
        <f>"قطعات و لوازم يدكي"</f>
        <v>قطعات و لوازم يدكي</v>
      </c>
      <c r="C3467" s="1">
        <v>120</v>
      </c>
      <c r="D3467" s="1" t="str">
        <f>"انبار قطعات و لوازم يدكي بشکه سازي اصفهان"</f>
        <v>انبار قطعات و لوازم يدكي بشکه سازي اصفهان</v>
      </c>
      <c r="E3467" s="1" t="str">
        <f>"4211700174"</f>
        <v>4211700174</v>
      </c>
      <c r="F3467" s="1" t="str">
        <f>"فنر ترمز"</f>
        <v>فنر ترمز</v>
      </c>
      <c r="G3467" s="1" t="str">
        <f>"عدد"</f>
        <v>عدد</v>
      </c>
      <c r="H3467" s="1">
        <v>0</v>
      </c>
      <c r="I3467" s="1">
        <v>0</v>
      </c>
      <c r="J3467" s="1">
        <v>8</v>
      </c>
      <c r="K3467" s="1">
        <v>80000</v>
      </c>
      <c r="L3467" s="1">
        <v>0</v>
      </c>
      <c r="M3467" s="1">
        <v>0</v>
      </c>
      <c r="O3467" s="1">
        <v>97</v>
      </c>
      <c r="P3467" s="4">
        <f t="shared" si="162"/>
        <v>80000</v>
      </c>
      <c r="Q3467" s="4">
        <f t="shared" si="163"/>
        <v>8</v>
      </c>
      <c r="R3467" s="4">
        <f t="shared" si="164"/>
        <v>10000</v>
      </c>
    </row>
    <row r="3468" spans="1:18">
      <c r="A3468" s="1">
        <v>2</v>
      </c>
      <c r="B3468" s="1" t="str">
        <f>"قطعات و لوازم يدكي"</f>
        <v>قطعات و لوازم يدكي</v>
      </c>
      <c r="C3468" s="1">
        <v>120</v>
      </c>
      <c r="D3468" s="1" t="str">
        <f>"انبار قطعات و لوازم يدكي بشکه سازي اصفهان"</f>
        <v>انبار قطعات و لوازم يدكي بشکه سازي اصفهان</v>
      </c>
      <c r="E3468" s="1" t="str">
        <f>"4211700184"</f>
        <v>4211700184</v>
      </c>
      <c r="F3468" s="1" t="str">
        <f>"آهن ربا"</f>
        <v>آهن ربا</v>
      </c>
      <c r="G3468" s="1" t="str">
        <f>"عدد"</f>
        <v>عدد</v>
      </c>
      <c r="H3468" s="1">
        <v>0</v>
      </c>
      <c r="I3468" s="1">
        <v>0</v>
      </c>
      <c r="J3468" s="1">
        <v>15</v>
      </c>
      <c r="K3468" s="1">
        <v>630000</v>
      </c>
      <c r="L3468" s="1">
        <v>12</v>
      </c>
      <c r="M3468" s="1">
        <v>504000</v>
      </c>
      <c r="O3468" s="1">
        <v>97</v>
      </c>
      <c r="P3468" s="4">
        <f t="shared" si="162"/>
        <v>126000</v>
      </c>
      <c r="Q3468" s="4">
        <f t="shared" si="163"/>
        <v>3</v>
      </c>
      <c r="R3468" s="4">
        <f t="shared" si="164"/>
        <v>42000</v>
      </c>
    </row>
    <row r="3469" spans="1:18">
      <c r="A3469" s="1">
        <v>2</v>
      </c>
      <c r="B3469" s="1" t="str">
        <f>"قطعات و لوازم يدكي"</f>
        <v>قطعات و لوازم يدكي</v>
      </c>
      <c r="C3469" s="1">
        <v>120</v>
      </c>
      <c r="D3469" s="1" t="str">
        <f>"انبار قطعات و لوازم يدكي بشکه سازي اصفهان"</f>
        <v>انبار قطعات و لوازم يدكي بشکه سازي اصفهان</v>
      </c>
      <c r="E3469" s="1" t="str">
        <f>"4211700194"</f>
        <v>4211700194</v>
      </c>
      <c r="F3469" s="1" t="str">
        <f>"شير 1/4 واحد مراقبت"</f>
        <v>شير 1/4 واحد مراقبت</v>
      </c>
      <c r="G3469" s="1" t="str">
        <f>"عدد"</f>
        <v>عدد</v>
      </c>
      <c r="H3469" s="1">
        <v>0</v>
      </c>
      <c r="I3469" s="1">
        <v>0</v>
      </c>
      <c r="J3469" s="1">
        <v>2</v>
      </c>
      <c r="K3469" s="1">
        <v>1900000</v>
      </c>
      <c r="L3469" s="1">
        <v>1</v>
      </c>
      <c r="M3469" s="1">
        <v>950000</v>
      </c>
      <c r="O3469" s="1">
        <v>97</v>
      </c>
      <c r="P3469" s="4">
        <f t="shared" si="162"/>
        <v>950000</v>
      </c>
      <c r="Q3469" s="4">
        <f t="shared" si="163"/>
        <v>1</v>
      </c>
      <c r="R3469" s="4">
        <f t="shared" si="164"/>
        <v>950000</v>
      </c>
    </row>
    <row r="3470" spans="1:18">
      <c r="A3470" s="1">
        <v>2</v>
      </c>
      <c r="B3470" s="1" t="str">
        <f>"قطعات و لوازم يدكي"</f>
        <v>قطعات و لوازم يدكي</v>
      </c>
      <c r="C3470" s="1">
        <v>120</v>
      </c>
      <c r="D3470" s="1" t="str">
        <f>"انبار قطعات و لوازم يدكي بشکه سازي اصفهان"</f>
        <v>انبار قطعات و لوازم يدكي بشکه سازي اصفهان</v>
      </c>
      <c r="E3470" s="1" t="str">
        <f>"4211700199"</f>
        <v>4211700199</v>
      </c>
      <c r="F3470" s="1" t="str">
        <f>"تسمه B 81"</f>
        <v>تسمه B 81</v>
      </c>
      <c r="G3470" s="1" t="str">
        <f>"عدد"</f>
        <v>عدد</v>
      </c>
      <c r="H3470" s="1">
        <v>0</v>
      </c>
      <c r="I3470" s="1">
        <v>0</v>
      </c>
      <c r="J3470" s="1">
        <v>7</v>
      </c>
      <c r="K3470" s="1">
        <v>5360000</v>
      </c>
      <c r="L3470" s="1">
        <v>0</v>
      </c>
      <c r="M3470" s="1">
        <v>0</v>
      </c>
      <c r="O3470" s="1">
        <v>97</v>
      </c>
      <c r="P3470" s="4">
        <f t="shared" si="162"/>
        <v>5360000</v>
      </c>
      <c r="Q3470" s="4">
        <f t="shared" si="163"/>
        <v>7</v>
      </c>
      <c r="R3470" s="4">
        <f t="shared" si="164"/>
        <v>765714.28571428568</v>
      </c>
    </row>
    <row r="3471" spans="1:18">
      <c r="A3471" s="1">
        <v>2</v>
      </c>
      <c r="B3471" s="1" t="str">
        <f>"قطعات و لوازم يدكي"</f>
        <v>قطعات و لوازم يدكي</v>
      </c>
      <c r="C3471" s="1">
        <v>120</v>
      </c>
      <c r="D3471" s="1" t="str">
        <f>"انبار قطعات و لوازم يدكي بشکه سازي اصفهان"</f>
        <v>انبار قطعات و لوازم يدكي بشکه سازي اصفهان</v>
      </c>
      <c r="E3471" s="1" t="str">
        <f>"4311700006"</f>
        <v>4311700006</v>
      </c>
      <c r="F3471" s="1" t="str">
        <f>"ليبل چاپ بشکه"</f>
        <v>ليبل چاپ بشکه</v>
      </c>
      <c r="G3471" s="1" t="str">
        <f>"عدد"</f>
        <v>عدد</v>
      </c>
      <c r="H3471" s="1">
        <v>0</v>
      </c>
      <c r="I3471" s="1">
        <v>0</v>
      </c>
      <c r="J3471" s="1">
        <v>120</v>
      </c>
      <c r="K3471" s="1">
        <v>13770000</v>
      </c>
      <c r="L3471" s="1">
        <v>0</v>
      </c>
      <c r="M3471" s="1">
        <v>0</v>
      </c>
      <c r="O3471" s="1">
        <v>97</v>
      </c>
      <c r="P3471" s="4">
        <f t="shared" si="162"/>
        <v>13770000</v>
      </c>
      <c r="Q3471" s="4">
        <f t="shared" si="163"/>
        <v>120</v>
      </c>
      <c r="R3471" s="4">
        <f t="shared" si="164"/>
        <v>114750</v>
      </c>
    </row>
    <row r="3472" spans="1:18">
      <c r="A3472" s="1">
        <v>2</v>
      </c>
      <c r="B3472" s="1" t="str">
        <f>"قطعات و لوازم يدكي"</f>
        <v>قطعات و لوازم يدكي</v>
      </c>
      <c r="C3472" s="1">
        <v>120</v>
      </c>
      <c r="D3472" s="1" t="str">
        <f>"انبار قطعات و لوازم يدكي بشکه سازي اصفهان"</f>
        <v>انبار قطعات و لوازم يدكي بشکه سازي اصفهان</v>
      </c>
      <c r="E3472" s="1" t="str">
        <f>"4311700024"</f>
        <v>4311700024</v>
      </c>
      <c r="F3472" s="1" t="str">
        <f>"مته آهن سايز 14"</f>
        <v>مته آهن سايز 14</v>
      </c>
      <c r="G3472" s="1" t="str">
        <f>"عدد"</f>
        <v>عدد</v>
      </c>
      <c r="H3472" s="1">
        <v>0</v>
      </c>
      <c r="I3472" s="1">
        <v>0</v>
      </c>
      <c r="J3472" s="1">
        <v>29</v>
      </c>
      <c r="K3472" s="1">
        <v>870000</v>
      </c>
      <c r="L3472" s="1">
        <v>0</v>
      </c>
      <c r="M3472" s="1">
        <v>0</v>
      </c>
      <c r="O3472" s="1">
        <v>97</v>
      </c>
      <c r="P3472" s="4">
        <f t="shared" si="162"/>
        <v>870000</v>
      </c>
      <c r="Q3472" s="4">
        <f t="shared" si="163"/>
        <v>29</v>
      </c>
      <c r="R3472" s="4">
        <f t="shared" si="164"/>
        <v>30000</v>
      </c>
    </row>
    <row r="3473" spans="1:18">
      <c r="A3473" s="1">
        <v>2</v>
      </c>
      <c r="B3473" s="1" t="str">
        <f>"قطعات و لوازم يدكي"</f>
        <v>قطعات و لوازم يدكي</v>
      </c>
      <c r="C3473" s="1">
        <v>120</v>
      </c>
      <c r="D3473" s="1" t="str">
        <f>"انبار قطعات و لوازم يدكي بشکه سازي اصفهان"</f>
        <v>انبار قطعات و لوازم يدكي بشکه سازي اصفهان</v>
      </c>
      <c r="E3473" s="1" t="str">
        <f>"4311700027"</f>
        <v>4311700027</v>
      </c>
      <c r="F3473" s="1" t="str">
        <f>"مته الماس سايز 8"</f>
        <v>مته الماس سايز 8</v>
      </c>
      <c r="G3473" s="1" t="str">
        <f>"عدد"</f>
        <v>عدد</v>
      </c>
      <c r="H3473" s="1">
        <v>0</v>
      </c>
      <c r="I3473" s="1">
        <v>0</v>
      </c>
      <c r="J3473" s="1">
        <v>13</v>
      </c>
      <c r="K3473" s="1">
        <v>390000</v>
      </c>
      <c r="L3473" s="1">
        <v>1</v>
      </c>
      <c r="M3473" s="1">
        <v>30000</v>
      </c>
      <c r="O3473" s="1">
        <v>97</v>
      </c>
      <c r="P3473" s="4">
        <f t="shared" si="162"/>
        <v>360000</v>
      </c>
      <c r="Q3473" s="4">
        <f t="shared" si="163"/>
        <v>12</v>
      </c>
      <c r="R3473" s="4">
        <f t="shared" si="164"/>
        <v>30000</v>
      </c>
    </row>
    <row r="3474" spans="1:18">
      <c r="A3474" s="1">
        <v>2</v>
      </c>
      <c r="B3474" s="1" t="str">
        <f>"قطعات و لوازم يدكي"</f>
        <v>قطعات و لوازم يدكي</v>
      </c>
      <c r="C3474" s="1">
        <v>120</v>
      </c>
      <c r="D3474" s="1" t="str">
        <f>"انبار قطعات و لوازم يدكي بشکه سازي اصفهان"</f>
        <v>انبار قطعات و لوازم يدكي بشکه سازي اصفهان</v>
      </c>
      <c r="E3474" s="1" t="str">
        <f>"4311700065"</f>
        <v>4311700065</v>
      </c>
      <c r="F3474" s="1" t="str">
        <f>"ديافراگم."</f>
        <v>ديافراگم.</v>
      </c>
      <c r="G3474" s="1" t="str">
        <f>"عدد"</f>
        <v>عدد</v>
      </c>
      <c r="H3474" s="1">
        <v>0</v>
      </c>
      <c r="I3474" s="1">
        <v>0</v>
      </c>
      <c r="J3474" s="1">
        <v>11</v>
      </c>
      <c r="K3474" s="1">
        <v>55000</v>
      </c>
      <c r="L3474" s="1">
        <v>0</v>
      </c>
      <c r="M3474" s="1">
        <v>0</v>
      </c>
      <c r="O3474" s="1">
        <v>97</v>
      </c>
      <c r="P3474" s="4">
        <f t="shared" si="162"/>
        <v>55000</v>
      </c>
      <c r="Q3474" s="4">
        <f t="shared" si="163"/>
        <v>11</v>
      </c>
      <c r="R3474" s="4">
        <f t="shared" si="164"/>
        <v>5000</v>
      </c>
    </row>
    <row r="3475" spans="1:18">
      <c r="A3475" s="1">
        <v>2</v>
      </c>
      <c r="B3475" s="1" t="str">
        <f>"قطعات و لوازم يدكي"</f>
        <v>قطعات و لوازم يدكي</v>
      </c>
      <c r="C3475" s="1">
        <v>120</v>
      </c>
      <c r="D3475" s="1" t="str">
        <f>"انبار قطعات و لوازم يدكي بشکه سازي اصفهان"</f>
        <v>انبار قطعات و لوازم يدكي بشکه سازي اصفهان</v>
      </c>
      <c r="E3475" s="1" t="str">
        <f>"4311700119"</f>
        <v>4311700119</v>
      </c>
      <c r="F3475" s="1" t="str">
        <f>"پيچ خودکار 6 سانت"</f>
        <v>پيچ خودکار 6 سانت</v>
      </c>
      <c r="G3475" s="1" t="str">
        <f>"عدد"</f>
        <v>عدد</v>
      </c>
      <c r="H3475" s="1">
        <v>0</v>
      </c>
      <c r="I3475" s="1">
        <v>0</v>
      </c>
      <c r="J3475" s="1">
        <v>1037</v>
      </c>
      <c r="K3475" s="1">
        <v>2592500</v>
      </c>
      <c r="L3475" s="1">
        <v>0</v>
      </c>
      <c r="M3475" s="1">
        <v>0</v>
      </c>
      <c r="O3475" s="1">
        <v>97</v>
      </c>
      <c r="P3475" s="4">
        <f t="shared" si="162"/>
        <v>2592500</v>
      </c>
      <c r="Q3475" s="4">
        <f t="shared" si="163"/>
        <v>1037</v>
      </c>
      <c r="R3475" s="4">
        <f t="shared" si="164"/>
        <v>2500</v>
      </c>
    </row>
    <row r="3476" spans="1:18">
      <c r="A3476" s="1">
        <v>2</v>
      </c>
      <c r="B3476" s="1" t="str">
        <f>"قطعات و لوازم يدكي"</f>
        <v>قطعات و لوازم يدكي</v>
      </c>
      <c r="C3476" s="1">
        <v>120</v>
      </c>
      <c r="D3476" s="1" t="str">
        <f>"انبار قطعات و لوازم يدكي بشکه سازي اصفهان"</f>
        <v>انبار قطعات و لوازم يدكي بشکه سازي اصفهان</v>
      </c>
      <c r="E3476" s="1" t="str">
        <f>"4311700123"</f>
        <v>4311700123</v>
      </c>
      <c r="F3476" s="1" t="str">
        <f>"پيچ سرمته اي 3 سانتي"</f>
        <v>پيچ سرمته اي 3 سانتي</v>
      </c>
      <c r="G3476" s="1" t="str">
        <f>"عدد"</f>
        <v>عدد</v>
      </c>
      <c r="H3476" s="1">
        <v>0</v>
      </c>
      <c r="I3476" s="1">
        <v>0</v>
      </c>
      <c r="J3476" s="1">
        <v>22</v>
      </c>
      <c r="K3476" s="1">
        <v>55000</v>
      </c>
      <c r="L3476" s="1">
        <v>10</v>
      </c>
      <c r="M3476" s="1">
        <v>25000</v>
      </c>
      <c r="O3476" s="1">
        <v>97</v>
      </c>
      <c r="P3476" s="4">
        <f t="shared" si="162"/>
        <v>30000</v>
      </c>
      <c r="Q3476" s="4">
        <f t="shared" si="163"/>
        <v>12</v>
      </c>
      <c r="R3476" s="4">
        <f t="shared" si="164"/>
        <v>2500</v>
      </c>
    </row>
    <row r="3477" spans="1:18">
      <c r="A3477" s="1">
        <v>2</v>
      </c>
      <c r="B3477" s="1" t="str">
        <f>"قطعات و لوازم يدكي"</f>
        <v>قطعات و لوازم يدكي</v>
      </c>
      <c r="C3477" s="1">
        <v>120</v>
      </c>
      <c r="D3477" s="1" t="str">
        <f>"انبار قطعات و لوازم يدكي بشکه سازي اصفهان"</f>
        <v>انبار قطعات و لوازم يدكي بشکه سازي اصفهان</v>
      </c>
      <c r="E3477" s="1" t="str">
        <f>"4311700124"</f>
        <v>4311700124</v>
      </c>
      <c r="F3477" s="1" t="str">
        <f>"پيچ 12* M10"</f>
        <v>پيچ 12* M10</v>
      </c>
      <c r="G3477" s="1" t="str">
        <f>"عدد"</f>
        <v>عدد</v>
      </c>
      <c r="H3477" s="1">
        <v>0</v>
      </c>
      <c r="I3477" s="1">
        <v>0</v>
      </c>
      <c r="J3477" s="1">
        <v>16</v>
      </c>
      <c r="K3477" s="1">
        <v>40000</v>
      </c>
      <c r="L3477" s="1">
        <v>0</v>
      </c>
      <c r="M3477" s="1">
        <v>0</v>
      </c>
      <c r="O3477" s="1">
        <v>97</v>
      </c>
      <c r="P3477" s="4">
        <f t="shared" si="162"/>
        <v>40000</v>
      </c>
      <c r="Q3477" s="4">
        <f t="shared" si="163"/>
        <v>16</v>
      </c>
      <c r="R3477" s="4">
        <f t="shared" si="164"/>
        <v>2500</v>
      </c>
    </row>
    <row r="3478" spans="1:18">
      <c r="A3478" s="1">
        <v>2</v>
      </c>
      <c r="B3478" s="1" t="str">
        <f>"قطعات و لوازم يدكي"</f>
        <v>قطعات و لوازم يدكي</v>
      </c>
      <c r="C3478" s="1">
        <v>120</v>
      </c>
      <c r="D3478" s="1" t="str">
        <f>"انبار قطعات و لوازم يدكي بشکه سازي اصفهان"</f>
        <v>انبار قطعات و لوازم يدكي بشکه سازي اصفهان</v>
      </c>
      <c r="E3478" s="1" t="str">
        <f>"4311700153"</f>
        <v>4311700153</v>
      </c>
      <c r="F3478" s="1" t="str">
        <f>"واشر فنري 22"</f>
        <v>واشر فنري 22</v>
      </c>
      <c r="G3478" s="1" t="str">
        <f>"عدد"</f>
        <v>عدد</v>
      </c>
      <c r="H3478" s="1">
        <v>0</v>
      </c>
      <c r="I3478" s="1">
        <v>0</v>
      </c>
      <c r="J3478" s="1">
        <v>81</v>
      </c>
      <c r="K3478" s="1">
        <v>202500</v>
      </c>
      <c r="L3478" s="1">
        <v>0</v>
      </c>
      <c r="M3478" s="1">
        <v>0</v>
      </c>
      <c r="O3478" s="1">
        <v>97</v>
      </c>
      <c r="P3478" s="4">
        <f t="shared" si="162"/>
        <v>202500</v>
      </c>
      <c r="Q3478" s="4">
        <f t="shared" si="163"/>
        <v>81</v>
      </c>
      <c r="R3478" s="4">
        <f t="shared" si="164"/>
        <v>2500</v>
      </c>
    </row>
    <row r="3479" spans="1:18">
      <c r="A3479" s="1">
        <v>2</v>
      </c>
      <c r="B3479" s="1" t="str">
        <f>"قطعات و لوازم يدكي"</f>
        <v>قطعات و لوازم يدكي</v>
      </c>
      <c r="C3479" s="1">
        <v>120</v>
      </c>
      <c r="D3479" s="1" t="str">
        <f>"انبار قطعات و لوازم يدكي بشکه سازي اصفهان"</f>
        <v>انبار قطعات و لوازم يدكي بشکه سازي اصفهان</v>
      </c>
      <c r="E3479" s="1" t="str">
        <f>"4311700172"</f>
        <v>4311700172</v>
      </c>
      <c r="F3479" s="1" t="str">
        <f>"پيچ آلن 16*M16"</f>
        <v>پيچ آلن 16*M16</v>
      </c>
      <c r="G3479" s="1" t="str">
        <f>"عدد"</f>
        <v>عدد</v>
      </c>
      <c r="H3479" s="1">
        <v>0</v>
      </c>
      <c r="I3479" s="1">
        <v>0</v>
      </c>
      <c r="J3479" s="1">
        <v>17</v>
      </c>
      <c r="K3479" s="1">
        <v>42500</v>
      </c>
      <c r="L3479" s="1">
        <v>0</v>
      </c>
      <c r="M3479" s="1">
        <v>0</v>
      </c>
      <c r="O3479" s="1">
        <v>97</v>
      </c>
      <c r="P3479" s="4">
        <f t="shared" si="162"/>
        <v>42500</v>
      </c>
      <c r="Q3479" s="4">
        <f t="shared" si="163"/>
        <v>17</v>
      </c>
      <c r="R3479" s="4">
        <f t="shared" si="164"/>
        <v>2500</v>
      </c>
    </row>
    <row r="3480" spans="1:18">
      <c r="A3480" s="1">
        <v>2</v>
      </c>
      <c r="B3480" s="1" t="str">
        <f>"قطعات و لوازم يدكي"</f>
        <v>قطعات و لوازم يدكي</v>
      </c>
      <c r="C3480" s="1">
        <v>120</v>
      </c>
      <c r="D3480" s="1" t="str">
        <f>"انبار قطعات و لوازم يدكي بشکه سازي اصفهان"</f>
        <v>انبار قطعات و لوازم يدكي بشکه سازي اصفهان</v>
      </c>
      <c r="E3480" s="1" t="str">
        <f>"4311700179"</f>
        <v>4311700179</v>
      </c>
      <c r="F3480" s="1" t="str">
        <f>"مهره M24"</f>
        <v>مهره M24</v>
      </c>
      <c r="G3480" s="1" t="str">
        <f>"عدد"</f>
        <v>عدد</v>
      </c>
      <c r="H3480" s="1">
        <v>0</v>
      </c>
      <c r="I3480" s="1">
        <v>0</v>
      </c>
      <c r="J3480" s="1">
        <v>23</v>
      </c>
      <c r="K3480" s="1">
        <v>142600</v>
      </c>
      <c r="L3480" s="1">
        <v>0</v>
      </c>
      <c r="M3480" s="1">
        <v>0</v>
      </c>
      <c r="O3480" s="1">
        <v>97</v>
      </c>
      <c r="P3480" s="4">
        <f t="shared" si="162"/>
        <v>142600</v>
      </c>
      <c r="Q3480" s="4">
        <f t="shared" si="163"/>
        <v>23</v>
      </c>
      <c r="R3480" s="4">
        <f t="shared" si="164"/>
        <v>6200</v>
      </c>
    </row>
    <row r="3481" spans="1:18">
      <c r="A3481" s="1">
        <v>2</v>
      </c>
      <c r="B3481" s="1" t="str">
        <f>"قطعات و لوازم يدكي"</f>
        <v>قطعات و لوازم يدكي</v>
      </c>
      <c r="C3481" s="1">
        <v>120</v>
      </c>
      <c r="D3481" s="1" t="str">
        <f>"انبار قطعات و لوازم يدكي بشکه سازي اصفهان"</f>
        <v>انبار قطعات و لوازم يدكي بشکه سازي اصفهان</v>
      </c>
      <c r="E3481" s="1" t="str">
        <f>"4311700180"</f>
        <v>4311700180</v>
      </c>
      <c r="F3481" s="1" t="str">
        <f>"مهره M16"</f>
        <v>مهره M16</v>
      </c>
      <c r="G3481" s="1" t="str">
        <f>"عدد"</f>
        <v>عدد</v>
      </c>
      <c r="H3481" s="1">
        <v>0</v>
      </c>
      <c r="I3481" s="1">
        <v>0</v>
      </c>
      <c r="J3481" s="1">
        <v>55</v>
      </c>
      <c r="K3481" s="1">
        <v>165000</v>
      </c>
      <c r="L3481" s="1">
        <v>0</v>
      </c>
      <c r="M3481" s="1">
        <v>0</v>
      </c>
      <c r="O3481" s="1">
        <v>97</v>
      </c>
      <c r="P3481" s="4">
        <f t="shared" si="162"/>
        <v>165000</v>
      </c>
      <c r="Q3481" s="4">
        <f t="shared" si="163"/>
        <v>55</v>
      </c>
      <c r="R3481" s="4">
        <f t="shared" si="164"/>
        <v>3000</v>
      </c>
    </row>
    <row r="3482" spans="1:18">
      <c r="A3482" s="1">
        <v>2</v>
      </c>
      <c r="B3482" s="1" t="str">
        <f>"قطعات و لوازم يدكي"</f>
        <v>قطعات و لوازم يدكي</v>
      </c>
      <c r="C3482" s="1">
        <v>120</v>
      </c>
      <c r="D3482" s="1" t="str">
        <f>"انبار قطعات و لوازم يدكي بشکه سازي اصفهان"</f>
        <v>انبار قطعات و لوازم يدكي بشکه سازي اصفهان</v>
      </c>
      <c r="E3482" s="1" t="str">
        <f>"4311700213"</f>
        <v>4311700213</v>
      </c>
      <c r="F3482" s="1" t="str">
        <f>"سه راهي پنوماتيک 8*8"</f>
        <v>سه راهي پنوماتيک 8*8</v>
      </c>
      <c r="G3482" s="1" t="str">
        <f>"عدد"</f>
        <v>عدد</v>
      </c>
      <c r="H3482" s="1">
        <v>0</v>
      </c>
      <c r="I3482" s="1">
        <v>0</v>
      </c>
      <c r="J3482" s="1">
        <v>8</v>
      </c>
      <c r="K3482" s="1">
        <v>560000</v>
      </c>
      <c r="L3482" s="1">
        <v>0</v>
      </c>
      <c r="M3482" s="1">
        <v>0</v>
      </c>
      <c r="O3482" s="1">
        <v>97</v>
      </c>
      <c r="P3482" s="4">
        <f t="shared" si="162"/>
        <v>560000</v>
      </c>
      <c r="Q3482" s="4">
        <f t="shared" si="163"/>
        <v>8</v>
      </c>
      <c r="R3482" s="4">
        <f t="shared" si="164"/>
        <v>70000</v>
      </c>
    </row>
    <row r="3483" spans="1:18">
      <c r="A3483" s="1">
        <v>2</v>
      </c>
      <c r="B3483" s="1" t="str">
        <f>"قطعات و لوازم يدكي"</f>
        <v>قطعات و لوازم يدكي</v>
      </c>
      <c r="C3483" s="1">
        <v>120</v>
      </c>
      <c r="D3483" s="1" t="str">
        <f>"انبار قطعات و لوازم يدكي بشکه سازي اصفهان"</f>
        <v>انبار قطعات و لوازم يدكي بشکه سازي اصفهان</v>
      </c>
      <c r="E3483" s="1" t="str">
        <f>"4311700214"</f>
        <v>4311700214</v>
      </c>
      <c r="F3483" s="1" t="str">
        <f>"تبديل فيتينگي 1/2*3/4"</f>
        <v>تبديل فيتينگي 1/2*3/4</v>
      </c>
      <c r="G3483" s="1" t="str">
        <f>"عدد"</f>
        <v>عدد</v>
      </c>
      <c r="H3483" s="1">
        <v>0</v>
      </c>
      <c r="I3483" s="1">
        <v>0</v>
      </c>
      <c r="J3483" s="1">
        <v>3</v>
      </c>
      <c r="K3483" s="1">
        <v>195000</v>
      </c>
      <c r="L3483" s="1">
        <v>0</v>
      </c>
      <c r="M3483" s="1">
        <v>0</v>
      </c>
      <c r="O3483" s="1">
        <v>97</v>
      </c>
      <c r="P3483" s="4">
        <f t="shared" si="162"/>
        <v>195000</v>
      </c>
      <c r="Q3483" s="4">
        <f t="shared" si="163"/>
        <v>3</v>
      </c>
      <c r="R3483" s="4">
        <f t="shared" si="164"/>
        <v>65000</v>
      </c>
    </row>
    <row r="3484" spans="1:18">
      <c r="A3484" s="1">
        <v>2</v>
      </c>
      <c r="B3484" s="1" t="str">
        <f>"قطعات و لوازم يدكي"</f>
        <v>قطعات و لوازم يدكي</v>
      </c>
      <c r="C3484" s="1">
        <v>120</v>
      </c>
      <c r="D3484" s="1" t="str">
        <f>"انبار قطعات و لوازم يدكي بشکه سازي اصفهان"</f>
        <v>انبار قطعات و لوازم يدكي بشکه سازي اصفهان</v>
      </c>
      <c r="E3484" s="1" t="str">
        <f>"4311700216"</f>
        <v>4311700216</v>
      </c>
      <c r="F3484" s="1" t="str">
        <f>"تبديل فيتينگي 10*1/4"</f>
        <v>تبديل فيتينگي 10*1/4</v>
      </c>
      <c r="G3484" s="1" t="str">
        <f>"عدد"</f>
        <v>عدد</v>
      </c>
      <c r="H3484" s="1">
        <v>0</v>
      </c>
      <c r="I3484" s="1">
        <v>0</v>
      </c>
      <c r="J3484" s="1">
        <v>5</v>
      </c>
      <c r="K3484" s="1">
        <v>325000</v>
      </c>
      <c r="L3484" s="1">
        <v>0</v>
      </c>
      <c r="M3484" s="1">
        <v>0</v>
      </c>
      <c r="O3484" s="1">
        <v>97</v>
      </c>
      <c r="P3484" s="4">
        <f t="shared" si="162"/>
        <v>325000</v>
      </c>
      <c r="Q3484" s="4">
        <f t="shared" si="163"/>
        <v>5</v>
      </c>
      <c r="R3484" s="4">
        <f t="shared" si="164"/>
        <v>65000</v>
      </c>
    </row>
    <row r="3485" spans="1:18">
      <c r="A3485" s="1">
        <v>2</v>
      </c>
      <c r="B3485" s="1" t="str">
        <f>"قطعات و لوازم يدكي"</f>
        <v>قطعات و لوازم يدكي</v>
      </c>
      <c r="C3485" s="1">
        <v>120</v>
      </c>
      <c r="D3485" s="1" t="str">
        <f>"انبار قطعات و لوازم يدكي بشکه سازي اصفهان"</f>
        <v>انبار قطعات و لوازم يدكي بشکه سازي اصفهان</v>
      </c>
      <c r="E3485" s="1" t="str">
        <f>"4311700218"</f>
        <v>4311700218</v>
      </c>
      <c r="F3485" s="1" t="str">
        <f>"تبديل فيتينگي 8*1/2"</f>
        <v>تبديل فيتينگي 8*1/2</v>
      </c>
      <c r="G3485" s="1" t="str">
        <f>"عدد"</f>
        <v>عدد</v>
      </c>
      <c r="H3485" s="1">
        <v>0</v>
      </c>
      <c r="I3485" s="1">
        <v>0</v>
      </c>
      <c r="J3485" s="1">
        <v>18</v>
      </c>
      <c r="K3485" s="1">
        <v>1170000</v>
      </c>
      <c r="L3485" s="1">
        <v>0</v>
      </c>
      <c r="M3485" s="1">
        <v>0</v>
      </c>
      <c r="O3485" s="1">
        <v>97</v>
      </c>
      <c r="P3485" s="4">
        <f t="shared" si="162"/>
        <v>1170000</v>
      </c>
      <c r="Q3485" s="4">
        <f t="shared" si="163"/>
        <v>18</v>
      </c>
      <c r="R3485" s="4">
        <f t="shared" si="164"/>
        <v>65000</v>
      </c>
    </row>
    <row r="3486" spans="1:18">
      <c r="A3486" s="1">
        <v>2</v>
      </c>
      <c r="B3486" s="1" t="str">
        <f>"قطعات و لوازم يدكي"</f>
        <v>قطعات و لوازم يدكي</v>
      </c>
      <c r="C3486" s="1">
        <v>120</v>
      </c>
      <c r="D3486" s="1" t="str">
        <f>"انبار قطعات و لوازم يدكي بشکه سازي اصفهان"</f>
        <v>انبار قطعات و لوازم يدكي بشکه سازي اصفهان</v>
      </c>
      <c r="E3486" s="1" t="str">
        <f>"4311700252"</f>
        <v>4311700252</v>
      </c>
      <c r="F3486" s="1" t="str">
        <f>"لاستيک تراکتور 16-7/50"</f>
        <v>لاستيک تراکتور 16-7/50</v>
      </c>
      <c r="G3486" s="1" t="str">
        <f>"حلقه"</f>
        <v>حلقه</v>
      </c>
      <c r="H3486" s="1">
        <v>0</v>
      </c>
      <c r="I3486" s="1">
        <v>0</v>
      </c>
      <c r="J3486" s="1">
        <v>1</v>
      </c>
      <c r="K3486" s="1">
        <v>2680000</v>
      </c>
      <c r="L3486" s="1">
        <v>0</v>
      </c>
      <c r="M3486" s="1">
        <v>0</v>
      </c>
      <c r="O3486" s="1">
        <v>97</v>
      </c>
      <c r="P3486" s="4">
        <f t="shared" si="162"/>
        <v>2680000</v>
      </c>
      <c r="Q3486" s="4">
        <f t="shared" si="163"/>
        <v>1</v>
      </c>
      <c r="R3486" s="4">
        <f t="shared" si="164"/>
        <v>2680000</v>
      </c>
    </row>
    <row r="3487" spans="1:18">
      <c r="A3487" s="1">
        <v>2</v>
      </c>
      <c r="B3487" s="1" t="str">
        <f>"قطعات و لوازم يدكي"</f>
        <v>قطعات و لوازم يدكي</v>
      </c>
      <c r="C3487" s="1">
        <v>120</v>
      </c>
      <c r="D3487" s="1" t="str">
        <f>"انبار قطعات و لوازم يدكي بشکه سازي اصفهان"</f>
        <v>انبار قطعات و لوازم يدكي بشکه سازي اصفهان</v>
      </c>
      <c r="E3487" s="1" t="str">
        <f>"4311700262"</f>
        <v>4311700262</v>
      </c>
      <c r="F3487" s="1" t="str">
        <f>"گريس معمولي."</f>
        <v>گريس معمولي.</v>
      </c>
      <c r="G3487" s="1" t="str">
        <f>"كيلوگرم"</f>
        <v>كيلوگرم</v>
      </c>
      <c r="H3487" s="1">
        <v>0</v>
      </c>
      <c r="I3487" s="1">
        <v>0</v>
      </c>
      <c r="J3487" s="1">
        <v>100</v>
      </c>
      <c r="K3487" s="1">
        <v>12600000</v>
      </c>
      <c r="L3487" s="1">
        <v>16</v>
      </c>
      <c r="M3487" s="1">
        <v>2016000</v>
      </c>
      <c r="O3487" s="1">
        <v>97</v>
      </c>
      <c r="P3487" s="4">
        <f t="shared" si="162"/>
        <v>10584000</v>
      </c>
      <c r="Q3487" s="4">
        <f t="shared" si="163"/>
        <v>84</v>
      </c>
      <c r="R3487" s="4">
        <f t="shared" si="164"/>
        <v>126000</v>
      </c>
    </row>
    <row r="3488" spans="1:18">
      <c r="A3488" s="1">
        <v>2</v>
      </c>
      <c r="B3488" s="1" t="str">
        <f>"قطعات و لوازم يدكي"</f>
        <v>قطعات و لوازم يدكي</v>
      </c>
      <c r="C3488" s="1">
        <v>120</v>
      </c>
      <c r="D3488" s="1" t="str">
        <f>"انبار قطعات و لوازم يدكي بشکه سازي اصفهان"</f>
        <v>انبار قطعات و لوازم يدكي بشکه سازي اصفهان</v>
      </c>
      <c r="E3488" s="1" t="str">
        <f>"4311700268"</f>
        <v>4311700268</v>
      </c>
      <c r="F3488" s="1" t="str">
        <f>"رنگ مشکي روغني براق"</f>
        <v>رنگ مشکي روغني براق</v>
      </c>
      <c r="G3488" s="1" t="str">
        <f>"كيلوگرم"</f>
        <v>كيلوگرم</v>
      </c>
      <c r="H3488" s="1">
        <v>0</v>
      </c>
      <c r="I3488" s="1">
        <v>0</v>
      </c>
      <c r="J3488" s="1">
        <v>272</v>
      </c>
      <c r="K3488" s="1">
        <v>29920000</v>
      </c>
      <c r="L3488" s="1">
        <v>32</v>
      </c>
      <c r="M3488" s="1">
        <v>3520000</v>
      </c>
      <c r="O3488" s="1">
        <v>97</v>
      </c>
      <c r="P3488" s="4">
        <f t="shared" si="162"/>
        <v>26400000</v>
      </c>
      <c r="Q3488" s="4">
        <f t="shared" si="163"/>
        <v>240</v>
      </c>
      <c r="R3488" s="4">
        <f t="shared" si="164"/>
        <v>110000</v>
      </c>
    </row>
    <row r="3489" spans="1:18">
      <c r="A3489" s="1">
        <v>2</v>
      </c>
      <c r="B3489" s="1" t="str">
        <f>"قطعات و لوازم يدكي"</f>
        <v>قطعات و لوازم يدكي</v>
      </c>
      <c r="C3489" s="1">
        <v>120</v>
      </c>
      <c r="D3489" s="1" t="str">
        <f>"انبار قطعات و لوازم يدكي بشکه سازي اصفهان"</f>
        <v>انبار قطعات و لوازم يدكي بشکه سازي اصفهان</v>
      </c>
      <c r="E3489" s="1" t="str">
        <f>"4311700269"</f>
        <v>4311700269</v>
      </c>
      <c r="F3489" s="1" t="str">
        <f>"پودر تنکا"</f>
        <v>پودر تنکا</v>
      </c>
      <c r="G3489" s="1" t="str">
        <f>"كيلوگرم"</f>
        <v>كيلوگرم</v>
      </c>
      <c r="H3489" s="1">
        <v>0</v>
      </c>
      <c r="I3489" s="1">
        <v>0</v>
      </c>
      <c r="J3489" s="1">
        <v>19</v>
      </c>
      <c r="K3489" s="1">
        <v>1140000</v>
      </c>
      <c r="L3489" s="1">
        <v>1</v>
      </c>
      <c r="M3489" s="1">
        <v>60000</v>
      </c>
      <c r="O3489" s="1">
        <v>97</v>
      </c>
      <c r="P3489" s="4">
        <f t="shared" si="162"/>
        <v>1080000</v>
      </c>
      <c r="Q3489" s="4">
        <f t="shared" si="163"/>
        <v>18</v>
      </c>
      <c r="R3489" s="4">
        <f t="shared" si="164"/>
        <v>60000</v>
      </c>
    </row>
    <row r="3490" spans="1:18">
      <c r="A3490" s="1">
        <v>2</v>
      </c>
      <c r="B3490" s="1" t="str">
        <f>"قطعات و لوازم يدكي"</f>
        <v>قطعات و لوازم يدكي</v>
      </c>
      <c r="C3490" s="1">
        <v>120</v>
      </c>
      <c r="D3490" s="1" t="str">
        <f>"انبار قطعات و لوازم يدكي بشکه سازي اصفهان"</f>
        <v>انبار قطعات و لوازم يدكي بشکه سازي اصفهان</v>
      </c>
      <c r="E3490" s="1" t="str">
        <f>"4311700319"</f>
        <v>4311700319</v>
      </c>
      <c r="F3490" s="1" t="str">
        <f>"واشر فنري."</f>
        <v>واشر فنري.</v>
      </c>
      <c r="G3490" s="1" t="str">
        <f>"عدد"</f>
        <v>عدد</v>
      </c>
      <c r="H3490" s="1">
        <v>0</v>
      </c>
      <c r="I3490" s="1">
        <v>0</v>
      </c>
      <c r="J3490" s="1">
        <v>40</v>
      </c>
      <c r="K3490" s="1">
        <v>120000</v>
      </c>
      <c r="L3490" s="1">
        <v>0</v>
      </c>
      <c r="M3490" s="1">
        <v>0</v>
      </c>
      <c r="O3490" s="1">
        <v>97</v>
      </c>
      <c r="P3490" s="4">
        <f t="shared" si="162"/>
        <v>120000</v>
      </c>
      <c r="Q3490" s="4">
        <f t="shared" si="163"/>
        <v>40</v>
      </c>
      <c r="R3490" s="4">
        <f t="shared" si="164"/>
        <v>3000</v>
      </c>
    </row>
    <row r="3491" spans="1:18">
      <c r="A3491" s="1">
        <v>2</v>
      </c>
      <c r="B3491" s="1" t="str">
        <f>"قطعات و لوازم يدكي"</f>
        <v>قطعات و لوازم يدكي</v>
      </c>
      <c r="C3491" s="1">
        <v>120</v>
      </c>
      <c r="D3491" s="1" t="str">
        <f>"انبار قطعات و لوازم يدكي بشکه سازي اصفهان"</f>
        <v>انبار قطعات و لوازم يدكي بشکه سازي اصفهان</v>
      </c>
      <c r="E3491" s="1" t="str">
        <f>"4311700320"</f>
        <v>4311700320</v>
      </c>
      <c r="F3491" s="1" t="str">
        <f>"فشار شکن 10*1/2"</f>
        <v>فشار شکن 10*1/2</v>
      </c>
      <c r="G3491" s="1" t="str">
        <f>"عدد"</f>
        <v>عدد</v>
      </c>
      <c r="H3491" s="1">
        <v>0</v>
      </c>
      <c r="I3491" s="1">
        <v>0</v>
      </c>
      <c r="J3491" s="1">
        <v>3</v>
      </c>
      <c r="K3491" s="1">
        <v>1050000</v>
      </c>
      <c r="L3491" s="1">
        <v>0</v>
      </c>
      <c r="M3491" s="1">
        <v>0</v>
      </c>
      <c r="O3491" s="1">
        <v>97</v>
      </c>
      <c r="P3491" s="4">
        <f t="shared" si="162"/>
        <v>1050000</v>
      </c>
      <c r="Q3491" s="4">
        <f t="shared" si="163"/>
        <v>3</v>
      </c>
      <c r="R3491" s="4">
        <f t="shared" si="164"/>
        <v>350000</v>
      </c>
    </row>
    <row r="3492" spans="1:18">
      <c r="A3492" s="1">
        <v>2</v>
      </c>
      <c r="B3492" s="1" t="str">
        <f>"قطعات و لوازم يدكي"</f>
        <v>قطعات و لوازم يدكي</v>
      </c>
      <c r="C3492" s="1">
        <v>120</v>
      </c>
      <c r="D3492" s="1" t="str">
        <f>"انبار قطعات و لوازم يدكي بشکه سازي اصفهان"</f>
        <v>انبار قطعات و لوازم يدكي بشکه سازي اصفهان</v>
      </c>
      <c r="E3492" s="1" t="str">
        <f>"4311700321"</f>
        <v>4311700321</v>
      </c>
      <c r="F3492" s="1" t="str">
        <f>"فشار شکن 10*1/4"</f>
        <v>فشار شکن 10*1/4</v>
      </c>
      <c r="G3492" s="1" t="str">
        <f>"عدد"</f>
        <v>عدد</v>
      </c>
      <c r="H3492" s="1">
        <v>0</v>
      </c>
      <c r="I3492" s="1">
        <v>0</v>
      </c>
      <c r="J3492" s="1">
        <v>5</v>
      </c>
      <c r="K3492" s="1">
        <v>1500000</v>
      </c>
      <c r="L3492" s="1">
        <v>0</v>
      </c>
      <c r="M3492" s="1">
        <v>0</v>
      </c>
      <c r="O3492" s="1">
        <v>97</v>
      </c>
      <c r="P3492" s="4">
        <f t="shared" si="162"/>
        <v>1500000</v>
      </c>
      <c r="Q3492" s="4">
        <f t="shared" si="163"/>
        <v>5</v>
      </c>
      <c r="R3492" s="4">
        <f t="shared" si="164"/>
        <v>300000</v>
      </c>
    </row>
    <row r="3493" spans="1:18">
      <c r="A3493" s="1">
        <v>2</v>
      </c>
      <c r="B3493" s="1" t="str">
        <f>"قطعات و لوازم يدكي"</f>
        <v>قطعات و لوازم يدكي</v>
      </c>
      <c r="C3493" s="1">
        <v>120</v>
      </c>
      <c r="D3493" s="1" t="str">
        <f>"انبار قطعات و لوازم يدكي بشکه سازي اصفهان"</f>
        <v>انبار قطعات و لوازم يدكي بشکه سازي اصفهان</v>
      </c>
      <c r="E3493" s="1" t="str">
        <f>"4311700342"</f>
        <v>4311700342</v>
      </c>
      <c r="F3493" s="1" t="str">
        <f>"مغزي 3/4."</f>
        <v>مغزي 3/4.</v>
      </c>
      <c r="G3493" s="1" t="str">
        <f>"عدد"</f>
        <v>عدد</v>
      </c>
      <c r="H3493" s="1">
        <v>0</v>
      </c>
      <c r="I3493" s="1">
        <v>0</v>
      </c>
      <c r="J3493" s="1">
        <v>6</v>
      </c>
      <c r="K3493" s="1">
        <v>150000</v>
      </c>
      <c r="L3493" s="1">
        <v>1</v>
      </c>
      <c r="M3493" s="1">
        <v>25000</v>
      </c>
      <c r="O3493" s="1">
        <v>97</v>
      </c>
      <c r="P3493" s="4">
        <f t="shared" si="162"/>
        <v>125000</v>
      </c>
      <c r="Q3493" s="4">
        <f t="shared" si="163"/>
        <v>5</v>
      </c>
      <c r="R3493" s="4">
        <f t="shared" si="164"/>
        <v>25000</v>
      </c>
    </row>
    <row r="3494" spans="1:18">
      <c r="A3494" s="1">
        <v>2</v>
      </c>
      <c r="B3494" s="1" t="str">
        <f>"قطعات و لوازم يدكي"</f>
        <v>قطعات و لوازم يدكي</v>
      </c>
      <c r="C3494" s="1">
        <v>120</v>
      </c>
      <c r="D3494" s="1" t="str">
        <f>"انبار قطعات و لوازم يدكي بشکه سازي اصفهان"</f>
        <v>انبار قطعات و لوازم يدكي بشکه سازي اصفهان</v>
      </c>
      <c r="E3494" s="1" t="str">
        <f>"4311700363"</f>
        <v>4311700363</v>
      </c>
      <c r="F3494" s="1" t="str">
        <f>"پيچ آلن 5*12m"</f>
        <v>پيچ آلن 5*12m</v>
      </c>
      <c r="G3494" s="1" t="str">
        <f>"عدد"</f>
        <v>عدد</v>
      </c>
      <c r="H3494" s="1">
        <v>0</v>
      </c>
      <c r="I3494" s="1">
        <v>0</v>
      </c>
      <c r="J3494" s="1">
        <v>7</v>
      </c>
      <c r="K3494" s="1">
        <v>42000</v>
      </c>
      <c r="L3494" s="1">
        <v>0</v>
      </c>
      <c r="M3494" s="1">
        <v>0</v>
      </c>
      <c r="O3494" s="1">
        <v>97</v>
      </c>
      <c r="P3494" s="4">
        <f t="shared" si="162"/>
        <v>42000</v>
      </c>
      <c r="Q3494" s="4">
        <f t="shared" si="163"/>
        <v>7</v>
      </c>
      <c r="R3494" s="4">
        <f t="shared" si="164"/>
        <v>6000</v>
      </c>
    </row>
    <row r="3495" spans="1:18">
      <c r="A3495" s="1">
        <v>2</v>
      </c>
      <c r="B3495" s="1" t="str">
        <f>"قطعات و لوازم يدكي"</f>
        <v>قطعات و لوازم يدكي</v>
      </c>
      <c r="C3495" s="1">
        <v>120</v>
      </c>
      <c r="D3495" s="1" t="str">
        <f>"انبار قطعات و لوازم يدكي بشکه سازي اصفهان"</f>
        <v>انبار قطعات و لوازم يدكي بشکه سازي اصفهان</v>
      </c>
      <c r="E3495" s="1" t="str">
        <f>"4311700369"</f>
        <v>4311700369</v>
      </c>
      <c r="F3495" s="1" t="str">
        <f>"گريس خور پرس 40 تن"</f>
        <v>گريس خور پرس 40 تن</v>
      </c>
      <c r="G3495" s="1" t="str">
        <f>"عدد"</f>
        <v>عدد</v>
      </c>
      <c r="H3495" s="1">
        <v>0</v>
      </c>
      <c r="I3495" s="1">
        <v>0</v>
      </c>
      <c r="J3495" s="1">
        <v>4</v>
      </c>
      <c r="K3495" s="1">
        <v>220000</v>
      </c>
      <c r="L3495" s="1">
        <v>0</v>
      </c>
      <c r="M3495" s="1">
        <v>0</v>
      </c>
      <c r="O3495" s="1">
        <v>97</v>
      </c>
      <c r="P3495" s="4">
        <f t="shared" si="162"/>
        <v>220000</v>
      </c>
      <c r="Q3495" s="4">
        <f t="shared" si="163"/>
        <v>4</v>
      </c>
      <c r="R3495" s="4">
        <f t="shared" si="164"/>
        <v>55000</v>
      </c>
    </row>
    <row r="3496" spans="1:18">
      <c r="A3496" s="1">
        <v>2</v>
      </c>
      <c r="B3496" s="1" t="str">
        <f>"قطعات و لوازم يدكي"</f>
        <v>قطعات و لوازم يدكي</v>
      </c>
      <c r="C3496" s="1">
        <v>120</v>
      </c>
      <c r="D3496" s="1" t="str">
        <f>"انبار قطعات و لوازم يدكي بشکه سازي اصفهان"</f>
        <v>انبار قطعات و لوازم يدكي بشکه سازي اصفهان</v>
      </c>
      <c r="E3496" s="1" t="str">
        <f>"4311700375"</f>
        <v>4311700375</v>
      </c>
      <c r="F3496" s="1" t="str">
        <f>"خار مخصوص شافت ريل رنگ a8"</f>
        <v>خار مخصوص شافت ريل رنگ a8</v>
      </c>
      <c r="G3496" s="1" t="str">
        <f>"عدد"</f>
        <v>عدد</v>
      </c>
      <c r="H3496" s="1">
        <v>0</v>
      </c>
      <c r="I3496" s="1">
        <v>0</v>
      </c>
      <c r="J3496" s="1">
        <v>500</v>
      </c>
      <c r="K3496" s="1">
        <v>350000</v>
      </c>
      <c r="L3496" s="1">
        <v>50</v>
      </c>
      <c r="M3496" s="1">
        <v>35000</v>
      </c>
      <c r="O3496" s="1">
        <v>97</v>
      </c>
      <c r="P3496" s="4">
        <f t="shared" si="162"/>
        <v>315000</v>
      </c>
      <c r="Q3496" s="4">
        <f t="shared" si="163"/>
        <v>450</v>
      </c>
      <c r="R3496" s="4">
        <f t="shared" si="164"/>
        <v>700</v>
      </c>
    </row>
    <row r="3497" spans="1:18" hidden="1">
      <c r="A3497" s="1">
        <v>2</v>
      </c>
      <c r="B3497" s="1" t="str">
        <f>"قطعات و لوازم يدكي"</f>
        <v>قطعات و لوازم يدكي</v>
      </c>
      <c r="C3497" s="1">
        <v>120</v>
      </c>
      <c r="D3497" s="1" t="str">
        <f>"انبار قطعات و لوازم يدكي بشکه سازي اصفهان"</f>
        <v>انبار قطعات و لوازم يدكي بشکه سازي اصفهان</v>
      </c>
      <c r="E3497" s="1" t="str">
        <f>"5211700009"</f>
        <v>5211700009</v>
      </c>
      <c r="F3497" s="1" t="str">
        <f>"پيچ گوشتي دو سو."</f>
        <v>پيچ گوشتي دو سو.</v>
      </c>
      <c r="G3497" s="1" t="str">
        <f>"عدد"</f>
        <v>عدد</v>
      </c>
      <c r="H3497" s="1">
        <v>0</v>
      </c>
      <c r="I3497" s="1">
        <v>0</v>
      </c>
      <c r="J3497" s="1">
        <v>5</v>
      </c>
      <c r="K3497" s="1">
        <v>1620000</v>
      </c>
      <c r="L3497" s="1">
        <v>5</v>
      </c>
      <c r="M3497" s="1">
        <v>1620000</v>
      </c>
      <c r="O3497" s="1">
        <v>97</v>
      </c>
      <c r="P3497" s="1">
        <f t="shared" si="162"/>
        <v>0</v>
      </c>
      <c r="Q3497" s="1">
        <f t="shared" si="163"/>
        <v>0</v>
      </c>
      <c r="R3497" s="1" t="e">
        <f t="shared" si="164"/>
        <v>#DIV/0!</v>
      </c>
    </row>
    <row r="3498" spans="1:18">
      <c r="A3498" s="1">
        <v>2</v>
      </c>
      <c r="B3498" s="1" t="str">
        <f>"قطعات و لوازم يدكي"</f>
        <v>قطعات و لوازم يدكي</v>
      </c>
      <c r="C3498" s="1">
        <v>120</v>
      </c>
      <c r="D3498" s="1" t="str">
        <f>"انبار قطعات و لوازم يدكي بشکه سازي اصفهان"</f>
        <v>انبار قطعات و لوازم يدكي بشکه سازي اصفهان</v>
      </c>
      <c r="E3498" s="1" t="str">
        <f>"5311700004"</f>
        <v>5311700004</v>
      </c>
      <c r="F3498" s="1" t="str">
        <f>"فرچه رنگ بزرگ"</f>
        <v>فرچه رنگ بزرگ</v>
      </c>
      <c r="G3498" s="1" t="str">
        <f>"عدد"</f>
        <v>عدد</v>
      </c>
      <c r="H3498" s="1">
        <v>0</v>
      </c>
      <c r="I3498" s="1">
        <v>0</v>
      </c>
      <c r="J3498" s="1">
        <v>1</v>
      </c>
      <c r="K3498" s="1">
        <v>150000</v>
      </c>
      <c r="L3498" s="1">
        <v>0</v>
      </c>
      <c r="M3498" s="1">
        <v>0</v>
      </c>
      <c r="O3498" s="1">
        <v>97</v>
      </c>
      <c r="P3498" s="4">
        <f t="shared" si="162"/>
        <v>150000</v>
      </c>
      <c r="Q3498" s="4">
        <f t="shared" si="163"/>
        <v>1</v>
      </c>
      <c r="R3498" s="4">
        <f t="shared" si="164"/>
        <v>150000</v>
      </c>
    </row>
    <row r="3499" spans="1:18">
      <c r="A3499" s="1">
        <v>2</v>
      </c>
      <c r="B3499" s="1" t="str">
        <f>"قطعات و لوازم يدكي"</f>
        <v>قطعات و لوازم يدكي</v>
      </c>
      <c r="C3499" s="1">
        <v>120</v>
      </c>
      <c r="D3499" s="1" t="str">
        <f>"انبار قطعات و لوازم يدكي بشکه سازي اصفهان"</f>
        <v>انبار قطعات و لوازم يدكي بشکه سازي اصفهان</v>
      </c>
      <c r="E3499" s="1" t="str">
        <f>"5311700005"</f>
        <v>5311700005</v>
      </c>
      <c r="F3499" s="1" t="str">
        <f>"چرخ پايه يخچال"</f>
        <v>چرخ پايه يخچال</v>
      </c>
      <c r="G3499" s="1" t="str">
        <f>"جفت"</f>
        <v>جفت</v>
      </c>
      <c r="H3499" s="1">
        <v>0</v>
      </c>
      <c r="I3499" s="1">
        <v>0</v>
      </c>
      <c r="J3499" s="1">
        <v>1</v>
      </c>
      <c r="K3499" s="1">
        <v>300000</v>
      </c>
      <c r="L3499" s="1">
        <v>0</v>
      </c>
      <c r="M3499" s="1">
        <v>0</v>
      </c>
      <c r="O3499" s="1">
        <v>97</v>
      </c>
      <c r="P3499" s="4">
        <f t="shared" si="162"/>
        <v>300000</v>
      </c>
      <c r="Q3499" s="4">
        <f t="shared" si="163"/>
        <v>1</v>
      </c>
      <c r="R3499" s="4">
        <f t="shared" si="164"/>
        <v>300000</v>
      </c>
    </row>
    <row r="3500" spans="1:18" hidden="1">
      <c r="A3500" s="1">
        <v>2</v>
      </c>
      <c r="B3500" s="1" t="str">
        <f>"قطعات و لوازم يدكي"</f>
        <v>قطعات و لوازم يدكي</v>
      </c>
      <c r="C3500" s="1">
        <v>120</v>
      </c>
      <c r="D3500" s="1" t="str">
        <f>"انبار قطعات و لوازم يدكي بشکه سازي اصفهان"</f>
        <v>انبار قطعات و لوازم يدكي بشکه سازي اصفهان</v>
      </c>
      <c r="E3500" s="1" t="str">
        <f>"6211700009"</f>
        <v>6211700009</v>
      </c>
      <c r="F3500" s="1" t="str">
        <f>"پنبه"</f>
        <v>پنبه</v>
      </c>
      <c r="G3500" s="1" t="str">
        <f>"بسته"</f>
        <v>بسته</v>
      </c>
      <c r="H3500" s="1">
        <v>0</v>
      </c>
      <c r="I3500" s="1">
        <v>0</v>
      </c>
      <c r="J3500" s="1">
        <v>8</v>
      </c>
      <c r="K3500" s="1">
        <v>272000</v>
      </c>
      <c r="L3500" s="1">
        <v>8</v>
      </c>
      <c r="M3500" s="1">
        <v>272000</v>
      </c>
      <c r="O3500" s="1">
        <v>97</v>
      </c>
      <c r="P3500" s="1">
        <f t="shared" si="162"/>
        <v>0</v>
      </c>
      <c r="Q3500" s="1">
        <f t="shared" si="163"/>
        <v>0</v>
      </c>
      <c r="R3500" s="1" t="e">
        <f t="shared" si="164"/>
        <v>#DIV/0!</v>
      </c>
    </row>
    <row r="3501" spans="1:18" hidden="1">
      <c r="A3501" s="1">
        <v>2</v>
      </c>
      <c r="B3501" s="1" t="str">
        <f>"قطعات و لوازم يدكي"</f>
        <v>قطعات و لوازم يدكي</v>
      </c>
      <c r="C3501" s="1">
        <v>120</v>
      </c>
      <c r="D3501" s="1" t="str">
        <f>"انبار قطعات و لوازم يدكي بشکه سازي اصفهان"</f>
        <v>انبار قطعات و لوازم يدكي بشکه سازي اصفهان</v>
      </c>
      <c r="E3501" s="1" t="str">
        <f>"6211700010"</f>
        <v>6211700010</v>
      </c>
      <c r="F3501" s="1" t="str">
        <f>"دستکش استريل"</f>
        <v>دستکش استريل</v>
      </c>
      <c r="G3501" s="1" t="str">
        <f>"بسته"</f>
        <v>بسته</v>
      </c>
      <c r="H3501" s="1">
        <v>0</v>
      </c>
      <c r="I3501" s="1">
        <v>0</v>
      </c>
      <c r="J3501" s="1">
        <v>1</v>
      </c>
      <c r="K3501" s="1">
        <v>100000</v>
      </c>
      <c r="L3501" s="1">
        <v>1</v>
      </c>
      <c r="M3501" s="1">
        <v>100000</v>
      </c>
      <c r="O3501" s="1">
        <v>97</v>
      </c>
      <c r="P3501" s="1">
        <f t="shared" si="162"/>
        <v>0</v>
      </c>
      <c r="Q3501" s="1">
        <f t="shared" si="163"/>
        <v>0</v>
      </c>
      <c r="R3501" s="1" t="e">
        <f t="shared" si="164"/>
        <v>#DIV/0!</v>
      </c>
    </row>
    <row r="3502" spans="1:18" hidden="1">
      <c r="A3502" s="1">
        <v>2</v>
      </c>
      <c r="B3502" s="1" t="str">
        <f>"قطعات و لوازم يدكي"</f>
        <v>قطعات و لوازم يدكي</v>
      </c>
      <c r="C3502" s="1">
        <v>120</v>
      </c>
      <c r="D3502" s="1" t="str">
        <f>"انبار قطعات و لوازم يدكي بشکه سازي اصفهان"</f>
        <v>انبار قطعات و لوازم يدكي بشکه سازي اصفهان</v>
      </c>
      <c r="E3502" s="1" t="str">
        <f>"6211700012"</f>
        <v>6211700012</v>
      </c>
      <c r="F3502" s="1" t="str">
        <f>"محلول شستسوي چشمي"</f>
        <v>محلول شستسوي چشمي</v>
      </c>
      <c r="G3502" s="1" t="str">
        <f>"عدد"</f>
        <v>عدد</v>
      </c>
      <c r="H3502" s="1">
        <v>0</v>
      </c>
      <c r="I3502" s="1">
        <v>0</v>
      </c>
      <c r="J3502" s="1">
        <v>3</v>
      </c>
      <c r="K3502" s="1">
        <v>105000</v>
      </c>
      <c r="L3502" s="1">
        <v>3</v>
      </c>
      <c r="M3502" s="1">
        <v>105000</v>
      </c>
      <c r="O3502" s="1">
        <v>97</v>
      </c>
      <c r="P3502" s="1">
        <f t="shared" si="162"/>
        <v>0</v>
      </c>
      <c r="Q3502" s="1">
        <f t="shared" si="163"/>
        <v>0</v>
      </c>
      <c r="R3502" s="1" t="e">
        <f t="shared" si="164"/>
        <v>#DIV/0!</v>
      </c>
    </row>
    <row r="3503" spans="1:18" hidden="1">
      <c r="A3503" s="1">
        <v>2</v>
      </c>
      <c r="B3503" s="1" t="str">
        <f>"قطعات و لوازم يدكي"</f>
        <v>قطعات و لوازم يدكي</v>
      </c>
      <c r="C3503" s="1">
        <v>120</v>
      </c>
      <c r="D3503" s="1" t="str">
        <f>"انبار قطعات و لوازم يدكي بشکه سازي اصفهان"</f>
        <v>انبار قطعات و لوازم يدكي بشکه سازي اصفهان</v>
      </c>
      <c r="E3503" s="1" t="str">
        <f>"7111700003"</f>
        <v>7111700003</v>
      </c>
      <c r="F3503" s="1" t="str">
        <f>"تراش"</f>
        <v>تراش</v>
      </c>
      <c r="G3503" s="1" t="str">
        <f>"عدد"</f>
        <v>عدد</v>
      </c>
      <c r="H3503" s="1">
        <v>0</v>
      </c>
      <c r="I3503" s="1">
        <v>0</v>
      </c>
      <c r="J3503" s="1">
        <v>4</v>
      </c>
      <c r="K3503" s="1">
        <v>40000</v>
      </c>
      <c r="L3503" s="1">
        <v>4</v>
      </c>
      <c r="M3503" s="1">
        <v>40000</v>
      </c>
      <c r="O3503" s="1">
        <v>97</v>
      </c>
      <c r="P3503" s="1">
        <f t="shared" si="162"/>
        <v>0</v>
      </c>
      <c r="Q3503" s="1">
        <f t="shared" si="163"/>
        <v>0</v>
      </c>
      <c r="R3503" s="1" t="e">
        <f t="shared" si="164"/>
        <v>#DIV/0!</v>
      </c>
    </row>
    <row r="3504" spans="1:18" hidden="1">
      <c r="A3504" s="1">
        <v>2</v>
      </c>
      <c r="B3504" s="1" t="str">
        <f>"قطعات و لوازم يدكي"</f>
        <v>قطعات و لوازم يدكي</v>
      </c>
      <c r="C3504" s="1">
        <v>120</v>
      </c>
      <c r="D3504" s="1" t="str">
        <f>"انبار قطعات و لوازم يدكي بشکه سازي اصفهان"</f>
        <v>انبار قطعات و لوازم يدكي بشکه سازي اصفهان</v>
      </c>
      <c r="E3504" s="1" t="str">
        <f>"7111700007"</f>
        <v>7111700007</v>
      </c>
      <c r="F3504" s="1" t="str">
        <f>"ماژيک معمولي."</f>
        <v>ماژيک معمولي.</v>
      </c>
      <c r="G3504" s="1" t="str">
        <f>"عدد"</f>
        <v>عدد</v>
      </c>
      <c r="H3504" s="1">
        <v>0</v>
      </c>
      <c r="I3504" s="1">
        <v>0</v>
      </c>
      <c r="J3504" s="1">
        <v>19</v>
      </c>
      <c r="K3504" s="1">
        <v>247000</v>
      </c>
      <c r="L3504" s="1">
        <v>19</v>
      </c>
      <c r="M3504" s="1">
        <v>247000</v>
      </c>
      <c r="O3504" s="1">
        <v>97</v>
      </c>
      <c r="P3504" s="1">
        <f t="shared" si="162"/>
        <v>0</v>
      </c>
      <c r="Q3504" s="1">
        <f t="shared" si="163"/>
        <v>0</v>
      </c>
      <c r="R3504" s="1" t="e">
        <f t="shared" si="164"/>
        <v>#DIV/0!</v>
      </c>
    </row>
    <row r="3505" spans="1:18" hidden="1">
      <c r="A3505" s="1">
        <v>2</v>
      </c>
      <c r="B3505" s="1" t="str">
        <f>"قطعات و لوازم يدكي"</f>
        <v>قطعات و لوازم يدكي</v>
      </c>
      <c r="C3505" s="1">
        <v>120</v>
      </c>
      <c r="D3505" s="1" t="str">
        <f>"انبار قطعات و لوازم يدكي بشکه سازي اصفهان"</f>
        <v>انبار قطعات و لوازم يدكي بشکه سازي اصفهان</v>
      </c>
      <c r="E3505" s="1" t="str">
        <f>"7111700022"</f>
        <v>7111700022</v>
      </c>
      <c r="F3505" s="1" t="str">
        <f>"کاغذ A5."</f>
        <v>کاغذ A5.</v>
      </c>
      <c r="G3505" s="1" t="str">
        <f>"بسته"</f>
        <v>بسته</v>
      </c>
      <c r="H3505" s="1">
        <v>0</v>
      </c>
      <c r="I3505" s="1">
        <v>0</v>
      </c>
      <c r="J3505" s="1">
        <v>19</v>
      </c>
      <c r="K3505" s="1">
        <v>1016500</v>
      </c>
      <c r="L3505" s="1">
        <v>19</v>
      </c>
      <c r="M3505" s="1">
        <v>1016500</v>
      </c>
      <c r="O3505" s="1">
        <v>97</v>
      </c>
      <c r="P3505" s="1">
        <f t="shared" si="162"/>
        <v>0</v>
      </c>
      <c r="Q3505" s="1">
        <f t="shared" si="163"/>
        <v>0</v>
      </c>
      <c r="R3505" s="1" t="e">
        <f t="shared" si="164"/>
        <v>#DIV/0!</v>
      </c>
    </row>
    <row r="3506" spans="1:18" hidden="1">
      <c r="A3506" s="1">
        <v>2</v>
      </c>
      <c r="B3506" s="1" t="str">
        <f>"قطعات و لوازم يدكي"</f>
        <v>قطعات و لوازم يدكي</v>
      </c>
      <c r="C3506" s="1">
        <v>120</v>
      </c>
      <c r="D3506" s="1" t="str">
        <f>"انبار قطعات و لوازم يدكي بشکه سازي اصفهان"</f>
        <v>انبار قطعات و لوازم يدكي بشکه سازي اصفهان</v>
      </c>
      <c r="E3506" s="1" t="str">
        <f>"7111700024"</f>
        <v>7111700024</v>
      </c>
      <c r="F3506" s="1" t="str">
        <f>"سيم تلفن."</f>
        <v>سيم تلفن.</v>
      </c>
      <c r="G3506" s="1" t="str">
        <f>"عدد"</f>
        <v>عدد</v>
      </c>
      <c r="H3506" s="1">
        <v>0</v>
      </c>
      <c r="I3506" s="1">
        <v>0</v>
      </c>
      <c r="J3506" s="1">
        <v>3</v>
      </c>
      <c r="K3506" s="1">
        <v>150000</v>
      </c>
      <c r="L3506" s="1">
        <v>3</v>
      </c>
      <c r="M3506" s="1">
        <v>150000</v>
      </c>
      <c r="O3506" s="1">
        <v>97</v>
      </c>
      <c r="P3506" s="1">
        <f t="shared" si="162"/>
        <v>0</v>
      </c>
      <c r="Q3506" s="1">
        <f t="shared" si="163"/>
        <v>0</v>
      </c>
      <c r="R3506" s="1" t="e">
        <f t="shared" si="164"/>
        <v>#DIV/0!</v>
      </c>
    </row>
    <row r="3507" spans="1:18" hidden="1">
      <c r="A3507" s="1">
        <v>2</v>
      </c>
      <c r="B3507" s="1" t="str">
        <f>"قطعات و لوازم يدكي"</f>
        <v>قطعات و لوازم يدكي</v>
      </c>
      <c r="C3507" s="1">
        <v>120</v>
      </c>
      <c r="D3507" s="1" t="str">
        <f>"انبار قطعات و لوازم يدكي بشکه سازي اصفهان"</f>
        <v>انبار قطعات و لوازم يدكي بشکه سازي اصفهان</v>
      </c>
      <c r="E3507" s="1" t="str">
        <f>"7111700026"</f>
        <v>7111700026</v>
      </c>
      <c r="F3507" s="1" t="str">
        <f>"ليوان شيشه اي."</f>
        <v>ليوان شيشه اي.</v>
      </c>
      <c r="G3507" s="1" t="str">
        <f>"عدد"</f>
        <v>عدد</v>
      </c>
      <c r="H3507" s="1">
        <v>0</v>
      </c>
      <c r="I3507" s="1">
        <v>0</v>
      </c>
      <c r="J3507" s="1">
        <v>32</v>
      </c>
      <c r="K3507" s="1">
        <v>160000</v>
      </c>
      <c r="L3507" s="1">
        <v>32</v>
      </c>
      <c r="M3507" s="1">
        <v>160000</v>
      </c>
      <c r="O3507" s="1">
        <v>97</v>
      </c>
      <c r="P3507" s="1">
        <f t="shared" si="162"/>
        <v>0</v>
      </c>
      <c r="Q3507" s="1">
        <f t="shared" si="163"/>
        <v>0</v>
      </c>
      <c r="R3507" s="1" t="e">
        <f t="shared" si="164"/>
        <v>#DIV/0!</v>
      </c>
    </row>
    <row r="3508" spans="1:18" hidden="1">
      <c r="A3508" s="1">
        <v>2</v>
      </c>
      <c r="B3508" s="1" t="str">
        <f>"قطعات و لوازم يدكي"</f>
        <v>قطعات و لوازم يدكي</v>
      </c>
      <c r="C3508" s="1">
        <v>120</v>
      </c>
      <c r="D3508" s="1" t="str">
        <f>"انبار قطعات و لوازم يدكي بشکه سازي اصفهان"</f>
        <v>انبار قطعات و لوازم يدكي بشکه سازي اصفهان</v>
      </c>
      <c r="E3508" s="1" t="str">
        <f>"7111700041"</f>
        <v>7111700041</v>
      </c>
      <c r="F3508" s="1" t="str">
        <f>"اسکاج"</f>
        <v>اسکاج</v>
      </c>
      <c r="G3508" s="1" t="str">
        <f>"عدد"</f>
        <v>عدد</v>
      </c>
      <c r="H3508" s="1">
        <v>0</v>
      </c>
      <c r="I3508" s="1">
        <v>0</v>
      </c>
      <c r="J3508" s="1">
        <v>1</v>
      </c>
      <c r="K3508" s="1">
        <v>7500</v>
      </c>
      <c r="L3508" s="1">
        <v>1</v>
      </c>
      <c r="M3508" s="1">
        <v>7500</v>
      </c>
      <c r="O3508" s="1">
        <v>97</v>
      </c>
      <c r="P3508" s="1">
        <f t="shared" si="162"/>
        <v>0</v>
      </c>
      <c r="Q3508" s="1">
        <f t="shared" si="163"/>
        <v>0</v>
      </c>
      <c r="R3508" s="1" t="e">
        <f t="shared" si="164"/>
        <v>#DIV/0!</v>
      </c>
    </row>
    <row r="3509" spans="1:18" hidden="1">
      <c r="A3509" s="1">
        <v>2</v>
      </c>
      <c r="B3509" s="1" t="str">
        <f>"قطعات و لوازم يدكي"</f>
        <v>قطعات و لوازم يدكي</v>
      </c>
      <c r="C3509" s="1">
        <v>120</v>
      </c>
      <c r="D3509" s="1" t="str">
        <f>"انبار قطعات و لوازم يدكي بشکه سازي اصفهان"</f>
        <v>انبار قطعات و لوازم يدكي بشکه سازي اصفهان</v>
      </c>
      <c r="E3509" s="1" t="str">
        <f>"7111700052"</f>
        <v>7111700052</v>
      </c>
      <c r="F3509" s="1" t="str">
        <f>"جارو کارواشي"</f>
        <v>جارو کارواشي</v>
      </c>
      <c r="G3509" s="1" t="str">
        <f>"عدد"</f>
        <v>عدد</v>
      </c>
      <c r="H3509" s="1">
        <v>0</v>
      </c>
      <c r="I3509" s="1">
        <v>0</v>
      </c>
      <c r="J3509" s="1">
        <v>53</v>
      </c>
      <c r="K3509" s="1">
        <v>6150000</v>
      </c>
      <c r="L3509" s="1">
        <v>53</v>
      </c>
      <c r="M3509" s="1">
        <v>6150000</v>
      </c>
      <c r="O3509" s="1">
        <v>97</v>
      </c>
      <c r="P3509" s="1">
        <f t="shared" si="162"/>
        <v>0</v>
      </c>
      <c r="Q3509" s="1">
        <f t="shared" si="163"/>
        <v>0</v>
      </c>
      <c r="R3509" s="1" t="e">
        <f t="shared" si="164"/>
        <v>#DIV/0!</v>
      </c>
    </row>
    <row r="3510" spans="1:18" hidden="1">
      <c r="A3510" s="1">
        <v>2</v>
      </c>
      <c r="B3510" s="1" t="str">
        <f>"قطعات و لوازم يدكي"</f>
        <v>قطعات و لوازم يدكي</v>
      </c>
      <c r="C3510" s="1">
        <v>120</v>
      </c>
      <c r="D3510" s="1" t="str">
        <f>"انبار قطعات و لوازم يدكي بشکه سازي اصفهان"</f>
        <v>انبار قطعات و لوازم يدكي بشکه سازي اصفهان</v>
      </c>
      <c r="E3510" s="1" t="str">
        <f>"7111700054"</f>
        <v>7111700054</v>
      </c>
      <c r="F3510" s="1" t="str">
        <f>"دسته جارو ( پلاستيکي )"</f>
        <v>دسته جارو ( پلاستيکي )</v>
      </c>
      <c r="G3510" s="1" t="str">
        <f>"عدد"</f>
        <v>عدد</v>
      </c>
      <c r="H3510" s="1">
        <v>0</v>
      </c>
      <c r="I3510" s="1">
        <v>0</v>
      </c>
      <c r="J3510" s="1">
        <v>51</v>
      </c>
      <c r="K3510" s="1">
        <v>4020000</v>
      </c>
      <c r="L3510" s="1">
        <v>51</v>
      </c>
      <c r="M3510" s="1">
        <v>4020000</v>
      </c>
      <c r="O3510" s="1">
        <v>97</v>
      </c>
      <c r="P3510" s="1">
        <f t="shared" si="162"/>
        <v>0</v>
      </c>
      <c r="Q3510" s="1">
        <f t="shared" si="163"/>
        <v>0</v>
      </c>
      <c r="R3510" s="1" t="e">
        <f t="shared" si="164"/>
        <v>#DIV/0!</v>
      </c>
    </row>
    <row r="3511" spans="1:18" hidden="1">
      <c r="A3511" s="1">
        <v>2</v>
      </c>
      <c r="B3511" s="1" t="str">
        <f>"قطعات و لوازم يدكي"</f>
        <v>قطعات و لوازم يدكي</v>
      </c>
      <c r="C3511" s="1">
        <v>120</v>
      </c>
      <c r="D3511" s="1" t="str">
        <f>"انبار قطعات و لوازم يدكي بشکه سازي اصفهان"</f>
        <v>انبار قطعات و لوازم يدكي بشکه سازي اصفهان</v>
      </c>
      <c r="E3511" s="1" t="str">
        <f>"7111700059"</f>
        <v>7111700059</v>
      </c>
      <c r="F3511" s="1" t="str">
        <f>"پلاستيک زباله کوچک رولي."</f>
        <v>پلاستيک زباله کوچک رولي.</v>
      </c>
      <c r="G3511" s="1" t="str">
        <f>"رول"</f>
        <v>رول</v>
      </c>
      <c r="H3511" s="1">
        <v>0</v>
      </c>
      <c r="I3511" s="1">
        <v>0</v>
      </c>
      <c r="J3511" s="1">
        <v>1</v>
      </c>
      <c r="K3511" s="1">
        <v>47000</v>
      </c>
      <c r="L3511" s="1">
        <v>1</v>
      </c>
      <c r="M3511" s="1">
        <v>47000</v>
      </c>
      <c r="O3511" s="1">
        <v>97</v>
      </c>
      <c r="P3511" s="1">
        <f t="shared" si="162"/>
        <v>0</v>
      </c>
      <c r="Q3511" s="1">
        <f t="shared" si="163"/>
        <v>0</v>
      </c>
      <c r="R3511" s="1" t="e">
        <f t="shared" si="164"/>
        <v>#DIV/0!</v>
      </c>
    </row>
    <row r="3512" spans="1:18">
      <c r="A3512" s="1">
        <v>2</v>
      </c>
      <c r="B3512" s="1" t="str">
        <f>"قطعات و لوازم يدكي"</f>
        <v>قطعات و لوازم يدكي</v>
      </c>
      <c r="C3512" s="1">
        <v>205</v>
      </c>
      <c r="D3512" s="1" t="str">
        <f>"انبار قطعات و لوازم يدكي بندرعباس"</f>
        <v>انبار قطعات و لوازم يدكي بندرعباس</v>
      </c>
      <c r="E3512" s="1" t="str">
        <f>"1800000003"</f>
        <v>1800000003</v>
      </c>
      <c r="F3512" s="1" t="str">
        <f>"بال ولو 1"</f>
        <v>بال ولو 1</v>
      </c>
      <c r="G3512" s="1" t="str">
        <f>"عدد"</f>
        <v>عدد</v>
      </c>
      <c r="H3512" s="1">
        <v>2</v>
      </c>
      <c r="I3512" s="1">
        <v>3280000</v>
      </c>
      <c r="J3512" s="1">
        <v>0</v>
      </c>
      <c r="K3512" s="1">
        <v>0</v>
      </c>
      <c r="L3512" s="1">
        <v>0</v>
      </c>
      <c r="M3512" s="1">
        <v>0</v>
      </c>
      <c r="O3512" s="1">
        <v>97</v>
      </c>
      <c r="P3512" s="4">
        <f t="shared" si="162"/>
        <v>3280000</v>
      </c>
      <c r="Q3512" s="4">
        <f t="shared" si="163"/>
        <v>2</v>
      </c>
      <c r="R3512" s="4">
        <f t="shared" si="164"/>
        <v>1640000</v>
      </c>
    </row>
    <row r="3513" spans="1:18">
      <c r="A3513" s="1">
        <v>2</v>
      </c>
      <c r="B3513" s="1" t="str">
        <f>"قطعات و لوازم يدكي"</f>
        <v>قطعات و لوازم يدكي</v>
      </c>
      <c r="C3513" s="1">
        <v>205</v>
      </c>
      <c r="D3513" s="1" t="str">
        <f>"انبار قطعات و لوازم يدكي بندرعباس"</f>
        <v>انبار قطعات و لوازم يدكي بندرعباس</v>
      </c>
      <c r="E3513" s="1" t="str">
        <f>"1800000006"</f>
        <v>1800000006</v>
      </c>
      <c r="F3513" s="1" t="str">
        <f>"بلايند فلنج 4"</f>
        <v>بلايند فلنج 4</v>
      </c>
      <c r="G3513" s="1" t="str">
        <f>"عدد"</f>
        <v>عدد</v>
      </c>
      <c r="H3513" s="1">
        <v>4</v>
      </c>
      <c r="I3513" s="1">
        <v>3632000</v>
      </c>
      <c r="J3513" s="1">
        <v>0</v>
      </c>
      <c r="K3513" s="1">
        <v>0</v>
      </c>
      <c r="L3513" s="1">
        <v>0</v>
      </c>
      <c r="M3513" s="1">
        <v>0</v>
      </c>
      <c r="O3513" s="1">
        <v>97</v>
      </c>
      <c r="P3513" s="4">
        <f t="shared" si="162"/>
        <v>3632000</v>
      </c>
      <c r="Q3513" s="4">
        <f t="shared" si="163"/>
        <v>4</v>
      </c>
      <c r="R3513" s="4">
        <f t="shared" si="164"/>
        <v>908000</v>
      </c>
    </row>
    <row r="3514" spans="1:18">
      <c r="A3514" s="1">
        <v>2</v>
      </c>
      <c r="B3514" s="1" t="str">
        <f>"قطعات و لوازم يدكي"</f>
        <v>قطعات و لوازم يدكي</v>
      </c>
      <c r="C3514" s="1">
        <v>205</v>
      </c>
      <c r="D3514" s="1" t="str">
        <f>"انبار قطعات و لوازم يدكي بندرعباس"</f>
        <v>انبار قطعات و لوازم يدكي بندرعباس</v>
      </c>
      <c r="E3514" s="1" t="str">
        <f>"1800000010"</f>
        <v>1800000010</v>
      </c>
      <c r="F3514" s="1" t="str">
        <f>"بلايند فلنج3/4"</f>
        <v>بلايند فلنج3/4</v>
      </c>
      <c r="G3514" s="1" t="str">
        <f>"عدد"</f>
        <v>عدد</v>
      </c>
      <c r="H3514" s="1">
        <v>8</v>
      </c>
      <c r="I3514" s="1">
        <v>1032000</v>
      </c>
      <c r="J3514" s="1">
        <v>0</v>
      </c>
      <c r="K3514" s="1">
        <v>0</v>
      </c>
      <c r="L3514" s="1">
        <v>0</v>
      </c>
      <c r="M3514" s="1">
        <v>0</v>
      </c>
      <c r="O3514" s="1">
        <v>97</v>
      </c>
      <c r="P3514" s="4">
        <f t="shared" si="162"/>
        <v>1032000</v>
      </c>
      <c r="Q3514" s="4">
        <f t="shared" si="163"/>
        <v>8</v>
      </c>
      <c r="R3514" s="4">
        <f t="shared" si="164"/>
        <v>129000</v>
      </c>
    </row>
    <row r="3515" spans="1:18" hidden="1">
      <c r="A3515" s="1">
        <v>2</v>
      </c>
      <c r="B3515" s="1" t="str">
        <f>"قطعات و لوازم يدكي"</f>
        <v>قطعات و لوازم يدكي</v>
      </c>
      <c r="C3515" s="1">
        <v>205</v>
      </c>
      <c r="D3515" s="1" t="str">
        <f>"انبار قطعات و لوازم يدكي بندرعباس"</f>
        <v>انبار قطعات و لوازم يدكي بندرعباس</v>
      </c>
      <c r="E3515" s="1" t="str">
        <f>"1800000033"</f>
        <v>1800000033</v>
      </c>
      <c r="F3515" s="1" t="str">
        <f>"فلنج 4اينچ"</f>
        <v>فلنج 4اينچ</v>
      </c>
      <c r="G3515" s="1" t="str">
        <f>"عدد"</f>
        <v>عدد</v>
      </c>
      <c r="H3515" s="1">
        <v>3</v>
      </c>
      <c r="I3515" s="1">
        <v>2859000</v>
      </c>
      <c r="J3515" s="1">
        <v>0</v>
      </c>
      <c r="K3515" s="1">
        <v>0</v>
      </c>
      <c r="L3515" s="1">
        <v>3</v>
      </c>
      <c r="M3515" s="1">
        <v>2859000</v>
      </c>
      <c r="O3515" s="1">
        <v>97</v>
      </c>
      <c r="P3515" s="1">
        <f t="shared" si="162"/>
        <v>0</v>
      </c>
      <c r="Q3515" s="1">
        <f t="shared" si="163"/>
        <v>0</v>
      </c>
      <c r="R3515" s="1" t="e">
        <f t="shared" si="164"/>
        <v>#DIV/0!</v>
      </c>
    </row>
    <row r="3516" spans="1:18" hidden="1">
      <c r="A3516" s="1">
        <v>2</v>
      </c>
      <c r="B3516" s="1" t="str">
        <f>"قطعات و لوازم يدكي"</f>
        <v>قطعات و لوازم يدكي</v>
      </c>
      <c r="C3516" s="1">
        <v>205</v>
      </c>
      <c r="D3516" s="1" t="str">
        <f>"انبار قطعات و لوازم يدكي بندرعباس"</f>
        <v>انبار قطعات و لوازم يدكي بندرعباس</v>
      </c>
      <c r="E3516" s="1" t="str">
        <f>"1800000038"</f>
        <v>1800000038</v>
      </c>
      <c r="F3516" s="1" t="str">
        <f>"فلنج12"</f>
        <v>فلنج12</v>
      </c>
      <c r="G3516" s="1" t="str">
        <f>"عدد"</f>
        <v>عدد</v>
      </c>
      <c r="H3516" s="1">
        <v>1</v>
      </c>
      <c r="I3516" s="1">
        <v>6062000</v>
      </c>
      <c r="J3516" s="1">
        <v>0</v>
      </c>
      <c r="K3516" s="1">
        <v>0</v>
      </c>
      <c r="L3516" s="1">
        <v>1</v>
      </c>
      <c r="M3516" s="1">
        <v>6062000</v>
      </c>
      <c r="O3516" s="1">
        <v>97</v>
      </c>
      <c r="P3516" s="1">
        <f t="shared" si="162"/>
        <v>0</v>
      </c>
      <c r="Q3516" s="1">
        <f t="shared" si="163"/>
        <v>0</v>
      </c>
      <c r="R3516" s="1" t="e">
        <f t="shared" si="164"/>
        <v>#DIV/0!</v>
      </c>
    </row>
    <row r="3517" spans="1:18">
      <c r="A3517" s="1">
        <v>2</v>
      </c>
      <c r="B3517" s="1" t="str">
        <f>"قطعات و لوازم يدكي"</f>
        <v>قطعات و لوازم يدكي</v>
      </c>
      <c r="C3517" s="1">
        <v>205</v>
      </c>
      <c r="D3517" s="1" t="str">
        <f>"انبار قطعات و لوازم يدكي بندرعباس"</f>
        <v>انبار قطعات و لوازم يدكي بندرعباس</v>
      </c>
      <c r="E3517" s="1" t="str">
        <f>"1800000046"</f>
        <v>1800000046</v>
      </c>
      <c r="F3517" s="1" t="str">
        <f>"فلنج 3"</f>
        <v>فلنج 3</v>
      </c>
      <c r="G3517" s="1" t="str">
        <f>"عدد"</f>
        <v>عدد</v>
      </c>
      <c r="H3517" s="1">
        <v>10</v>
      </c>
      <c r="I3517" s="1">
        <v>7080000</v>
      </c>
      <c r="J3517" s="1">
        <v>0</v>
      </c>
      <c r="K3517" s="1">
        <v>0</v>
      </c>
      <c r="L3517" s="1">
        <v>0</v>
      </c>
      <c r="M3517" s="1">
        <v>0</v>
      </c>
      <c r="O3517" s="1">
        <v>97</v>
      </c>
      <c r="P3517" s="4">
        <f t="shared" si="162"/>
        <v>7080000</v>
      </c>
      <c r="Q3517" s="4">
        <f t="shared" si="163"/>
        <v>10</v>
      </c>
      <c r="R3517" s="4">
        <f t="shared" si="164"/>
        <v>708000</v>
      </c>
    </row>
    <row r="3518" spans="1:18">
      <c r="A3518" s="1">
        <v>2</v>
      </c>
      <c r="B3518" s="1" t="str">
        <f>"قطعات و لوازم يدكي"</f>
        <v>قطعات و لوازم يدكي</v>
      </c>
      <c r="C3518" s="1">
        <v>205</v>
      </c>
      <c r="D3518" s="1" t="str">
        <f>"انبار قطعات و لوازم يدكي بندرعباس"</f>
        <v>انبار قطعات و لوازم يدكي بندرعباس</v>
      </c>
      <c r="E3518" s="1" t="str">
        <f>"1800000049"</f>
        <v>1800000049</v>
      </c>
      <c r="F3518" s="1" t="str">
        <f>"گيت ولو 10"</f>
        <v>گيت ولو 10</v>
      </c>
      <c r="G3518" s="1" t="str">
        <f>"عدد"</f>
        <v>عدد</v>
      </c>
      <c r="H3518" s="1">
        <v>3</v>
      </c>
      <c r="I3518" s="1">
        <v>94740000</v>
      </c>
      <c r="J3518" s="1">
        <v>0</v>
      </c>
      <c r="K3518" s="1">
        <v>0</v>
      </c>
      <c r="L3518" s="1">
        <v>0</v>
      </c>
      <c r="M3518" s="1">
        <v>0</v>
      </c>
      <c r="O3518" s="1">
        <v>97</v>
      </c>
      <c r="P3518" s="4">
        <f t="shared" si="162"/>
        <v>94740000</v>
      </c>
      <c r="Q3518" s="4">
        <f t="shared" si="163"/>
        <v>3</v>
      </c>
      <c r="R3518" s="4">
        <f t="shared" si="164"/>
        <v>31580000</v>
      </c>
    </row>
    <row r="3519" spans="1:18">
      <c r="A3519" s="1">
        <v>2</v>
      </c>
      <c r="B3519" s="1" t="str">
        <f>"قطعات و لوازم يدكي"</f>
        <v>قطعات و لوازم يدكي</v>
      </c>
      <c r="C3519" s="1">
        <v>205</v>
      </c>
      <c r="D3519" s="1" t="str">
        <f>"انبار قطعات و لوازم يدكي بندرعباس"</f>
        <v>انبار قطعات و لوازم يدكي بندرعباس</v>
      </c>
      <c r="E3519" s="1" t="str">
        <f>"1800000058"</f>
        <v>1800000058</v>
      </c>
      <c r="F3519" s="1" t="str">
        <f>"گيت ولو 2 اينچ"</f>
        <v>گيت ولو 2 اينچ</v>
      </c>
      <c r="G3519" s="1" t="str">
        <f>"عدد"</f>
        <v>عدد</v>
      </c>
      <c r="H3519" s="1">
        <v>7</v>
      </c>
      <c r="I3519" s="1">
        <v>25620000</v>
      </c>
      <c r="J3519" s="1">
        <v>0</v>
      </c>
      <c r="K3519" s="1">
        <v>0</v>
      </c>
      <c r="L3519" s="1">
        <v>1</v>
      </c>
      <c r="M3519" s="1">
        <v>3660000</v>
      </c>
      <c r="O3519" s="1">
        <v>97</v>
      </c>
      <c r="P3519" s="4">
        <f t="shared" si="162"/>
        <v>21960000</v>
      </c>
      <c r="Q3519" s="4">
        <f t="shared" si="163"/>
        <v>6</v>
      </c>
      <c r="R3519" s="4">
        <f t="shared" si="164"/>
        <v>3660000</v>
      </c>
    </row>
    <row r="3520" spans="1:18">
      <c r="A3520" s="1">
        <v>2</v>
      </c>
      <c r="B3520" s="1" t="str">
        <f>"قطعات و لوازم يدكي"</f>
        <v>قطعات و لوازم يدكي</v>
      </c>
      <c r="C3520" s="1">
        <v>205</v>
      </c>
      <c r="D3520" s="1" t="str">
        <f>"انبار قطعات و لوازم يدكي بندرعباس"</f>
        <v>انبار قطعات و لوازم يدكي بندرعباس</v>
      </c>
      <c r="E3520" s="1" t="str">
        <f>"1800000065"</f>
        <v>1800000065</v>
      </c>
      <c r="F3520" s="1" t="str">
        <f>"زانو 3/4"</f>
        <v>زانو 3/4</v>
      </c>
      <c r="G3520" s="1" t="str">
        <f>"عدد"</f>
        <v>عدد</v>
      </c>
      <c r="H3520" s="1">
        <v>42</v>
      </c>
      <c r="I3520" s="1">
        <v>9240000</v>
      </c>
      <c r="J3520" s="1">
        <v>0</v>
      </c>
      <c r="K3520" s="1">
        <v>0</v>
      </c>
      <c r="L3520" s="1">
        <v>20</v>
      </c>
      <c r="M3520" s="1">
        <v>4400000</v>
      </c>
      <c r="O3520" s="1">
        <v>97</v>
      </c>
      <c r="P3520" s="4">
        <f t="shared" si="162"/>
        <v>4840000</v>
      </c>
      <c r="Q3520" s="4">
        <f t="shared" si="163"/>
        <v>22</v>
      </c>
      <c r="R3520" s="4">
        <f t="shared" si="164"/>
        <v>220000</v>
      </c>
    </row>
    <row r="3521" spans="1:18">
      <c r="A3521" s="1">
        <v>2</v>
      </c>
      <c r="B3521" s="1" t="str">
        <f>"قطعات و لوازم يدكي"</f>
        <v>قطعات و لوازم يدكي</v>
      </c>
      <c r="C3521" s="1">
        <v>205</v>
      </c>
      <c r="D3521" s="1" t="str">
        <f>"انبار قطعات و لوازم يدكي بندرعباس"</f>
        <v>انبار قطعات و لوازم يدكي بندرعباس</v>
      </c>
      <c r="E3521" s="1" t="str">
        <f>"1800000077"</f>
        <v>1800000077</v>
      </c>
      <c r="F3521" s="1" t="str">
        <f>"زانو 8"</f>
        <v>زانو 8</v>
      </c>
      <c r="G3521" s="1" t="str">
        <f>"عدد"</f>
        <v>عدد</v>
      </c>
      <c r="H3521" s="1">
        <v>4</v>
      </c>
      <c r="I3521" s="1">
        <v>3628000</v>
      </c>
      <c r="J3521" s="1">
        <v>0</v>
      </c>
      <c r="K3521" s="1">
        <v>0</v>
      </c>
      <c r="L3521" s="1">
        <v>0</v>
      </c>
      <c r="M3521" s="1">
        <v>0</v>
      </c>
      <c r="O3521" s="1">
        <v>97</v>
      </c>
      <c r="P3521" s="4">
        <f t="shared" si="162"/>
        <v>3628000</v>
      </c>
      <c r="Q3521" s="4">
        <f t="shared" si="163"/>
        <v>4</v>
      </c>
      <c r="R3521" s="4">
        <f t="shared" si="164"/>
        <v>907000</v>
      </c>
    </row>
    <row r="3522" spans="1:18">
      <c r="A3522" s="1">
        <v>2</v>
      </c>
      <c r="B3522" s="1" t="str">
        <f>"قطعات و لوازم يدكي"</f>
        <v>قطعات و لوازم يدكي</v>
      </c>
      <c r="C3522" s="1">
        <v>205</v>
      </c>
      <c r="D3522" s="1" t="str">
        <f>"انبار قطعات و لوازم يدكي بندرعباس"</f>
        <v>انبار قطعات و لوازم يدكي بندرعباس</v>
      </c>
      <c r="E3522" s="1" t="str">
        <f>"1800000079"</f>
        <v>1800000079</v>
      </c>
      <c r="F3522" s="1" t="str">
        <f>"زانو12"</f>
        <v>زانو12</v>
      </c>
      <c r="G3522" s="1" t="str">
        <f>"عدد"</f>
        <v>عدد</v>
      </c>
      <c r="H3522" s="1">
        <v>3</v>
      </c>
      <c r="I3522" s="1">
        <v>5520000</v>
      </c>
      <c r="J3522" s="1">
        <v>0</v>
      </c>
      <c r="K3522" s="1">
        <v>0</v>
      </c>
      <c r="L3522" s="1">
        <v>0</v>
      </c>
      <c r="M3522" s="1">
        <v>0</v>
      </c>
      <c r="O3522" s="1">
        <v>97</v>
      </c>
      <c r="P3522" s="4">
        <f t="shared" si="162"/>
        <v>5520000</v>
      </c>
      <c r="Q3522" s="4">
        <f t="shared" si="163"/>
        <v>3</v>
      </c>
      <c r="R3522" s="4">
        <f t="shared" si="164"/>
        <v>1840000</v>
      </c>
    </row>
    <row r="3523" spans="1:18">
      <c r="A3523" s="1">
        <v>2</v>
      </c>
      <c r="B3523" s="1" t="str">
        <f>"قطعات و لوازم يدكي"</f>
        <v>قطعات و لوازم يدكي</v>
      </c>
      <c r="C3523" s="1">
        <v>205</v>
      </c>
      <c r="D3523" s="1" t="str">
        <f>"انبار قطعات و لوازم يدكي بندرعباس"</f>
        <v>انبار قطعات و لوازم يدكي بندرعباس</v>
      </c>
      <c r="E3523" s="1" t="str">
        <f>"1800000093"</f>
        <v>1800000093</v>
      </c>
      <c r="F3523" s="1" t="str">
        <f>"تبديل 6-8"</f>
        <v>تبديل 6-8</v>
      </c>
      <c r="G3523" s="1" t="str">
        <f>"عدد"</f>
        <v>عدد</v>
      </c>
      <c r="H3523" s="1">
        <v>1</v>
      </c>
      <c r="I3523" s="1">
        <v>778000</v>
      </c>
      <c r="J3523" s="1">
        <v>0</v>
      </c>
      <c r="K3523" s="1">
        <v>0</v>
      </c>
      <c r="L3523" s="1">
        <v>0</v>
      </c>
      <c r="M3523" s="1">
        <v>0</v>
      </c>
      <c r="O3523" s="1">
        <v>97</v>
      </c>
      <c r="P3523" s="4">
        <f t="shared" ref="P3523:P3586" si="165">I3523+K3523-M3523</f>
        <v>778000</v>
      </c>
      <c r="Q3523" s="4">
        <f t="shared" ref="Q3523:Q3586" si="166">H3523+J3523-L3523</f>
        <v>1</v>
      </c>
      <c r="R3523" s="4">
        <f t="shared" ref="R3523:R3586" si="167">P3523/Q3523</f>
        <v>778000</v>
      </c>
    </row>
    <row r="3524" spans="1:18">
      <c r="A3524" s="1">
        <v>2</v>
      </c>
      <c r="B3524" s="1" t="str">
        <f>"قطعات و لوازم يدكي"</f>
        <v>قطعات و لوازم يدكي</v>
      </c>
      <c r="C3524" s="1">
        <v>205</v>
      </c>
      <c r="D3524" s="1" t="str">
        <f>"انبار قطعات و لوازم يدكي بندرعباس"</f>
        <v>انبار قطعات و لوازم يدكي بندرعباس</v>
      </c>
      <c r="E3524" s="1" t="str">
        <f>"1800000097"</f>
        <v>1800000097</v>
      </c>
      <c r="F3524" s="1" t="str">
        <f>"تبديل 8-10"</f>
        <v>تبديل 8-10</v>
      </c>
      <c r="G3524" s="1" t="str">
        <f>"عدد"</f>
        <v>عدد</v>
      </c>
      <c r="H3524" s="1">
        <v>2</v>
      </c>
      <c r="I3524" s="1">
        <v>2808000</v>
      </c>
      <c r="J3524" s="1">
        <v>0</v>
      </c>
      <c r="K3524" s="1">
        <v>0</v>
      </c>
      <c r="L3524" s="1">
        <v>0</v>
      </c>
      <c r="M3524" s="1">
        <v>0</v>
      </c>
      <c r="O3524" s="1">
        <v>97</v>
      </c>
      <c r="P3524" s="4">
        <f t="shared" si="165"/>
        <v>2808000</v>
      </c>
      <c r="Q3524" s="4">
        <f t="shared" si="166"/>
        <v>2</v>
      </c>
      <c r="R3524" s="4">
        <f t="shared" si="167"/>
        <v>1404000</v>
      </c>
    </row>
    <row r="3525" spans="1:18">
      <c r="A3525" s="1">
        <v>2</v>
      </c>
      <c r="B3525" s="1" t="str">
        <f>"قطعات و لوازم يدكي"</f>
        <v>قطعات و لوازم يدكي</v>
      </c>
      <c r="C3525" s="1">
        <v>205</v>
      </c>
      <c r="D3525" s="1" t="str">
        <f>"انبار قطعات و لوازم يدكي بندرعباس"</f>
        <v>انبار قطعات و لوازم يدكي بندرعباس</v>
      </c>
      <c r="E3525" s="1" t="str">
        <f>"1800000103"</f>
        <v>1800000103</v>
      </c>
      <c r="F3525" s="1" t="str">
        <f>"تي8*20"</f>
        <v>تي8*20</v>
      </c>
      <c r="G3525" s="1" t="str">
        <f>"عدد"</f>
        <v>عدد</v>
      </c>
      <c r="H3525" s="1">
        <v>1</v>
      </c>
      <c r="I3525" s="1">
        <v>5388991</v>
      </c>
      <c r="J3525" s="1">
        <v>0</v>
      </c>
      <c r="K3525" s="1">
        <v>0</v>
      </c>
      <c r="L3525" s="1">
        <v>0</v>
      </c>
      <c r="M3525" s="1">
        <v>0</v>
      </c>
      <c r="O3525" s="1">
        <v>97</v>
      </c>
      <c r="P3525" s="4">
        <f t="shared" si="165"/>
        <v>5388991</v>
      </c>
      <c r="Q3525" s="4">
        <f t="shared" si="166"/>
        <v>1</v>
      </c>
      <c r="R3525" s="4">
        <f t="shared" si="167"/>
        <v>5388991</v>
      </c>
    </row>
    <row r="3526" spans="1:18">
      <c r="A3526" s="1">
        <v>2</v>
      </c>
      <c r="B3526" s="1" t="str">
        <f>"قطعات و لوازم يدكي"</f>
        <v>قطعات و لوازم يدكي</v>
      </c>
      <c r="C3526" s="1">
        <v>205</v>
      </c>
      <c r="D3526" s="1" t="str">
        <f>"انبار قطعات و لوازم يدكي بندرعباس"</f>
        <v>انبار قطعات و لوازم يدكي بندرعباس</v>
      </c>
      <c r="E3526" s="1" t="str">
        <f>"1800000106"</f>
        <v>1800000106</v>
      </c>
      <c r="F3526" s="1" t="str">
        <f>"تي6"</f>
        <v>تي6</v>
      </c>
      <c r="G3526" s="1" t="str">
        <f>"عدد"</f>
        <v>عدد</v>
      </c>
      <c r="H3526" s="1">
        <v>1</v>
      </c>
      <c r="I3526" s="1">
        <v>778000</v>
      </c>
      <c r="J3526" s="1">
        <v>0</v>
      </c>
      <c r="K3526" s="1">
        <v>0</v>
      </c>
      <c r="L3526" s="1">
        <v>0</v>
      </c>
      <c r="M3526" s="1">
        <v>0</v>
      </c>
      <c r="O3526" s="1">
        <v>97</v>
      </c>
      <c r="P3526" s="4">
        <f t="shared" si="165"/>
        <v>778000</v>
      </c>
      <c r="Q3526" s="4">
        <f t="shared" si="166"/>
        <v>1</v>
      </c>
      <c r="R3526" s="4">
        <f t="shared" si="167"/>
        <v>778000</v>
      </c>
    </row>
    <row r="3527" spans="1:18">
      <c r="A3527" s="1">
        <v>2</v>
      </c>
      <c r="B3527" s="1" t="str">
        <f>"قطعات و لوازم يدكي"</f>
        <v>قطعات و لوازم يدكي</v>
      </c>
      <c r="C3527" s="1">
        <v>205</v>
      </c>
      <c r="D3527" s="1" t="str">
        <f>"انبار قطعات و لوازم يدكي بندرعباس"</f>
        <v>انبار قطعات و لوازم يدكي بندرعباس</v>
      </c>
      <c r="E3527" s="1" t="str">
        <f>"1800000116"</f>
        <v>1800000116</v>
      </c>
      <c r="F3527" s="1" t="str">
        <f>"تي تبديل 12-8"</f>
        <v>تي تبديل 12-8</v>
      </c>
      <c r="G3527" s="1" t="str">
        <f>"عدد"</f>
        <v>عدد</v>
      </c>
      <c r="H3527" s="1">
        <v>1</v>
      </c>
      <c r="I3527" s="1">
        <v>2334000</v>
      </c>
      <c r="J3527" s="1">
        <v>0</v>
      </c>
      <c r="K3527" s="1">
        <v>0</v>
      </c>
      <c r="L3527" s="1">
        <v>0</v>
      </c>
      <c r="M3527" s="1">
        <v>0</v>
      </c>
      <c r="O3527" s="1">
        <v>97</v>
      </c>
      <c r="P3527" s="4">
        <f t="shared" si="165"/>
        <v>2334000</v>
      </c>
      <c r="Q3527" s="4">
        <f t="shared" si="166"/>
        <v>1</v>
      </c>
      <c r="R3527" s="4">
        <f t="shared" si="167"/>
        <v>2334000</v>
      </c>
    </row>
    <row r="3528" spans="1:18">
      <c r="A3528" s="1">
        <v>2</v>
      </c>
      <c r="B3528" s="1" t="str">
        <f>"قطعات و لوازم يدكي"</f>
        <v>قطعات و لوازم يدكي</v>
      </c>
      <c r="C3528" s="1">
        <v>205</v>
      </c>
      <c r="D3528" s="1" t="str">
        <f>"انبار قطعات و لوازم يدكي بندرعباس"</f>
        <v>انبار قطعات و لوازم يدكي بندرعباس</v>
      </c>
      <c r="E3528" s="1" t="str">
        <f>"1800000130"</f>
        <v>1800000130</v>
      </c>
      <c r="F3528" s="1" t="str">
        <f>"تي ولد تبديل 3-4"</f>
        <v>تي ولد تبديل 3-4</v>
      </c>
      <c r="G3528" s="1" t="str">
        <f>"عدد"</f>
        <v>عدد</v>
      </c>
      <c r="H3528" s="1">
        <v>1</v>
      </c>
      <c r="I3528" s="1">
        <v>540000</v>
      </c>
      <c r="J3528" s="1">
        <v>0</v>
      </c>
      <c r="K3528" s="1">
        <v>0</v>
      </c>
      <c r="L3528" s="1">
        <v>0</v>
      </c>
      <c r="M3528" s="1">
        <v>0</v>
      </c>
      <c r="O3528" s="1">
        <v>97</v>
      </c>
      <c r="P3528" s="4">
        <f t="shared" si="165"/>
        <v>540000</v>
      </c>
      <c r="Q3528" s="4">
        <f t="shared" si="166"/>
        <v>1</v>
      </c>
      <c r="R3528" s="4">
        <f t="shared" si="167"/>
        <v>540000</v>
      </c>
    </row>
    <row r="3529" spans="1:18">
      <c r="A3529" s="1">
        <v>2</v>
      </c>
      <c r="B3529" s="1" t="str">
        <f>"قطعات و لوازم يدكي"</f>
        <v>قطعات و لوازم يدكي</v>
      </c>
      <c r="C3529" s="1">
        <v>205</v>
      </c>
      <c r="D3529" s="1" t="str">
        <f>"انبار قطعات و لوازم يدكي بندرعباس"</f>
        <v>انبار قطعات و لوازم يدكي بندرعباس</v>
      </c>
      <c r="E3529" s="1" t="str">
        <f>"1800000157"</f>
        <v>1800000157</v>
      </c>
      <c r="F3529" s="1" t="str">
        <f>"اورينگ پمپ سوخت مشعل 40"</f>
        <v>اورينگ پمپ سوخت مشعل 40</v>
      </c>
      <c r="G3529" s="1" t="str">
        <f>"عدد"</f>
        <v>عدد</v>
      </c>
      <c r="H3529" s="1">
        <v>14</v>
      </c>
      <c r="I3529" s="1">
        <v>14000</v>
      </c>
      <c r="J3529" s="1">
        <v>0</v>
      </c>
      <c r="K3529" s="1">
        <v>0</v>
      </c>
      <c r="L3529" s="1">
        <v>5</v>
      </c>
      <c r="M3529" s="1">
        <v>5000</v>
      </c>
      <c r="O3529" s="1">
        <v>97</v>
      </c>
      <c r="P3529" s="4">
        <f t="shared" si="165"/>
        <v>9000</v>
      </c>
      <c r="Q3529" s="4">
        <f t="shared" si="166"/>
        <v>9</v>
      </c>
      <c r="R3529" s="4">
        <f t="shared" si="167"/>
        <v>1000</v>
      </c>
    </row>
    <row r="3530" spans="1:18" hidden="1">
      <c r="A3530" s="1">
        <v>2</v>
      </c>
      <c r="B3530" s="1" t="str">
        <f>"قطعات و لوازم يدكي"</f>
        <v>قطعات و لوازم يدكي</v>
      </c>
      <c r="C3530" s="1">
        <v>205</v>
      </c>
      <c r="D3530" s="1" t="str">
        <f>"انبار قطعات و لوازم يدكي بندرعباس"</f>
        <v>انبار قطعات و لوازم يدكي بندرعباس</v>
      </c>
      <c r="E3530" s="1" t="str">
        <f>"1800000179"</f>
        <v>1800000179</v>
      </c>
      <c r="F3530" s="1" t="str">
        <f>"بست شيلنگي 3/4"</f>
        <v>بست شيلنگي 3/4</v>
      </c>
      <c r="G3530" s="1" t="str">
        <f>"عدد"</f>
        <v>عدد</v>
      </c>
      <c r="H3530" s="1">
        <v>6</v>
      </c>
      <c r="I3530" s="1">
        <v>12000</v>
      </c>
      <c r="J3530" s="1">
        <v>0</v>
      </c>
      <c r="K3530" s="1">
        <v>0</v>
      </c>
      <c r="L3530" s="1">
        <v>6</v>
      </c>
      <c r="M3530" s="1">
        <v>12000</v>
      </c>
      <c r="O3530" s="1">
        <v>97</v>
      </c>
      <c r="P3530" s="1">
        <f t="shared" si="165"/>
        <v>0</v>
      </c>
      <c r="Q3530" s="1">
        <f t="shared" si="166"/>
        <v>0</v>
      </c>
      <c r="R3530" s="1" t="e">
        <f t="shared" si="167"/>
        <v>#DIV/0!</v>
      </c>
    </row>
    <row r="3531" spans="1:18">
      <c r="A3531" s="1">
        <v>2</v>
      </c>
      <c r="B3531" s="1" t="str">
        <f>"قطعات و لوازم يدكي"</f>
        <v>قطعات و لوازم يدكي</v>
      </c>
      <c r="C3531" s="1">
        <v>205</v>
      </c>
      <c r="D3531" s="1" t="str">
        <f>"انبار قطعات و لوازم يدكي بندرعباس"</f>
        <v>انبار قطعات و لوازم يدكي بندرعباس</v>
      </c>
      <c r="E3531" s="1" t="str">
        <f>"1800000182"</f>
        <v>1800000182</v>
      </c>
      <c r="F3531" s="1" t="str">
        <f>"بست فلزي 42-25"</f>
        <v>بست فلزي 42-25</v>
      </c>
      <c r="G3531" s="1" t="str">
        <f>"عدد"</f>
        <v>عدد</v>
      </c>
      <c r="H3531" s="1">
        <v>4</v>
      </c>
      <c r="I3531" s="1">
        <v>800</v>
      </c>
      <c r="J3531" s="1">
        <v>0</v>
      </c>
      <c r="K3531" s="1">
        <v>0</v>
      </c>
      <c r="L3531" s="1">
        <v>2</v>
      </c>
      <c r="M3531" s="1">
        <v>400</v>
      </c>
      <c r="O3531" s="1">
        <v>97</v>
      </c>
      <c r="P3531" s="4">
        <f t="shared" si="165"/>
        <v>400</v>
      </c>
      <c r="Q3531" s="4">
        <f t="shared" si="166"/>
        <v>2</v>
      </c>
      <c r="R3531" s="4">
        <f t="shared" si="167"/>
        <v>200</v>
      </c>
    </row>
    <row r="3532" spans="1:18">
      <c r="A3532" s="1">
        <v>2</v>
      </c>
      <c r="B3532" s="1" t="str">
        <f>"قطعات و لوازم يدكي"</f>
        <v>قطعات و لوازم يدكي</v>
      </c>
      <c r="C3532" s="1">
        <v>205</v>
      </c>
      <c r="D3532" s="1" t="str">
        <f>"انبار قطعات و لوازم يدكي بندرعباس"</f>
        <v>انبار قطعات و لوازم يدكي بندرعباس</v>
      </c>
      <c r="E3532" s="1" t="str">
        <f>"1800000186"</f>
        <v>1800000186</v>
      </c>
      <c r="F3532" s="1" t="str">
        <f>"بست کمربندي پلاستيکي 10"</f>
        <v>بست کمربندي پلاستيکي 10</v>
      </c>
      <c r="G3532" s="1" t="str">
        <f>"عدد"</f>
        <v>عدد</v>
      </c>
      <c r="H3532" s="1">
        <v>90</v>
      </c>
      <c r="I3532" s="1">
        <v>27000</v>
      </c>
      <c r="J3532" s="1">
        <v>0</v>
      </c>
      <c r="K3532" s="1">
        <v>0</v>
      </c>
      <c r="L3532" s="1">
        <v>30</v>
      </c>
      <c r="M3532" s="1">
        <v>9000</v>
      </c>
      <c r="O3532" s="1">
        <v>97</v>
      </c>
      <c r="P3532" s="4">
        <f t="shared" si="165"/>
        <v>18000</v>
      </c>
      <c r="Q3532" s="4">
        <f t="shared" si="166"/>
        <v>60</v>
      </c>
      <c r="R3532" s="4">
        <f t="shared" si="167"/>
        <v>300</v>
      </c>
    </row>
    <row r="3533" spans="1:18">
      <c r="A3533" s="1">
        <v>2</v>
      </c>
      <c r="B3533" s="1" t="str">
        <f>"قطعات و لوازم يدكي"</f>
        <v>قطعات و لوازم يدكي</v>
      </c>
      <c r="C3533" s="1">
        <v>205</v>
      </c>
      <c r="D3533" s="1" t="str">
        <f>"انبار قطعات و لوازم يدكي بندرعباس"</f>
        <v>انبار قطعات و لوازم يدكي بندرعباس</v>
      </c>
      <c r="E3533" s="1" t="str">
        <f>"1800000196"</f>
        <v>1800000196</v>
      </c>
      <c r="F3533" s="1" t="str">
        <f>"بلبرينگ skf6315"</f>
        <v>بلبرينگ skf6315</v>
      </c>
      <c r="G3533" s="1" t="str">
        <f>"عدد"</f>
        <v>عدد</v>
      </c>
      <c r="H3533" s="1">
        <v>2</v>
      </c>
      <c r="I3533" s="1">
        <v>1600000</v>
      </c>
      <c r="J3533" s="1">
        <v>0</v>
      </c>
      <c r="K3533" s="1">
        <v>0</v>
      </c>
      <c r="L3533" s="1">
        <v>0</v>
      </c>
      <c r="M3533" s="1">
        <v>0</v>
      </c>
      <c r="O3533" s="1">
        <v>97</v>
      </c>
      <c r="P3533" s="4">
        <f t="shared" si="165"/>
        <v>1600000</v>
      </c>
      <c r="Q3533" s="4">
        <f t="shared" si="166"/>
        <v>2</v>
      </c>
      <c r="R3533" s="4">
        <f t="shared" si="167"/>
        <v>800000</v>
      </c>
    </row>
    <row r="3534" spans="1:18">
      <c r="A3534" s="1">
        <v>2</v>
      </c>
      <c r="B3534" s="1" t="str">
        <f>"قطعات و لوازم يدكي"</f>
        <v>قطعات و لوازم يدكي</v>
      </c>
      <c r="C3534" s="1">
        <v>205</v>
      </c>
      <c r="D3534" s="1" t="str">
        <f>"انبار قطعات و لوازم يدكي بندرعباس"</f>
        <v>انبار قطعات و لوازم يدكي بندرعباس</v>
      </c>
      <c r="E3534" s="1" t="str">
        <f>"1800000203"</f>
        <v>1800000203</v>
      </c>
      <c r="F3534" s="1" t="str">
        <f>"بوشن فلزي کاندويت 2"</f>
        <v>بوشن فلزي کاندويت 2</v>
      </c>
      <c r="G3534" s="1" t="str">
        <f>"عدد"</f>
        <v>عدد</v>
      </c>
      <c r="H3534" s="1">
        <v>23</v>
      </c>
      <c r="I3534" s="1">
        <v>1150000</v>
      </c>
      <c r="J3534" s="1">
        <v>0</v>
      </c>
      <c r="K3534" s="1">
        <v>0</v>
      </c>
      <c r="L3534" s="1">
        <v>0</v>
      </c>
      <c r="M3534" s="1">
        <v>0</v>
      </c>
      <c r="O3534" s="1">
        <v>97</v>
      </c>
      <c r="P3534" s="4">
        <f t="shared" si="165"/>
        <v>1150000</v>
      </c>
      <c r="Q3534" s="4">
        <f t="shared" si="166"/>
        <v>23</v>
      </c>
      <c r="R3534" s="4">
        <f t="shared" si="167"/>
        <v>50000</v>
      </c>
    </row>
    <row r="3535" spans="1:18">
      <c r="A3535" s="1">
        <v>2</v>
      </c>
      <c r="B3535" s="1" t="str">
        <f>"قطعات و لوازم يدكي"</f>
        <v>قطعات و لوازم يدكي</v>
      </c>
      <c r="C3535" s="1">
        <v>205</v>
      </c>
      <c r="D3535" s="1" t="str">
        <f>"انبار قطعات و لوازم يدكي بندرعباس"</f>
        <v>انبار قطعات و لوازم يدكي بندرعباس</v>
      </c>
      <c r="E3535" s="1" t="str">
        <f>"1800000208"</f>
        <v>1800000208</v>
      </c>
      <c r="F3535" s="1" t="str">
        <f>"بوشن گلند 1/2"</f>
        <v>بوشن گلند 1/2</v>
      </c>
      <c r="G3535" s="1" t="str">
        <f>"عدد"</f>
        <v>عدد</v>
      </c>
      <c r="H3535" s="1">
        <v>25</v>
      </c>
      <c r="I3535" s="1">
        <v>750000</v>
      </c>
      <c r="J3535" s="1">
        <v>0</v>
      </c>
      <c r="K3535" s="1">
        <v>0</v>
      </c>
      <c r="L3535" s="1">
        <v>0</v>
      </c>
      <c r="M3535" s="1">
        <v>0</v>
      </c>
      <c r="O3535" s="1">
        <v>97</v>
      </c>
      <c r="P3535" s="4">
        <f t="shared" si="165"/>
        <v>750000</v>
      </c>
      <c r="Q3535" s="4">
        <f t="shared" si="166"/>
        <v>25</v>
      </c>
      <c r="R3535" s="4">
        <f t="shared" si="167"/>
        <v>30000</v>
      </c>
    </row>
    <row r="3536" spans="1:18">
      <c r="A3536" s="1">
        <v>2</v>
      </c>
      <c r="B3536" s="1" t="str">
        <f>"قطعات و لوازم يدكي"</f>
        <v>قطعات و لوازم يدكي</v>
      </c>
      <c r="C3536" s="1">
        <v>205</v>
      </c>
      <c r="D3536" s="1" t="str">
        <f>"انبار قطعات و لوازم يدكي بندرعباس"</f>
        <v>انبار قطعات و لوازم يدكي بندرعباس</v>
      </c>
      <c r="E3536" s="1" t="str">
        <f>"1800000215"</f>
        <v>1800000215</v>
      </c>
      <c r="F3536" s="1" t="str">
        <f>"ولو تکضرب پلاستيکي 20"</f>
        <v>ولو تکضرب پلاستيکي 20</v>
      </c>
      <c r="G3536" s="1" t="str">
        <f>"عدد"</f>
        <v>عدد</v>
      </c>
      <c r="H3536" s="1">
        <v>1</v>
      </c>
      <c r="I3536" s="1">
        <v>50000</v>
      </c>
      <c r="J3536" s="1">
        <v>0</v>
      </c>
      <c r="K3536" s="1">
        <v>0</v>
      </c>
      <c r="L3536" s="1">
        <v>0</v>
      </c>
      <c r="M3536" s="1">
        <v>0</v>
      </c>
      <c r="O3536" s="1">
        <v>97</v>
      </c>
      <c r="P3536" s="4">
        <f t="shared" si="165"/>
        <v>50000</v>
      </c>
      <c r="Q3536" s="4">
        <f t="shared" si="166"/>
        <v>1</v>
      </c>
      <c r="R3536" s="4">
        <f t="shared" si="167"/>
        <v>50000</v>
      </c>
    </row>
    <row r="3537" spans="1:18">
      <c r="A3537" s="1">
        <v>2</v>
      </c>
      <c r="B3537" s="1" t="str">
        <f>"قطعات و لوازم يدكي"</f>
        <v>قطعات و لوازم يدكي</v>
      </c>
      <c r="C3537" s="1">
        <v>205</v>
      </c>
      <c r="D3537" s="1" t="str">
        <f>"انبار قطعات و لوازم يدكي بندرعباس"</f>
        <v>انبار قطعات و لوازم يدكي بندرعباس</v>
      </c>
      <c r="E3537" s="1" t="str">
        <f>"1800000218"</f>
        <v>1800000218</v>
      </c>
      <c r="F3537" s="1" t="str">
        <f>"پايه تابلو کشويي داتشگر"</f>
        <v>پايه تابلو کشويي داتشگر</v>
      </c>
      <c r="G3537" s="1" t="str">
        <f>"عدد"</f>
        <v>عدد</v>
      </c>
      <c r="H3537" s="1">
        <v>1</v>
      </c>
      <c r="I3537" s="1">
        <v>500000</v>
      </c>
      <c r="J3537" s="1">
        <v>0</v>
      </c>
      <c r="K3537" s="1">
        <v>0</v>
      </c>
      <c r="L3537" s="1">
        <v>0</v>
      </c>
      <c r="M3537" s="1">
        <v>0</v>
      </c>
      <c r="O3537" s="1">
        <v>97</v>
      </c>
      <c r="P3537" s="4">
        <f t="shared" si="165"/>
        <v>500000</v>
      </c>
      <c r="Q3537" s="4">
        <f t="shared" si="166"/>
        <v>1</v>
      </c>
      <c r="R3537" s="4">
        <f t="shared" si="167"/>
        <v>500000</v>
      </c>
    </row>
    <row r="3538" spans="1:18">
      <c r="A3538" s="1">
        <v>2</v>
      </c>
      <c r="B3538" s="1" t="str">
        <f>"قطعات و لوازم يدكي"</f>
        <v>قطعات و لوازم يدكي</v>
      </c>
      <c r="C3538" s="1">
        <v>205</v>
      </c>
      <c r="D3538" s="1" t="str">
        <f>"انبار قطعات و لوازم يدكي بندرعباس"</f>
        <v>انبار قطعات و لوازم يدكي بندرعباس</v>
      </c>
      <c r="E3538" s="1" t="str">
        <f>"1800000221"</f>
        <v>1800000221</v>
      </c>
      <c r="F3538" s="1" t="str">
        <f>"پايه چراغ فلورسنتي سقفي 50*50"</f>
        <v>پايه چراغ فلورسنتي سقفي 50*50</v>
      </c>
      <c r="G3538" s="1" t="str">
        <f>"عدد"</f>
        <v>عدد</v>
      </c>
      <c r="H3538" s="1">
        <v>1</v>
      </c>
      <c r="I3538" s="1">
        <v>50000</v>
      </c>
      <c r="J3538" s="1">
        <v>20</v>
      </c>
      <c r="K3538" s="1">
        <v>300000</v>
      </c>
      <c r="L3538" s="1">
        <v>0</v>
      </c>
      <c r="M3538" s="1">
        <v>0</v>
      </c>
      <c r="O3538" s="1">
        <v>97</v>
      </c>
      <c r="P3538" s="4">
        <f t="shared" si="165"/>
        <v>350000</v>
      </c>
      <c r="Q3538" s="4">
        <f t="shared" si="166"/>
        <v>21</v>
      </c>
      <c r="R3538" s="4">
        <f t="shared" si="167"/>
        <v>16666.666666666668</v>
      </c>
    </row>
    <row r="3539" spans="1:18">
      <c r="A3539" s="1">
        <v>2</v>
      </c>
      <c r="B3539" s="1" t="str">
        <f>"قطعات و لوازم يدكي"</f>
        <v>قطعات و لوازم يدكي</v>
      </c>
      <c r="C3539" s="1">
        <v>205</v>
      </c>
      <c r="D3539" s="1" t="str">
        <f>"انبار قطعات و لوازم يدكي بندرعباس"</f>
        <v>انبار قطعات و لوازم يدكي بندرعباس</v>
      </c>
      <c r="E3539" s="1" t="str">
        <f>"1800000227"</f>
        <v>1800000227</v>
      </c>
      <c r="F3539" s="1" t="str">
        <f>"پرشر سوئيچ هانيول 10-150"</f>
        <v>پرشر سوئيچ هانيول 10-150</v>
      </c>
      <c r="G3539" s="1" t="str">
        <f>"عدد"</f>
        <v>عدد</v>
      </c>
      <c r="H3539" s="1">
        <v>2</v>
      </c>
      <c r="I3539" s="1">
        <v>16500000</v>
      </c>
      <c r="J3539" s="1">
        <v>0</v>
      </c>
      <c r="K3539" s="1">
        <v>0</v>
      </c>
      <c r="L3539" s="1">
        <v>1</v>
      </c>
      <c r="M3539" s="1">
        <v>8250000</v>
      </c>
      <c r="O3539" s="1">
        <v>97</v>
      </c>
      <c r="P3539" s="4">
        <f t="shared" si="165"/>
        <v>8250000</v>
      </c>
      <c r="Q3539" s="4">
        <f t="shared" si="166"/>
        <v>1</v>
      </c>
      <c r="R3539" s="4">
        <f t="shared" si="167"/>
        <v>8250000</v>
      </c>
    </row>
    <row r="3540" spans="1:18">
      <c r="A3540" s="1">
        <v>2</v>
      </c>
      <c r="B3540" s="1" t="str">
        <f>"قطعات و لوازم يدكي"</f>
        <v>قطعات و لوازم يدكي</v>
      </c>
      <c r="C3540" s="1">
        <v>205</v>
      </c>
      <c r="D3540" s="1" t="str">
        <f>"انبار قطعات و لوازم يدكي بندرعباس"</f>
        <v>انبار قطعات و لوازم يدكي بندرعباس</v>
      </c>
      <c r="E3540" s="1" t="str">
        <f>"1800000235"</f>
        <v>1800000235</v>
      </c>
      <c r="F3540" s="1" t="str">
        <f>"درپوش (پلاک) 1/4"</f>
        <v>درپوش (پلاک) 1/4</v>
      </c>
      <c r="G3540" s="1" t="str">
        <f>"عدد"</f>
        <v>عدد</v>
      </c>
      <c r="H3540" s="1">
        <v>15</v>
      </c>
      <c r="I3540" s="1">
        <v>2250000</v>
      </c>
      <c r="J3540" s="1">
        <v>0</v>
      </c>
      <c r="K3540" s="1">
        <v>0</v>
      </c>
      <c r="L3540" s="1">
        <v>2</v>
      </c>
      <c r="M3540" s="1">
        <v>300000</v>
      </c>
      <c r="O3540" s="1">
        <v>97</v>
      </c>
      <c r="P3540" s="4">
        <f t="shared" si="165"/>
        <v>1950000</v>
      </c>
      <c r="Q3540" s="4">
        <f t="shared" si="166"/>
        <v>13</v>
      </c>
      <c r="R3540" s="4">
        <f t="shared" si="167"/>
        <v>150000</v>
      </c>
    </row>
    <row r="3541" spans="1:18">
      <c r="A3541" s="1">
        <v>2</v>
      </c>
      <c r="B3541" s="1" t="str">
        <f>"قطعات و لوازم يدكي"</f>
        <v>قطعات و لوازم يدكي</v>
      </c>
      <c r="C3541" s="1">
        <v>205</v>
      </c>
      <c r="D3541" s="1" t="str">
        <f>"انبار قطعات و لوازم يدكي بندرعباس"</f>
        <v>انبار قطعات و لوازم يدكي بندرعباس</v>
      </c>
      <c r="E3541" s="1" t="str">
        <f>"1800000259"</f>
        <v>1800000259</v>
      </c>
      <c r="F3541" s="1" t="str">
        <f>"پيچ متري فولادي 12"</f>
        <v>پيچ متري فولادي 12</v>
      </c>
      <c r="G3541" s="1" t="str">
        <f>"شاخه"</f>
        <v>شاخه</v>
      </c>
      <c r="H3541" s="1">
        <v>4</v>
      </c>
      <c r="I3541" s="1">
        <v>400000</v>
      </c>
      <c r="J3541" s="1">
        <v>0</v>
      </c>
      <c r="K3541" s="1">
        <v>0</v>
      </c>
      <c r="L3541" s="1">
        <v>0</v>
      </c>
      <c r="M3541" s="1">
        <v>0</v>
      </c>
      <c r="O3541" s="1">
        <v>97</v>
      </c>
      <c r="P3541" s="4">
        <f t="shared" si="165"/>
        <v>400000</v>
      </c>
      <c r="Q3541" s="4">
        <f t="shared" si="166"/>
        <v>4</v>
      </c>
      <c r="R3541" s="4">
        <f t="shared" si="167"/>
        <v>100000</v>
      </c>
    </row>
    <row r="3542" spans="1:18" hidden="1">
      <c r="A3542" s="1">
        <v>2</v>
      </c>
      <c r="B3542" s="1" t="str">
        <f>"قطعات و لوازم يدكي"</f>
        <v>قطعات و لوازم يدكي</v>
      </c>
      <c r="C3542" s="1">
        <v>205</v>
      </c>
      <c r="D3542" s="1" t="str">
        <f>"انبار قطعات و لوازم يدكي بندرعباس"</f>
        <v>انبار قطعات و لوازم يدكي بندرعباس</v>
      </c>
      <c r="E3542" s="1" t="str">
        <f>"1800000260"</f>
        <v>1800000260</v>
      </c>
      <c r="F3542" s="1" t="str">
        <f>"پيچ متري فولادي 10"</f>
        <v>پيچ متري فولادي 10</v>
      </c>
      <c r="G3542" s="1" t="str">
        <f>"شاخه"</f>
        <v>شاخه</v>
      </c>
      <c r="H3542" s="1">
        <v>3</v>
      </c>
      <c r="I3542" s="1">
        <v>300000</v>
      </c>
      <c r="J3542" s="1">
        <v>0</v>
      </c>
      <c r="K3542" s="1">
        <v>0</v>
      </c>
      <c r="L3542" s="1">
        <v>3</v>
      </c>
      <c r="M3542" s="1">
        <v>300000</v>
      </c>
      <c r="O3542" s="1">
        <v>97</v>
      </c>
      <c r="P3542" s="1">
        <f t="shared" si="165"/>
        <v>0</v>
      </c>
      <c r="Q3542" s="1">
        <f t="shared" si="166"/>
        <v>0</v>
      </c>
      <c r="R3542" s="1" t="e">
        <f t="shared" si="167"/>
        <v>#DIV/0!</v>
      </c>
    </row>
    <row r="3543" spans="1:18">
      <c r="A3543" s="1">
        <v>2</v>
      </c>
      <c r="B3543" s="1" t="str">
        <f>"قطعات و لوازم يدكي"</f>
        <v>قطعات و لوازم يدكي</v>
      </c>
      <c r="C3543" s="1">
        <v>205</v>
      </c>
      <c r="D3543" s="1" t="str">
        <f>"انبار قطعات و لوازم يدكي بندرعباس"</f>
        <v>انبار قطعات و لوازم يدكي بندرعباس</v>
      </c>
      <c r="E3543" s="1" t="str">
        <f>"1800000266"</f>
        <v>1800000266</v>
      </c>
      <c r="F3543" s="1" t="str">
        <f>"پيچ و مهره 40*12"</f>
        <v>پيچ و مهره 40*12</v>
      </c>
      <c r="G3543" s="1" t="str">
        <f>"عدد"</f>
        <v>عدد</v>
      </c>
      <c r="H3543" s="1">
        <v>84</v>
      </c>
      <c r="I3543" s="1">
        <v>8400000</v>
      </c>
      <c r="J3543" s="1">
        <v>0</v>
      </c>
      <c r="K3543" s="1">
        <v>0</v>
      </c>
      <c r="L3543" s="1">
        <v>0</v>
      </c>
      <c r="M3543" s="1">
        <v>0</v>
      </c>
      <c r="O3543" s="1">
        <v>97</v>
      </c>
      <c r="P3543" s="4">
        <f t="shared" si="165"/>
        <v>8400000</v>
      </c>
      <c r="Q3543" s="4">
        <f t="shared" si="166"/>
        <v>84</v>
      </c>
      <c r="R3543" s="4">
        <f t="shared" si="167"/>
        <v>100000</v>
      </c>
    </row>
    <row r="3544" spans="1:18">
      <c r="A3544" s="1">
        <v>2</v>
      </c>
      <c r="B3544" s="1" t="str">
        <f>"قطعات و لوازم يدكي"</f>
        <v>قطعات و لوازم يدكي</v>
      </c>
      <c r="C3544" s="1">
        <v>205</v>
      </c>
      <c r="D3544" s="1" t="str">
        <f>"انبار قطعات و لوازم يدكي بندرعباس"</f>
        <v>انبار قطعات و لوازم يدكي بندرعباس</v>
      </c>
      <c r="E3544" s="1" t="str">
        <f>"1800000274"</f>
        <v>1800000274</v>
      </c>
      <c r="F3544" s="1" t="str">
        <f>"تابلو برق روکار ساده 30*40*15"</f>
        <v>تابلو برق روکار ساده 30*40*15</v>
      </c>
      <c r="G3544" s="1" t="str">
        <f>"عدد"</f>
        <v>عدد</v>
      </c>
      <c r="H3544" s="1">
        <v>2</v>
      </c>
      <c r="I3544" s="1">
        <v>80000</v>
      </c>
      <c r="J3544" s="1">
        <v>0</v>
      </c>
      <c r="K3544" s="1">
        <v>0</v>
      </c>
      <c r="L3544" s="1">
        <v>1</v>
      </c>
      <c r="M3544" s="1">
        <v>40000</v>
      </c>
      <c r="O3544" s="1">
        <v>97</v>
      </c>
      <c r="P3544" s="4">
        <f t="shared" si="165"/>
        <v>40000</v>
      </c>
      <c r="Q3544" s="4">
        <f t="shared" si="166"/>
        <v>1</v>
      </c>
      <c r="R3544" s="4">
        <f t="shared" si="167"/>
        <v>40000</v>
      </c>
    </row>
    <row r="3545" spans="1:18">
      <c r="A3545" s="1">
        <v>2</v>
      </c>
      <c r="B3545" s="1" t="str">
        <f>"قطعات و لوازم يدكي"</f>
        <v>قطعات و لوازم يدكي</v>
      </c>
      <c r="C3545" s="1">
        <v>205</v>
      </c>
      <c r="D3545" s="1" t="str">
        <f>"انبار قطعات و لوازم يدكي بندرعباس"</f>
        <v>انبار قطعات و لوازم يدكي بندرعباس</v>
      </c>
      <c r="E3545" s="1" t="str">
        <f>"1800000299"</f>
        <v>1800000299</v>
      </c>
      <c r="F3545" s="1" t="str">
        <f>"ترمينال کائوچويي ريلي تابلو 35"</f>
        <v>ترمينال کائوچويي ريلي تابلو 35</v>
      </c>
      <c r="G3545" s="1" t="str">
        <f>"عدد"</f>
        <v>عدد</v>
      </c>
      <c r="H3545" s="1">
        <v>104</v>
      </c>
      <c r="I3545" s="1">
        <v>1040000</v>
      </c>
      <c r="J3545" s="1">
        <v>0</v>
      </c>
      <c r="K3545" s="1">
        <v>0</v>
      </c>
      <c r="L3545" s="1">
        <v>18</v>
      </c>
      <c r="M3545" s="1">
        <v>180000</v>
      </c>
      <c r="O3545" s="1">
        <v>97</v>
      </c>
      <c r="P3545" s="4">
        <f t="shared" si="165"/>
        <v>860000</v>
      </c>
      <c r="Q3545" s="4">
        <f t="shared" si="166"/>
        <v>86</v>
      </c>
      <c r="R3545" s="4">
        <f t="shared" si="167"/>
        <v>10000</v>
      </c>
    </row>
    <row r="3546" spans="1:18">
      <c r="A3546" s="1">
        <v>2</v>
      </c>
      <c r="B3546" s="1" t="str">
        <f>"قطعات و لوازم يدكي"</f>
        <v>قطعات و لوازم يدكي</v>
      </c>
      <c r="C3546" s="1">
        <v>205</v>
      </c>
      <c r="D3546" s="1" t="str">
        <f>"انبار قطعات و لوازم يدكي بندرعباس"</f>
        <v>انبار قطعات و لوازم يدكي بندرعباس</v>
      </c>
      <c r="E3546" s="1" t="str">
        <f>"1800000306"</f>
        <v>1800000306</v>
      </c>
      <c r="F3546" s="1" t="str">
        <f>"ولدولت 2-4"</f>
        <v>ولدولت 2-4</v>
      </c>
      <c r="G3546" s="1" t="str">
        <f>"عدد"</f>
        <v>عدد</v>
      </c>
      <c r="H3546" s="1">
        <v>12</v>
      </c>
      <c r="I3546" s="1">
        <v>4435188</v>
      </c>
      <c r="J3546" s="1">
        <v>0</v>
      </c>
      <c r="K3546" s="1">
        <v>0</v>
      </c>
      <c r="L3546" s="1">
        <v>2</v>
      </c>
      <c r="M3546" s="1">
        <v>739198</v>
      </c>
      <c r="O3546" s="1">
        <v>97</v>
      </c>
      <c r="P3546" s="4">
        <f t="shared" si="165"/>
        <v>3695990</v>
      </c>
      <c r="Q3546" s="4">
        <f t="shared" si="166"/>
        <v>10</v>
      </c>
      <c r="R3546" s="4">
        <f t="shared" si="167"/>
        <v>369599</v>
      </c>
    </row>
    <row r="3547" spans="1:18">
      <c r="A3547" s="1">
        <v>2</v>
      </c>
      <c r="B3547" s="1" t="str">
        <f>"قطعات و لوازم يدكي"</f>
        <v>قطعات و لوازم يدكي</v>
      </c>
      <c r="C3547" s="1">
        <v>205</v>
      </c>
      <c r="D3547" s="1" t="str">
        <f>"انبار قطعات و لوازم يدكي بندرعباس"</f>
        <v>انبار قطعات و لوازم يدكي بندرعباس</v>
      </c>
      <c r="E3547" s="1" t="str">
        <f>"1800000326"</f>
        <v>1800000326</v>
      </c>
      <c r="F3547" s="1" t="str">
        <f>"چک ولو 12"</f>
        <v>چک ولو 12</v>
      </c>
      <c r="G3547" s="1" t="str">
        <f>"عدد"</f>
        <v>عدد</v>
      </c>
      <c r="H3547" s="1">
        <v>1</v>
      </c>
      <c r="I3547" s="1">
        <v>37350000</v>
      </c>
      <c r="J3547" s="1">
        <v>0</v>
      </c>
      <c r="K3547" s="1">
        <v>0</v>
      </c>
      <c r="L3547" s="1">
        <v>0</v>
      </c>
      <c r="M3547" s="1">
        <v>0</v>
      </c>
      <c r="O3547" s="1">
        <v>97</v>
      </c>
      <c r="P3547" s="4">
        <f t="shared" si="165"/>
        <v>37350000</v>
      </c>
      <c r="Q3547" s="4">
        <f t="shared" si="166"/>
        <v>1</v>
      </c>
      <c r="R3547" s="4">
        <f t="shared" si="167"/>
        <v>37350000</v>
      </c>
    </row>
    <row r="3548" spans="1:18">
      <c r="A3548" s="1">
        <v>2</v>
      </c>
      <c r="B3548" s="1" t="str">
        <f>"قطعات و لوازم يدكي"</f>
        <v>قطعات و لوازم يدكي</v>
      </c>
      <c r="C3548" s="1">
        <v>205</v>
      </c>
      <c r="D3548" s="1" t="str">
        <f>"انبار قطعات و لوازم يدكي بندرعباس"</f>
        <v>انبار قطعات و لوازم يدكي بندرعباس</v>
      </c>
      <c r="E3548" s="1" t="str">
        <f>"1800000331"</f>
        <v>1800000331</v>
      </c>
      <c r="F3548" s="1" t="str">
        <f>"خازن 40"</f>
        <v>خازن 40</v>
      </c>
      <c r="G3548" s="1" t="str">
        <f>"عدد"</f>
        <v>عدد</v>
      </c>
      <c r="H3548" s="1">
        <v>1</v>
      </c>
      <c r="I3548" s="1">
        <v>50000</v>
      </c>
      <c r="J3548" s="1">
        <v>0</v>
      </c>
      <c r="K3548" s="1">
        <v>0</v>
      </c>
      <c r="L3548" s="1">
        <v>0</v>
      </c>
      <c r="M3548" s="1">
        <v>0</v>
      </c>
      <c r="O3548" s="1">
        <v>97</v>
      </c>
      <c r="P3548" s="4">
        <f t="shared" si="165"/>
        <v>50000</v>
      </c>
      <c r="Q3548" s="4">
        <f t="shared" si="166"/>
        <v>1</v>
      </c>
      <c r="R3548" s="4">
        <f t="shared" si="167"/>
        <v>50000</v>
      </c>
    </row>
    <row r="3549" spans="1:18">
      <c r="A3549" s="1">
        <v>2</v>
      </c>
      <c r="B3549" s="1" t="str">
        <f>"قطعات و لوازم يدكي"</f>
        <v>قطعات و لوازم يدكي</v>
      </c>
      <c r="C3549" s="1">
        <v>205</v>
      </c>
      <c r="D3549" s="1" t="str">
        <f>"انبار قطعات و لوازم يدكي بندرعباس"</f>
        <v>انبار قطعات و لوازم يدكي بندرعباس</v>
      </c>
      <c r="E3549" s="1" t="str">
        <f>"1800000333"</f>
        <v>1800000333</v>
      </c>
      <c r="F3549" s="1" t="str">
        <f>"دستکش ضداسيد"</f>
        <v>دستکش ضداسيد</v>
      </c>
      <c r="G3549" s="1" t="str">
        <f>"جفت"</f>
        <v>جفت</v>
      </c>
      <c r="H3549" s="1">
        <v>5</v>
      </c>
      <c r="I3549" s="1">
        <v>225000</v>
      </c>
      <c r="J3549" s="1">
        <v>11</v>
      </c>
      <c r="K3549" s="1">
        <v>1980000</v>
      </c>
      <c r="L3549" s="1">
        <v>12</v>
      </c>
      <c r="M3549" s="1">
        <v>1642793</v>
      </c>
      <c r="O3549" s="1">
        <v>97</v>
      </c>
      <c r="P3549" s="4">
        <f t="shared" si="165"/>
        <v>562207</v>
      </c>
      <c r="Q3549" s="4">
        <f t="shared" si="166"/>
        <v>4</v>
      </c>
      <c r="R3549" s="4">
        <f t="shared" si="167"/>
        <v>140551.75</v>
      </c>
    </row>
    <row r="3550" spans="1:18" hidden="1">
      <c r="A3550" s="1">
        <v>2</v>
      </c>
      <c r="B3550" s="1" t="str">
        <f>"قطعات و لوازم يدكي"</f>
        <v>قطعات و لوازم يدكي</v>
      </c>
      <c r="C3550" s="1">
        <v>205</v>
      </c>
      <c r="D3550" s="1" t="str">
        <f>"انبار قطعات و لوازم يدكي بندرعباس"</f>
        <v>انبار قطعات و لوازم يدكي بندرعباس</v>
      </c>
      <c r="E3550" s="1" t="str">
        <f>"1800000335"</f>
        <v>1800000335</v>
      </c>
      <c r="F3550" s="1" t="str">
        <f>"دستکش ظرفشويي"</f>
        <v>دستکش ظرفشويي</v>
      </c>
      <c r="G3550" s="1" t="str">
        <f>"جفت"</f>
        <v>جفت</v>
      </c>
      <c r="H3550" s="1">
        <v>2</v>
      </c>
      <c r="I3550" s="1">
        <v>300000</v>
      </c>
      <c r="J3550" s="1">
        <v>0</v>
      </c>
      <c r="K3550" s="1">
        <v>0</v>
      </c>
      <c r="L3550" s="1">
        <v>2</v>
      </c>
      <c r="M3550" s="1">
        <v>300000</v>
      </c>
      <c r="O3550" s="1">
        <v>97</v>
      </c>
      <c r="P3550" s="1">
        <f t="shared" si="165"/>
        <v>0</v>
      </c>
      <c r="Q3550" s="1">
        <f t="shared" si="166"/>
        <v>0</v>
      </c>
      <c r="R3550" s="1" t="e">
        <f t="shared" si="167"/>
        <v>#DIV/0!</v>
      </c>
    </row>
    <row r="3551" spans="1:18">
      <c r="A3551" s="1">
        <v>2</v>
      </c>
      <c r="B3551" s="1" t="str">
        <f>"قطعات و لوازم يدكي"</f>
        <v>قطعات و لوازم يدكي</v>
      </c>
      <c r="C3551" s="1">
        <v>205</v>
      </c>
      <c r="D3551" s="1" t="str">
        <f>"انبار قطعات و لوازم يدكي بندرعباس"</f>
        <v>انبار قطعات و لوازم يدكي بندرعباس</v>
      </c>
      <c r="E3551" s="1" t="str">
        <f>"1800000340"</f>
        <v>1800000340</v>
      </c>
      <c r="F3551" s="1" t="str">
        <f>"ديسک يدکي 8"</f>
        <v>ديسک يدکي 8</v>
      </c>
      <c r="G3551" s="1" t="str">
        <f>"عدد"</f>
        <v>عدد</v>
      </c>
      <c r="H3551" s="1">
        <v>4</v>
      </c>
      <c r="I3551" s="1">
        <v>32000000</v>
      </c>
      <c r="J3551" s="1">
        <v>0</v>
      </c>
      <c r="K3551" s="1">
        <v>0</v>
      </c>
      <c r="L3551" s="1">
        <v>0</v>
      </c>
      <c r="M3551" s="1">
        <v>0</v>
      </c>
      <c r="O3551" s="1">
        <v>97</v>
      </c>
      <c r="P3551" s="4">
        <f t="shared" si="165"/>
        <v>32000000</v>
      </c>
      <c r="Q3551" s="4">
        <f t="shared" si="166"/>
        <v>4</v>
      </c>
      <c r="R3551" s="4">
        <f t="shared" si="167"/>
        <v>8000000</v>
      </c>
    </row>
    <row r="3552" spans="1:18">
      <c r="A3552" s="1">
        <v>2</v>
      </c>
      <c r="B3552" s="1" t="str">
        <f>"قطعات و لوازم يدكي"</f>
        <v>قطعات و لوازم يدكي</v>
      </c>
      <c r="C3552" s="1">
        <v>205</v>
      </c>
      <c r="D3552" s="1" t="str">
        <f>"انبار قطعات و لوازم يدكي بندرعباس"</f>
        <v>انبار قطعات و لوازم يدكي بندرعباس</v>
      </c>
      <c r="E3552" s="1" t="str">
        <f>"1800000358"</f>
        <v>1800000358</v>
      </c>
      <c r="F3552" s="1" t="str">
        <f>"رله کنترل فاز"</f>
        <v>رله کنترل فاز</v>
      </c>
      <c r="G3552" s="1" t="str">
        <f>"عدد"</f>
        <v>عدد</v>
      </c>
      <c r="H3552" s="1">
        <v>9</v>
      </c>
      <c r="I3552" s="1">
        <v>3150000</v>
      </c>
      <c r="J3552" s="1">
        <v>0</v>
      </c>
      <c r="K3552" s="1">
        <v>0</v>
      </c>
      <c r="L3552" s="1">
        <v>1</v>
      </c>
      <c r="M3552" s="1">
        <v>350000</v>
      </c>
      <c r="O3552" s="1">
        <v>97</v>
      </c>
      <c r="P3552" s="4">
        <f t="shared" si="165"/>
        <v>2800000</v>
      </c>
      <c r="Q3552" s="4">
        <f t="shared" si="166"/>
        <v>8</v>
      </c>
      <c r="R3552" s="4">
        <f t="shared" si="167"/>
        <v>350000</v>
      </c>
    </row>
    <row r="3553" spans="1:18">
      <c r="A3553" s="1">
        <v>2</v>
      </c>
      <c r="B3553" s="1" t="str">
        <f>"قطعات و لوازم يدكي"</f>
        <v>قطعات و لوازم يدكي</v>
      </c>
      <c r="C3553" s="1">
        <v>205</v>
      </c>
      <c r="D3553" s="1" t="str">
        <f>"انبار قطعات و لوازم يدكي بندرعباس"</f>
        <v>انبار قطعات و لوازم يدكي بندرعباس</v>
      </c>
      <c r="E3553" s="1" t="str">
        <f>"1800000361"</f>
        <v>1800000361</v>
      </c>
      <c r="F3553" s="1" t="str">
        <f>"رو پيچ تو پيچ 1/2"</f>
        <v>رو پيچ تو پيچ 1/2</v>
      </c>
      <c r="G3553" s="1" t="str">
        <f>"عدد"</f>
        <v>عدد</v>
      </c>
      <c r="H3553" s="1">
        <v>50</v>
      </c>
      <c r="I3553" s="1">
        <v>25000</v>
      </c>
      <c r="J3553" s="1">
        <v>0</v>
      </c>
      <c r="K3553" s="1">
        <v>0</v>
      </c>
      <c r="L3553" s="1">
        <v>1</v>
      </c>
      <c r="M3553" s="1">
        <v>500</v>
      </c>
      <c r="O3553" s="1">
        <v>97</v>
      </c>
      <c r="P3553" s="4">
        <f t="shared" si="165"/>
        <v>24500</v>
      </c>
      <c r="Q3553" s="4">
        <f t="shared" si="166"/>
        <v>49</v>
      </c>
      <c r="R3553" s="4">
        <f t="shared" si="167"/>
        <v>500</v>
      </c>
    </row>
    <row r="3554" spans="1:18">
      <c r="A3554" s="1">
        <v>2</v>
      </c>
      <c r="B3554" s="1" t="str">
        <f>"قطعات و لوازم يدكي"</f>
        <v>قطعات و لوازم يدكي</v>
      </c>
      <c r="C3554" s="1">
        <v>205</v>
      </c>
      <c r="D3554" s="1" t="str">
        <f>"انبار قطعات و لوازم يدكي بندرعباس"</f>
        <v>انبار قطعات و لوازم يدكي بندرعباس</v>
      </c>
      <c r="E3554" s="1" t="str">
        <f>"1800000368"</f>
        <v>1800000368</v>
      </c>
      <c r="F3554" s="1" t="str">
        <f>"رول برينگ 224"</f>
        <v>رول برينگ 224</v>
      </c>
      <c r="G3554" s="1" t="str">
        <f>"عدد"</f>
        <v>عدد</v>
      </c>
      <c r="H3554" s="1">
        <v>1</v>
      </c>
      <c r="I3554" s="1">
        <v>800000</v>
      </c>
      <c r="J3554" s="1">
        <v>0</v>
      </c>
      <c r="K3554" s="1">
        <v>0</v>
      </c>
      <c r="L3554" s="1">
        <v>0</v>
      </c>
      <c r="M3554" s="1">
        <v>0</v>
      </c>
      <c r="O3554" s="1">
        <v>97</v>
      </c>
      <c r="P3554" s="4">
        <f t="shared" si="165"/>
        <v>800000</v>
      </c>
      <c r="Q3554" s="4">
        <f t="shared" si="166"/>
        <v>1</v>
      </c>
      <c r="R3554" s="4">
        <f t="shared" si="167"/>
        <v>800000</v>
      </c>
    </row>
    <row r="3555" spans="1:18" hidden="1">
      <c r="A3555" s="1">
        <v>2</v>
      </c>
      <c r="B3555" s="1" t="str">
        <f>"قطعات و لوازم يدكي"</f>
        <v>قطعات و لوازم يدكي</v>
      </c>
      <c r="C3555" s="1">
        <v>205</v>
      </c>
      <c r="D3555" s="1" t="str">
        <f>"انبار قطعات و لوازم يدكي بندرعباس"</f>
        <v>انبار قطعات و لوازم يدكي بندرعباس</v>
      </c>
      <c r="E3555" s="1" t="str">
        <f>"1800000370"</f>
        <v>1800000370</v>
      </c>
      <c r="F3555" s="1" t="str">
        <f>"رول بولت 10-16"</f>
        <v>رول بولت 10-16</v>
      </c>
      <c r="G3555" s="1" t="str">
        <f>"عدد"</f>
        <v>عدد</v>
      </c>
      <c r="H3555" s="1">
        <v>12</v>
      </c>
      <c r="I3555" s="1">
        <v>960000</v>
      </c>
      <c r="J3555" s="1">
        <v>0</v>
      </c>
      <c r="K3555" s="1">
        <v>0</v>
      </c>
      <c r="L3555" s="1">
        <v>12</v>
      </c>
      <c r="M3555" s="1">
        <v>960000</v>
      </c>
      <c r="O3555" s="1">
        <v>97</v>
      </c>
      <c r="P3555" s="1">
        <f t="shared" si="165"/>
        <v>0</v>
      </c>
      <c r="Q3555" s="1">
        <f t="shared" si="166"/>
        <v>0</v>
      </c>
      <c r="R3555" s="1" t="e">
        <f t="shared" si="167"/>
        <v>#DIV/0!</v>
      </c>
    </row>
    <row r="3556" spans="1:18" hidden="1">
      <c r="A3556" s="1">
        <v>2</v>
      </c>
      <c r="B3556" s="1" t="str">
        <f>"قطعات و لوازم يدكي"</f>
        <v>قطعات و لوازم يدكي</v>
      </c>
      <c r="C3556" s="1">
        <v>205</v>
      </c>
      <c r="D3556" s="1" t="str">
        <f>"انبار قطعات و لوازم يدكي بندرعباس"</f>
        <v>انبار قطعات و لوازم يدكي بندرعباس</v>
      </c>
      <c r="E3556" s="1" t="str">
        <f>"1800000394"</f>
        <v>1800000394</v>
      </c>
      <c r="F3556" s="1" t="str">
        <f>"سرپيچ لامپ"</f>
        <v>سرپيچ لامپ</v>
      </c>
      <c r="G3556" s="1" t="str">
        <f>"عدد"</f>
        <v>عدد</v>
      </c>
      <c r="H3556" s="1">
        <v>4</v>
      </c>
      <c r="I3556" s="1">
        <v>120000</v>
      </c>
      <c r="J3556" s="1">
        <v>0</v>
      </c>
      <c r="K3556" s="1">
        <v>0</v>
      </c>
      <c r="L3556" s="1">
        <v>4</v>
      </c>
      <c r="M3556" s="1">
        <v>120000</v>
      </c>
      <c r="O3556" s="1">
        <v>97</v>
      </c>
      <c r="P3556" s="1">
        <f t="shared" si="165"/>
        <v>0</v>
      </c>
      <c r="Q3556" s="1">
        <f t="shared" si="166"/>
        <v>0</v>
      </c>
      <c r="R3556" s="1" t="e">
        <f t="shared" si="167"/>
        <v>#DIV/0!</v>
      </c>
    </row>
    <row r="3557" spans="1:18">
      <c r="A3557" s="1">
        <v>2</v>
      </c>
      <c r="B3557" s="1" t="str">
        <f>"قطعات و لوازم يدكي"</f>
        <v>قطعات و لوازم يدكي</v>
      </c>
      <c r="C3557" s="1">
        <v>205</v>
      </c>
      <c r="D3557" s="1" t="str">
        <f>"انبار قطعات و لوازم يدكي بندرعباس"</f>
        <v>انبار قطعات و لوازم يدكي بندرعباس</v>
      </c>
      <c r="E3557" s="1" t="str">
        <f>"1800000420"</f>
        <v>1800000420</v>
      </c>
      <c r="F3557" s="1" t="str">
        <f>"سيم افشان قهوه اي 1.5*1"</f>
        <v>سيم افشان قهوه اي 1.5*1</v>
      </c>
      <c r="G3557" s="1" t="str">
        <f>"متر"</f>
        <v>متر</v>
      </c>
      <c r="H3557" s="1">
        <v>100</v>
      </c>
      <c r="I3557" s="1">
        <v>350000</v>
      </c>
      <c r="J3557" s="1">
        <v>0</v>
      </c>
      <c r="K3557" s="1">
        <v>0</v>
      </c>
      <c r="L3557" s="1">
        <v>47</v>
      </c>
      <c r="M3557" s="1">
        <v>164500</v>
      </c>
      <c r="O3557" s="1">
        <v>97</v>
      </c>
      <c r="P3557" s="4">
        <f t="shared" si="165"/>
        <v>185500</v>
      </c>
      <c r="Q3557" s="4">
        <f t="shared" si="166"/>
        <v>53</v>
      </c>
      <c r="R3557" s="4">
        <f t="shared" si="167"/>
        <v>3500</v>
      </c>
    </row>
    <row r="3558" spans="1:18">
      <c r="A3558" s="1">
        <v>2</v>
      </c>
      <c r="B3558" s="1" t="str">
        <f>"قطعات و لوازم يدكي"</f>
        <v>قطعات و لوازم يدكي</v>
      </c>
      <c r="C3558" s="1">
        <v>205</v>
      </c>
      <c r="D3558" s="1" t="str">
        <f>"انبار قطعات و لوازم يدكي بندرعباس"</f>
        <v>انبار قطعات و لوازم يدكي بندرعباس</v>
      </c>
      <c r="E3558" s="1" t="str">
        <f>"1800000425"</f>
        <v>1800000425</v>
      </c>
      <c r="F3558" s="1" t="str">
        <f>"شاسي استارت وستهامز"</f>
        <v>شاسي استارت وستهامز</v>
      </c>
      <c r="G3558" s="1" t="str">
        <f>"عدد"</f>
        <v>عدد</v>
      </c>
      <c r="H3558" s="1">
        <v>5</v>
      </c>
      <c r="I3558" s="1">
        <v>750000</v>
      </c>
      <c r="J3558" s="1">
        <v>0</v>
      </c>
      <c r="K3558" s="1">
        <v>0</v>
      </c>
      <c r="L3558" s="1">
        <v>1</v>
      </c>
      <c r="M3558" s="1">
        <v>150000</v>
      </c>
      <c r="O3558" s="1">
        <v>97</v>
      </c>
      <c r="P3558" s="4">
        <f t="shared" si="165"/>
        <v>600000</v>
      </c>
      <c r="Q3558" s="4">
        <f t="shared" si="166"/>
        <v>4</v>
      </c>
      <c r="R3558" s="4">
        <f t="shared" si="167"/>
        <v>150000</v>
      </c>
    </row>
    <row r="3559" spans="1:18">
      <c r="A3559" s="1">
        <v>2</v>
      </c>
      <c r="B3559" s="1" t="str">
        <f>"قطعات و لوازم يدكي"</f>
        <v>قطعات و لوازم يدكي</v>
      </c>
      <c r="C3559" s="1">
        <v>205</v>
      </c>
      <c r="D3559" s="1" t="str">
        <f>"انبار قطعات و لوازم يدكي بندرعباس"</f>
        <v>انبار قطعات و لوازم يدكي بندرعباس</v>
      </c>
      <c r="E3559" s="1" t="str">
        <f>"1800000429"</f>
        <v>1800000429</v>
      </c>
      <c r="F3559" s="1" t="str">
        <f>"شتر گلويي pvc 135*110*110"</f>
        <v>شتر گلويي pvc 135*110*110</v>
      </c>
      <c r="G3559" s="1" t="str">
        <f>"عدد"</f>
        <v>عدد</v>
      </c>
      <c r="H3559" s="1">
        <v>1</v>
      </c>
      <c r="I3559" s="1">
        <v>200000</v>
      </c>
      <c r="J3559" s="1">
        <v>0</v>
      </c>
      <c r="K3559" s="1">
        <v>0</v>
      </c>
      <c r="L3559" s="1">
        <v>0</v>
      </c>
      <c r="M3559" s="1">
        <v>0</v>
      </c>
      <c r="O3559" s="1">
        <v>97</v>
      </c>
      <c r="P3559" s="4">
        <f t="shared" si="165"/>
        <v>200000</v>
      </c>
      <c r="Q3559" s="4">
        <f t="shared" si="166"/>
        <v>1</v>
      </c>
      <c r="R3559" s="4">
        <f t="shared" si="167"/>
        <v>200000</v>
      </c>
    </row>
    <row r="3560" spans="1:18">
      <c r="A3560" s="1">
        <v>2</v>
      </c>
      <c r="B3560" s="1" t="str">
        <f>"قطعات و لوازم يدكي"</f>
        <v>قطعات و لوازم يدكي</v>
      </c>
      <c r="C3560" s="1">
        <v>205</v>
      </c>
      <c r="D3560" s="1" t="str">
        <f>"انبار قطعات و لوازم يدكي بندرعباس"</f>
        <v>انبار قطعات و لوازم يدكي بندرعباس</v>
      </c>
      <c r="E3560" s="1" t="str">
        <f>"1800000430"</f>
        <v>1800000430</v>
      </c>
      <c r="F3560" s="1" t="str">
        <f>"شتر گلويي pvc 90*135"</f>
        <v>شتر گلويي pvc 90*135</v>
      </c>
      <c r="G3560" s="1" t="str">
        <f>"عدد"</f>
        <v>عدد</v>
      </c>
      <c r="H3560" s="1">
        <v>1</v>
      </c>
      <c r="I3560" s="1">
        <v>150000</v>
      </c>
      <c r="J3560" s="1">
        <v>0</v>
      </c>
      <c r="K3560" s="1">
        <v>0</v>
      </c>
      <c r="L3560" s="1">
        <v>0</v>
      </c>
      <c r="M3560" s="1">
        <v>0</v>
      </c>
      <c r="O3560" s="1">
        <v>97</v>
      </c>
      <c r="P3560" s="4">
        <f t="shared" si="165"/>
        <v>150000</v>
      </c>
      <c r="Q3560" s="4">
        <f t="shared" si="166"/>
        <v>1</v>
      </c>
      <c r="R3560" s="4">
        <f t="shared" si="167"/>
        <v>150000</v>
      </c>
    </row>
    <row r="3561" spans="1:18">
      <c r="A3561" s="1">
        <v>2</v>
      </c>
      <c r="B3561" s="1" t="str">
        <f>"قطعات و لوازم يدكي"</f>
        <v>قطعات و لوازم يدكي</v>
      </c>
      <c r="C3561" s="1">
        <v>205</v>
      </c>
      <c r="D3561" s="1" t="str">
        <f>"انبار قطعات و لوازم يدكي بندرعباس"</f>
        <v>انبار قطعات و لوازم يدكي بندرعباس</v>
      </c>
      <c r="E3561" s="1" t="str">
        <f>"1800000435"</f>
        <v>1800000435</v>
      </c>
      <c r="F3561" s="1" t="str">
        <f>"شورت نيپل يکسر رزوه 4"</f>
        <v>شورت نيپل يکسر رزوه 4</v>
      </c>
      <c r="G3561" s="1" t="str">
        <f>"عدد"</f>
        <v>عدد</v>
      </c>
      <c r="H3561" s="1">
        <v>2</v>
      </c>
      <c r="I3561" s="1">
        <v>1000000</v>
      </c>
      <c r="J3561" s="1">
        <v>0</v>
      </c>
      <c r="K3561" s="1">
        <v>0</v>
      </c>
      <c r="L3561" s="1">
        <v>0</v>
      </c>
      <c r="M3561" s="1">
        <v>0</v>
      </c>
      <c r="O3561" s="1">
        <v>97</v>
      </c>
      <c r="P3561" s="4">
        <f t="shared" si="165"/>
        <v>1000000</v>
      </c>
      <c r="Q3561" s="4">
        <f t="shared" si="166"/>
        <v>2</v>
      </c>
      <c r="R3561" s="4">
        <f t="shared" si="167"/>
        <v>500000</v>
      </c>
    </row>
    <row r="3562" spans="1:18">
      <c r="A3562" s="1">
        <v>2</v>
      </c>
      <c r="B3562" s="1" t="str">
        <f>"قطعات و لوازم يدكي"</f>
        <v>قطعات و لوازم يدكي</v>
      </c>
      <c r="C3562" s="1">
        <v>205</v>
      </c>
      <c r="D3562" s="1" t="str">
        <f>"انبار قطعات و لوازم يدكي بندرعباس"</f>
        <v>انبار قطعات و لوازم يدكي بندرعباس</v>
      </c>
      <c r="E3562" s="1" t="str">
        <f>"1800000436"</f>
        <v>1800000436</v>
      </c>
      <c r="F3562" s="1" t="str">
        <f>"شورت نيپل يکسر رزوه"</f>
        <v>شورت نيپل يکسر رزوه</v>
      </c>
      <c r="G3562" s="1" t="str">
        <f>"عدد"</f>
        <v>عدد</v>
      </c>
      <c r="H3562" s="1">
        <v>27</v>
      </c>
      <c r="I3562" s="1">
        <v>4050000</v>
      </c>
      <c r="J3562" s="1">
        <v>0</v>
      </c>
      <c r="K3562" s="1">
        <v>0</v>
      </c>
      <c r="L3562" s="1">
        <v>1</v>
      </c>
      <c r="M3562" s="1">
        <v>150000</v>
      </c>
      <c r="O3562" s="1">
        <v>97</v>
      </c>
      <c r="P3562" s="4">
        <f t="shared" si="165"/>
        <v>3900000</v>
      </c>
      <c r="Q3562" s="4">
        <f t="shared" si="166"/>
        <v>26</v>
      </c>
      <c r="R3562" s="4">
        <f t="shared" si="167"/>
        <v>150000</v>
      </c>
    </row>
    <row r="3563" spans="1:18">
      <c r="A3563" s="1">
        <v>2</v>
      </c>
      <c r="B3563" s="1" t="str">
        <f>"قطعات و لوازم يدكي"</f>
        <v>قطعات و لوازم يدكي</v>
      </c>
      <c r="C3563" s="1">
        <v>205</v>
      </c>
      <c r="D3563" s="1" t="str">
        <f>"انبار قطعات و لوازم يدكي بندرعباس"</f>
        <v>انبار قطعات و لوازم يدكي بندرعباس</v>
      </c>
      <c r="E3563" s="1" t="str">
        <f>"1800000440"</f>
        <v>1800000440</v>
      </c>
      <c r="F3563" s="1" t="str">
        <f>"شير برقي مازوت o"</f>
        <v>شير برقي مازوت o</v>
      </c>
      <c r="G3563" s="1" t="str">
        <f>"عدد"</f>
        <v>عدد</v>
      </c>
      <c r="H3563" s="1">
        <v>1</v>
      </c>
      <c r="I3563" s="1">
        <v>8500000</v>
      </c>
      <c r="J3563" s="1">
        <v>0</v>
      </c>
      <c r="K3563" s="1">
        <v>0</v>
      </c>
      <c r="L3563" s="1">
        <v>0</v>
      </c>
      <c r="M3563" s="1">
        <v>0</v>
      </c>
      <c r="O3563" s="1">
        <v>97</v>
      </c>
      <c r="P3563" s="4">
        <f t="shared" si="165"/>
        <v>8500000</v>
      </c>
      <c r="Q3563" s="4">
        <f t="shared" si="166"/>
        <v>1</v>
      </c>
      <c r="R3563" s="4">
        <f t="shared" si="167"/>
        <v>8500000</v>
      </c>
    </row>
    <row r="3564" spans="1:18">
      <c r="A3564" s="1">
        <v>2</v>
      </c>
      <c r="B3564" s="1" t="str">
        <f>"قطعات و لوازم يدكي"</f>
        <v>قطعات و لوازم يدكي</v>
      </c>
      <c r="C3564" s="1">
        <v>205</v>
      </c>
      <c r="D3564" s="1" t="str">
        <f>"انبار قطعات و لوازم يدكي بندرعباس"</f>
        <v>انبار قطعات و لوازم يدكي بندرعباس</v>
      </c>
      <c r="E3564" s="1" t="str">
        <f>"1800000442"</f>
        <v>1800000442</v>
      </c>
      <c r="F3564" s="1" t="str">
        <f>"شير دوبل آتشنشاني"</f>
        <v>شير دوبل آتشنشاني</v>
      </c>
      <c r="G3564" s="1" t="str">
        <f>"عدد"</f>
        <v>عدد</v>
      </c>
      <c r="H3564" s="1">
        <v>2</v>
      </c>
      <c r="I3564" s="1">
        <v>300000</v>
      </c>
      <c r="J3564" s="1">
        <v>0</v>
      </c>
      <c r="K3564" s="1">
        <v>0</v>
      </c>
      <c r="L3564" s="1">
        <v>0</v>
      </c>
      <c r="M3564" s="1">
        <v>0</v>
      </c>
      <c r="O3564" s="1">
        <v>97</v>
      </c>
      <c r="P3564" s="4">
        <f t="shared" si="165"/>
        <v>300000</v>
      </c>
      <c r="Q3564" s="4">
        <f t="shared" si="166"/>
        <v>2</v>
      </c>
      <c r="R3564" s="4">
        <f t="shared" si="167"/>
        <v>150000</v>
      </c>
    </row>
    <row r="3565" spans="1:18">
      <c r="A3565" s="1">
        <v>2</v>
      </c>
      <c r="B3565" s="1" t="str">
        <f>"قطعات و لوازم يدكي"</f>
        <v>قطعات و لوازم يدكي</v>
      </c>
      <c r="C3565" s="1">
        <v>205</v>
      </c>
      <c r="D3565" s="1" t="str">
        <f>"انبار قطعات و لوازم يدكي بندرعباس"</f>
        <v>انبار قطعات و لوازم يدكي بندرعباس</v>
      </c>
      <c r="E3565" s="1" t="str">
        <f>"1800000444"</f>
        <v>1800000444</v>
      </c>
      <c r="F3565" s="1" t="str">
        <f>"شير فلکه برنجي 2"</f>
        <v>شير فلکه برنجي 2</v>
      </c>
      <c r="G3565" s="1" t="str">
        <f>"عدد"</f>
        <v>عدد</v>
      </c>
      <c r="H3565" s="1">
        <v>1</v>
      </c>
      <c r="I3565" s="1">
        <v>150000</v>
      </c>
      <c r="J3565" s="1">
        <v>0</v>
      </c>
      <c r="K3565" s="1">
        <v>0</v>
      </c>
      <c r="L3565" s="1">
        <v>0</v>
      </c>
      <c r="M3565" s="1">
        <v>0</v>
      </c>
      <c r="O3565" s="1">
        <v>97</v>
      </c>
      <c r="P3565" s="4">
        <f t="shared" si="165"/>
        <v>150000</v>
      </c>
      <c r="Q3565" s="4">
        <f t="shared" si="166"/>
        <v>1</v>
      </c>
      <c r="R3565" s="4">
        <f t="shared" si="167"/>
        <v>150000</v>
      </c>
    </row>
    <row r="3566" spans="1:18">
      <c r="A3566" s="1">
        <v>2</v>
      </c>
      <c r="B3566" s="1" t="str">
        <f>"قطعات و لوازم يدكي"</f>
        <v>قطعات و لوازم يدكي</v>
      </c>
      <c r="C3566" s="1">
        <v>205</v>
      </c>
      <c r="D3566" s="1" t="str">
        <f>"انبار قطعات و لوازم يدكي بندرعباس"</f>
        <v>انبار قطعات و لوازم يدكي بندرعباس</v>
      </c>
      <c r="E3566" s="1" t="str">
        <f>"1800000449"</f>
        <v>1800000449</v>
      </c>
      <c r="F3566" s="1" t="str">
        <f>"شيلنگ فشارقوي دوسر پرس 120"</f>
        <v>شيلنگ فشارقوي دوسر پرس 120</v>
      </c>
      <c r="G3566" s="1" t="str">
        <f>"متر"</f>
        <v>متر</v>
      </c>
      <c r="H3566" s="1">
        <v>2</v>
      </c>
      <c r="I3566" s="1">
        <v>2000000</v>
      </c>
      <c r="J3566" s="1">
        <v>0</v>
      </c>
      <c r="K3566" s="1">
        <v>0</v>
      </c>
      <c r="L3566" s="1">
        <v>0</v>
      </c>
      <c r="M3566" s="1">
        <v>0</v>
      </c>
      <c r="O3566" s="1">
        <v>97</v>
      </c>
      <c r="P3566" s="4">
        <f t="shared" si="165"/>
        <v>2000000</v>
      </c>
      <c r="Q3566" s="4">
        <f t="shared" si="166"/>
        <v>2</v>
      </c>
      <c r="R3566" s="4">
        <f t="shared" si="167"/>
        <v>1000000</v>
      </c>
    </row>
    <row r="3567" spans="1:18">
      <c r="A3567" s="1">
        <v>2</v>
      </c>
      <c r="B3567" s="1" t="str">
        <f>"قطعات و لوازم يدكي"</f>
        <v>قطعات و لوازم يدكي</v>
      </c>
      <c r="C3567" s="1">
        <v>205</v>
      </c>
      <c r="D3567" s="1" t="str">
        <f>"انبار قطعات و لوازم يدكي بندرعباس"</f>
        <v>انبار قطعات و لوازم يدكي بندرعباس</v>
      </c>
      <c r="E3567" s="1" t="str">
        <f>"1800000468"</f>
        <v>1800000468</v>
      </c>
      <c r="F3567" s="1" t="str">
        <f>"فلنج ترموول ويکا"</f>
        <v>فلنج ترموول ويکا</v>
      </c>
      <c r="G3567" s="1" t="str">
        <f>"عدد"</f>
        <v>عدد</v>
      </c>
      <c r="H3567" s="1">
        <v>1</v>
      </c>
      <c r="I3567" s="1">
        <v>10000000</v>
      </c>
      <c r="J3567" s="1">
        <v>0</v>
      </c>
      <c r="K3567" s="1">
        <v>0</v>
      </c>
      <c r="L3567" s="1">
        <v>0</v>
      </c>
      <c r="M3567" s="1">
        <v>0</v>
      </c>
      <c r="O3567" s="1">
        <v>97</v>
      </c>
      <c r="P3567" s="4">
        <f t="shared" si="165"/>
        <v>10000000</v>
      </c>
      <c r="Q3567" s="4">
        <f t="shared" si="166"/>
        <v>1</v>
      </c>
      <c r="R3567" s="4">
        <f t="shared" si="167"/>
        <v>10000000</v>
      </c>
    </row>
    <row r="3568" spans="1:18">
      <c r="A3568" s="1">
        <v>2</v>
      </c>
      <c r="B3568" s="1" t="str">
        <f>"قطعات و لوازم يدكي"</f>
        <v>قطعات و لوازم يدكي</v>
      </c>
      <c r="C3568" s="1">
        <v>205</v>
      </c>
      <c r="D3568" s="1" t="str">
        <f>"انبار قطعات و لوازم يدكي بندرعباس"</f>
        <v>انبار قطعات و لوازم يدكي بندرعباس</v>
      </c>
      <c r="E3568" s="1" t="str">
        <f>"1800000477"</f>
        <v>1800000477</v>
      </c>
      <c r="F3568" s="1" t="str">
        <f>"فيلتر روغن"</f>
        <v>فيلتر روغن</v>
      </c>
      <c r="G3568" s="1" t="str">
        <f>"عدد"</f>
        <v>عدد</v>
      </c>
      <c r="H3568" s="1">
        <v>8</v>
      </c>
      <c r="I3568" s="1">
        <v>4000000</v>
      </c>
      <c r="J3568" s="1">
        <v>4</v>
      </c>
      <c r="K3568" s="1">
        <v>880000</v>
      </c>
      <c r="L3568" s="1">
        <v>2</v>
      </c>
      <c r="M3568" s="1">
        <v>813333</v>
      </c>
      <c r="O3568" s="1">
        <v>97</v>
      </c>
      <c r="P3568" s="4">
        <f t="shared" si="165"/>
        <v>4066667</v>
      </c>
      <c r="Q3568" s="4">
        <f t="shared" si="166"/>
        <v>10</v>
      </c>
      <c r="R3568" s="4">
        <f t="shared" si="167"/>
        <v>406666.7</v>
      </c>
    </row>
    <row r="3569" spans="1:18">
      <c r="A3569" s="1">
        <v>2</v>
      </c>
      <c r="B3569" s="1" t="str">
        <f>"قطعات و لوازم يدكي"</f>
        <v>قطعات و لوازم يدكي</v>
      </c>
      <c r="C3569" s="1">
        <v>205</v>
      </c>
      <c r="D3569" s="1" t="str">
        <f>"انبار قطعات و لوازم يدكي بندرعباس"</f>
        <v>انبار قطعات و لوازم يدكي بندرعباس</v>
      </c>
      <c r="E3569" s="1" t="str">
        <f>"1800000482"</f>
        <v>1800000482</v>
      </c>
      <c r="F3569" s="1" t="str">
        <f>"فيلتر هواکش کمپرسور هوا"</f>
        <v>فيلتر هواکش کمپرسور هوا</v>
      </c>
      <c r="G3569" s="1" t="str">
        <f>"عدد"</f>
        <v>عدد</v>
      </c>
      <c r="H3569" s="1">
        <v>10</v>
      </c>
      <c r="I3569" s="1">
        <v>5000000</v>
      </c>
      <c r="J3569" s="1">
        <v>0</v>
      </c>
      <c r="K3569" s="1">
        <v>0</v>
      </c>
      <c r="L3569" s="1">
        <v>2</v>
      </c>
      <c r="M3569" s="1">
        <v>1000000</v>
      </c>
      <c r="O3569" s="1">
        <v>97</v>
      </c>
      <c r="P3569" s="4">
        <f t="shared" si="165"/>
        <v>4000000</v>
      </c>
      <c r="Q3569" s="4">
        <f t="shared" si="166"/>
        <v>8</v>
      </c>
      <c r="R3569" s="4">
        <f t="shared" si="167"/>
        <v>500000</v>
      </c>
    </row>
    <row r="3570" spans="1:18">
      <c r="A3570" s="1">
        <v>2</v>
      </c>
      <c r="B3570" s="1" t="str">
        <f>"قطعات و لوازم يدكي"</f>
        <v>قطعات و لوازم يدكي</v>
      </c>
      <c r="C3570" s="1">
        <v>205</v>
      </c>
      <c r="D3570" s="1" t="str">
        <f>"انبار قطعات و لوازم يدكي بندرعباس"</f>
        <v>انبار قطعات و لوازم يدكي بندرعباس</v>
      </c>
      <c r="E3570" s="1" t="str">
        <f>"1800000485"</f>
        <v>1800000485</v>
      </c>
      <c r="F3570" s="1" t="str">
        <f>"فيوز تکفاز 32"</f>
        <v>فيوز تکفاز 32</v>
      </c>
      <c r="G3570" s="1" t="str">
        <f>"عدد"</f>
        <v>عدد</v>
      </c>
      <c r="H3570" s="1">
        <v>2</v>
      </c>
      <c r="I3570" s="1">
        <v>700000</v>
      </c>
      <c r="J3570" s="1">
        <v>0</v>
      </c>
      <c r="K3570" s="1">
        <v>0</v>
      </c>
      <c r="L3570" s="1">
        <v>0</v>
      </c>
      <c r="M3570" s="1">
        <v>0</v>
      </c>
      <c r="O3570" s="1">
        <v>97</v>
      </c>
      <c r="P3570" s="4">
        <f t="shared" si="165"/>
        <v>700000</v>
      </c>
      <c r="Q3570" s="4">
        <f t="shared" si="166"/>
        <v>2</v>
      </c>
      <c r="R3570" s="4">
        <f t="shared" si="167"/>
        <v>350000</v>
      </c>
    </row>
    <row r="3571" spans="1:18">
      <c r="A3571" s="1">
        <v>2</v>
      </c>
      <c r="B3571" s="1" t="str">
        <f>"قطعات و لوازم يدكي"</f>
        <v>قطعات و لوازم يدكي</v>
      </c>
      <c r="C3571" s="1">
        <v>205</v>
      </c>
      <c r="D3571" s="1" t="str">
        <f>"انبار قطعات و لوازم يدكي بندرعباس"</f>
        <v>انبار قطعات و لوازم يدكي بندرعباس</v>
      </c>
      <c r="E3571" s="1" t="str">
        <f>"1800000487"</f>
        <v>1800000487</v>
      </c>
      <c r="F3571" s="1" t="str">
        <f>"فيوز مينياتور تکفاز 16"</f>
        <v>فيوز مينياتور تکفاز 16</v>
      </c>
      <c r="G3571" s="1" t="str">
        <f>"عدد"</f>
        <v>عدد</v>
      </c>
      <c r="H3571" s="1">
        <v>7</v>
      </c>
      <c r="I3571" s="1">
        <v>2100000</v>
      </c>
      <c r="J3571" s="1">
        <v>5</v>
      </c>
      <c r="K3571" s="1">
        <v>1175000</v>
      </c>
      <c r="L3571" s="1">
        <v>3</v>
      </c>
      <c r="M3571" s="1">
        <v>840909</v>
      </c>
      <c r="O3571" s="1">
        <v>97</v>
      </c>
      <c r="P3571" s="4">
        <f t="shared" si="165"/>
        <v>2434091</v>
      </c>
      <c r="Q3571" s="4">
        <f t="shared" si="166"/>
        <v>9</v>
      </c>
      <c r="R3571" s="4">
        <f t="shared" si="167"/>
        <v>270454.55555555556</v>
      </c>
    </row>
    <row r="3572" spans="1:18">
      <c r="A3572" s="1">
        <v>2</v>
      </c>
      <c r="B3572" s="1" t="str">
        <f>"قطعات و لوازم يدكي"</f>
        <v>قطعات و لوازم يدكي</v>
      </c>
      <c r="C3572" s="1">
        <v>205</v>
      </c>
      <c r="D3572" s="1" t="str">
        <f>"انبار قطعات و لوازم يدكي بندرعباس"</f>
        <v>انبار قطعات و لوازم يدكي بندرعباس</v>
      </c>
      <c r="E3572" s="1" t="str">
        <f>"1800000488"</f>
        <v>1800000488</v>
      </c>
      <c r="F3572" s="1" t="str">
        <f>"فيوز مينياتور تکفاز 10"</f>
        <v>فيوز مينياتور تکفاز 10</v>
      </c>
      <c r="G3572" s="1" t="str">
        <f>"عدد"</f>
        <v>عدد</v>
      </c>
      <c r="H3572" s="1">
        <v>11</v>
      </c>
      <c r="I3572" s="1">
        <v>2750000</v>
      </c>
      <c r="J3572" s="1">
        <v>0</v>
      </c>
      <c r="K3572" s="1">
        <v>0</v>
      </c>
      <c r="L3572" s="1">
        <v>4</v>
      </c>
      <c r="M3572" s="1">
        <v>1000000</v>
      </c>
      <c r="O3572" s="1">
        <v>97</v>
      </c>
      <c r="P3572" s="4">
        <f t="shared" si="165"/>
        <v>1750000</v>
      </c>
      <c r="Q3572" s="4">
        <f t="shared" si="166"/>
        <v>7</v>
      </c>
      <c r="R3572" s="4">
        <f t="shared" si="167"/>
        <v>250000</v>
      </c>
    </row>
    <row r="3573" spans="1:18" hidden="1">
      <c r="A3573" s="1">
        <v>2</v>
      </c>
      <c r="B3573" s="1" t="str">
        <f>"قطعات و لوازم يدكي"</f>
        <v>قطعات و لوازم يدكي</v>
      </c>
      <c r="C3573" s="1">
        <v>205</v>
      </c>
      <c r="D3573" s="1" t="str">
        <f>"انبار قطعات و لوازم يدكي بندرعباس"</f>
        <v>انبار قطعات و لوازم يدكي بندرعباس</v>
      </c>
      <c r="E3573" s="1" t="str">
        <f>"1800000501"</f>
        <v>1800000501</v>
      </c>
      <c r="F3573" s="1" t="str">
        <f>"قفل آويزبزرگ"</f>
        <v>قفل آويزبزرگ</v>
      </c>
      <c r="G3573" s="1" t="str">
        <f>"عدد"</f>
        <v>عدد</v>
      </c>
      <c r="H3573" s="1">
        <v>0</v>
      </c>
      <c r="I3573" s="1">
        <v>0</v>
      </c>
      <c r="J3573" s="1">
        <v>2</v>
      </c>
      <c r="K3573" s="1">
        <v>400000</v>
      </c>
      <c r="L3573" s="1">
        <v>2</v>
      </c>
      <c r="M3573" s="1">
        <v>400000</v>
      </c>
      <c r="O3573" s="1">
        <v>97</v>
      </c>
      <c r="P3573" s="1">
        <f t="shared" si="165"/>
        <v>0</v>
      </c>
      <c r="Q3573" s="1">
        <f t="shared" si="166"/>
        <v>0</v>
      </c>
      <c r="R3573" s="1" t="e">
        <f t="shared" si="167"/>
        <v>#DIV/0!</v>
      </c>
    </row>
    <row r="3574" spans="1:18">
      <c r="A3574" s="1">
        <v>2</v>
      </c>
      <c r="B3574" s="1" t="str">
        <f>"قطعات و لوازم يدكي"</f>
        <v>قطعات و لوازم يدكي</v>
      </c>
      <c r="C3574" s="1">
        <v>205</v>
      </c>
      <c r="D3574" s="1" t="str">
        <f>"انبار قطعات و لوازم يدكي بندرعباس"</f>
        <v>انبار قطعات و لوازم يدكي بندرعباس</v>
      </c>
      <c r="E3574" s="1" t="str">
        <f>"1800000504"</f>
        <v>1800000504</v>
      </c>
      <c r="F3574" s="1" t="str">
        <f>"قوطي کليد دوپل روکار"</f>
        <v>قوطي کليد دوپل روکار</v>
      </c>
      <c r="G3574" s="1" t="str">
        <f>"عدد"</f>
        <v>عدد</v>
      </c>
      <c r="H3574" s="1">
        <v>1</v>
      </c>
      <c r="I3574" s="1">
        <v>50000</v>
      </c>
      <c r="J3574" s="1">
        <v>0</v>
      </c>
      <c r="K3574" s="1">
        <v>0</v>
      </c>
      <c r="L3574" s="1">
        <v>0</v>
      </c>
      <c r="M3574" s="1">
        <v>0</v>
      </c>
      <c r="O3574" s="1">
        <v>97</v>
      </c>
      <c r="P3574" s="4">
        <f t="shared" si="165"/>
        <v>50000</v>
      </c>
      <c r="Q3574" s="4">
        <f t="shared" si="166"/>
        <v>1</v>
      </c>
      <c r="R3574" s="4">
        <f t="shared" si="167"/>
        <v>50000</v>
      </c>
    </row>
    <row r="3575" spans="1:18">
      <c r="A3575" s="1">
        <v>2</v>
      </c>
      <c r="B3575" s="1" t="str">
        <f>"قطعات و لوازم يدكي"</f>
        <v>قطعات و لوازم يدكي</v>
      </c>
      <c r="C3575" s="1">
        <v>205</v>
      </c>
      <c r="D3575" s="1" t="str">
        <f>"انبار قطعات و لوازم يدكي بندرعباس"</f>
        <v>انبار قطعات و لوازم يدكي بندرعباس</v>
      </c>
      <c r="E3575" s="1" t="str">
        <f>"1800000538"</f>
        <v>1800000538</v>
      </c>
      <c r="F3575" s="1" t="str">
        <f>"کليد دوپل"</f>
        <v>کليد دوپل</v>
      </c>
      <c r="G3575" s="1" t="str">
        <f>"عدد"</f>
        <v>عدد</v>
      </c>
      <c r="H3575" s="1">
        <v>1</v>
      </c>
      <c r="I3575" s="1">
        <v>80000</v>
      </c>
      <c r="J3575" s="1">
        <v>0</v>
      </c>
      <c r="K3575" s="1">
        <v>0</v>
      </c>
      <c r="L3575" s="1">
        <v>0</v>
      </c>
      <c r="M3575" s="1">
        <v>0</v>
      </c>
      <c r="O3575" s="1">
        <v>97</v>
      </c>
      <c r="P3575" s="4">
        <f t="shared" si="165"/>
        <v>80000</v>
      </c>
      <c r="Q3575" s="4">
        <f t="shared" si="166"/>
        <v>1</v>
      </c>
      <c r="R3575" s="4">
        <f t="shared" si="167"/>
        <v>80000</v>
      </c>
    </row>
    <row r="3576" spans="1:18">
      <c r="A3576" s="1">
        <v>2</v>
      </c>
      <c r="B3576" s="1" t="str">
        <f>"قطعات و لوازم يدكي"</f>
        <v>قطعات و لوازم يدكي</v>
      </c>
      <c r="C3576" s="1">
        <v>205</v>
      </c>
      <c r="D3576" s="1" t="str">
        <f>"انبار قطعات و لوازم يدكي بندرعباس"</f>
        <v>انبار قطعات و لوازم يدكي بندرعباس</v>
      </c>
      <c r="E3576" s="1" t="str">
        <f>"1800000541"</f>
        <v>1800000541</v>
      </c>
      <c r="F3576" s="1" t="str">
        <f>"کليد سلکتوري سه فاز"</f>
        <v>کليد سلکتوري سه فاز</v>
      </c>
      <c r="G3576" s="1" t="str">
        <f>"عدد"</f>
        <v>عدد</v>
      </c>
      <c r="H3576" s="1">
        <v>3</v>
      </c>
      <c r="I3576" s="1">
        <v>8700000</v>
      </c>
      <c r="J3576" s="1">
        <v>0</v>
      </c>
      <c r="K3576" s="1">
        <v>0</v>
      </c>
      <c r="L3576" s="1">
        <v>0</v>
      </c>
      <c r="M3576" s="1">
        <v>0</v>
      </c>
      <c r="O3576" s="1">
        <v>97</v>
      </c>
      <c r="P3576" s="4">
        <f t="shared" si="165"/>
        <v>8700000</v>
      </c>
      <c r="Q3576" s="4">
        <f t="shared" si="166"/>
        <v>3</v>
      </c>
      <c r="R3576" s="4">
        <f t="shared" si="167"/>
        <v>2900000</v>
      </c>
    </row>
    <row r="3577" spans="1:18">
      <c r="A3577" s="1">
        <v>2</v>
      </c>
      <c r="B3577" s="1" t="str">
        <f>"قطعات و لوازم يدكي"</f>
        <v>قطعات و لوازم يدكي</v>
      </c>
      <c r="C3577" s="1">
        <v>205</v>
      </c>
      <c r="D3577" s="1" t="str">
        <f>"انبار قطعات و لوازم يدكي بندرعباس"</f>
        <v>انبار قطعات و لوازم يدكي بندرعباس</v>
      </c>
      <c r="E3577" s="1" t="str">
        <f>"1800000545"</f>
        <v>1800000545</v>
      </c>
      <c r="F3577" s="1" t="str">
        <f>"کليد موتوري 18"</f>
        <v>کليد موتوري 18</v>
      </c>
      <c r="G3577" s="1" t="str">
        <f>"عدد"</f>
        <v>عدد</v>
      </c>
      <c r="H3577" s="1">
        <v>2</v>
      </c>
      <c r="I3577" s="1">
        <v>2400000</v>
      </c>
      <c r="J3577" s="1">
        <v>0</v>
      </c>
      <c r="K3577" s="1">
        <v>0</v>
      </c>
      <c r="L3577" s="1">
        <v>0</v>
      </c>
      <c r="M3577" s="1">
        <v>0</v>
      </c>
      <c r="O3577" s="1">
        <v>97</v>
      </c>
      <c r="P3577" s="4">
        <f t="shared" si="165"/>
        <v>2400000</v>
      </c>
      <c r="Q3577" s="4">
        <f t="shared" si="166"/>
        <v>2</v>
      </c>
      <c r="R3577" s="4">
        <f t="shared" si="167"/>
        <v>1200000</v>
      </c>
    </row>
    <row r="3578" spans="1:18">
      <c r="A3578" s="1">
        <v>2</v>
      </c>
      <c r="B3578" s="1" t="str">
        <f>"قطعات و لوازم يدكي"</f>
        <v>قطعات و لوازم يدكي</v>
      </c>
      <c r="C3578" s="1">
        <v>205</v>
      </c>
      <c r="D3578" s="1" t="str">
        <f>"انبار قطعات و لوازم يدكي بندرعباس"</f>
        <v>انبار قطعات و لوازم يدكي بندرعباس</v>
      </c>
      <c r="E3578" s="1" t="str">
        <f>"1800000568"</f>
        <v>1800000568</v>
      </c>
      <c r="F3578" s="1" t="str">
        <f>"گسکت فلزي 12"</f>
        <v>گسکت فلزي 12</v>
      </c>
      <c r="G3578" s="1" t="str">
        <f>"عدد"</f>
        <v>عدد</v>
      </c>
      <c r="H3578" s="1">
        <v>81</v>
      </c>
      <c r="I3578" s="1">
        <v>51840000</v>
      </c>
      <c r="J3578" s="1">
        <v>0</v>
      </c>
      <c r="K3578" s="1">
        <v>0</v>
      </c>
      <c r="L3578" s="1">
        <v>4</v>
      </c>
      <c r="M3578" s="1">
        <v>2560000</v>
      </c>
      <c r="O3578" s="1">
        <v>97</v>
      </c>
      <c r="P3578" s="4">
        <f t="shared" si="165"/>
        <v>49280000</v>
      </c>
      <c r="Q3578" s="4">
        <f t="shared" si="166"/>
        <v>77</v>
      </c>
      <c r="R3578" s="4">
        <f t="shared" si="167"/>
        <v>640000</v>
      </c>
    </row>
    <row r="3579" spans="1:18">
      <c r="A3579" s="1">
        <v>2</v>
      </c>
      <c r="B3579" s="1" t="str">
        <f>"قطعات و لوازم يدكي"</f>
        <v>قطعات و لوازم يدكي</v>
      </c>
      <c r="C3579" s="1">
        <v>205</v>
      </c>
      <c r="D3579" s="1" t="str">
        <f>"انبار قطعات و لوازم يدكي بندرعباس"</f>
        <v>انبار قطعات و لوازم يدكي بندرعباس</v>
      </c>
      <c r="E3579" s="1" t="str">
        <f>"1800000619"</f>
        <v>1800000619</v>
      </c>
      <c r="F3579" s="1" t="str">
        <f>"لامپ کم مصرف مهتابي"</f>
        <v>لامپ کم مصرف مهتابي</v>
      </c>
      <c r="G3579" s="1" t="str">
        <f>"عدد"</f>
        <v>عدد</v>
      </c>
      <c r="H3579" s="1">
        <v>28</v>
      </c>
      <c r="I3579" s="1">
        <v>1400000</v>
      </c>
      <c r="J3579" s="1">
        <v>48</v>
      </c>
      <c r="K3579" s="1">
        <v>8112000</v>
      </c>
      <c r="L3579" s="1">
        <v>10</v>
      </c>
      <c r="M3579" s="1">
        <v>1251579</v>
      </c>
      <c r="O3579" s="1">
        <v>97</v>
      </c>
      <c r="P3579" s="4">
        <f t="shared" si="165"/>
        <v>8260421</v>
      </c>
      <c r="Q3579" s="4">
        <f t="shared" si="166"/>
        <v>66</v>
      </c>
      <c r="R3579" s="4">
        <f t="shared" si="167"/>
        <v>125157.89393939394</v>
      </c>
    </row>
    <row r="3580" spans="1:18">
      <c r="A3580" s="1">
        <v>2</v>
      </c>
      <c r="B3580" s="1" t="str">
        <f>"قطعات و لوازم يدكي"</f>
        <v>قطعات و لوازم يدكي</v>
      </c>
      <c r="C3580" s="1">
        <v>205</v>
      </c>
      <c r="D3580" s="1" t="str">
        <f>"انبار قطعات و لوازم يدكي بندرعباس"</f>
        <v>انبار قطعات و لوازم يدكي بندرعباس</v>
      </c>
      <c r="E3580" s="1" t="str">
        <f>"1800000634"</f>
        <v>1800000634</v>
      </c>
      <c r="F3580" s="1" t="str">
        <f>"لوله سفيد آب 25"</f>
        <v>لوله سفيد آب 25</v>
      </c>
      <c r="G3580" s="1" t="str">
        <f>"شاخه"</f>
        <v>شاخه</v>
      </c>
      <c r="H3580" s="1">
        <v>1.2</v>
      </c>
      <c r="I3580" s="1">
        <v>240000</v>
      </c>
      <c r="J3580" s="1">
        <v>5</v>
      </c>
      <c r="K3580" s="1">
        <v>1210000</v>
      </c>
      <c r="L3580" s="1">
        <v>5</v>
      </c>
      <c r="M3580" s="1">
        <v>1139286</v>
      </c>
      <c r="O3580" s="1">
        <v>97</v>
      </c>
      <c r="P3580" s="4">
        <f t="shared" si="165"/>
        <v>310714</v>
      </c>
      <c r="Q3580" s="4">
        <f t="shared" si="166"/>
        <v>1.2000000000000002</v>
      </c>
      <c r="R3580" s="4">
        <f t="shared" si="167"/>
        <v>258928.33333333328</v>
      </c>
    </row>
    <row r="3581" spans="1:18">
      <c r="A3581" s="1">
        <v>2</v>
      </c>
      <c r="B3581" s="1" t="str">
        <f>"قطعات و لوازم يدكي"</f>
        <v>قطعات و لوازم يدكي</v>
      </c>
      <c r="C3581" s="1">
        <v>205</v>
      </c>
      <c r="D3581" s="1" t="str">
        <f>"انبار قطعات و لوازم يدكي بندرعباس"</f>
        <v>انبار قطعات و لوازم يدكي بندرعباس</v>
      </c>
      <c r="E3581" s="1" t="str">
        <f>"1800000643"</f>
        <v>1800000643</v>
      </c>
      <c r="F3581" s="1" t="str">
        <f>"لوله کاندويت 29"</f>
        <v>لوله کاندويت 29</v>
      </c>
      <c r="G3581" s="1" t="str">
        <f>"متر"</f>
        <v>متر</v>
      </c>
      <c r="H3581" s="1">
        <v>3</v>
      </c>
      <c r="I3581" s="1">
        <v>540000</v>
      </c>
      <c r="J3581" s="1">
        <v>0</v>
      </c>
      <c r="K3581" s="1">
        <v>0</v>
      </c>
      <c r="L3581" s="1">
        <v>1</v>
      </c>
      <c r="M3581" s="1">
        <v>180000</v>
      </c>
      <c r="O3581" s="1">
        <v>97</v>
      </c>
      <c r="P3581" s="4">
        <f t="shared" si="165"/>
        <v>360000</v>
      </c>
      <c r="Q3581" s="4">
        <f t="shared" si="166"/>
        <v>2</v>
      </c>
      <c r="R3581" s="4">
        <f t="shared" si="167"/>
        <v>180000</v>
      </c>
    </row>
    <row r="3582" spans="1:18">
      <c r="A3582" s="1">
        <v>2</v>
      </c>
      <c r="B3582" s="1" t="str">
        <f>"قطعات و لوازم يدكي"</f>
        <v>قطعات و لوازم يدكي</v>
      </c>
      <c r="C3582" s="1">
        <v>205</v>
      </c>
      <c r="D3582" s="1" t="str">
        <f>"انبار قطعات و لوازم يدكي بندرعباس"</f>
        <v>انبار قطعات و لوازم يدكي بندرعباس</v>
      </c>
      <c r="E3582" s="1" t="str">
        <f>"1800000658"</f>
        <v>1800000658</v>
      </c>
      <c r="F3582" s="1" t="str">
        <f>"مغزي 1/2 اينچ"</f>
        <v>مغزي 1/2 اينچ</v>
      </c>
      <c r="G3582" s="1" t="str">
        <f>"عدد"</f>
        <v>عدد</v>
      </c>
      <c r="H3582" s="1">
        <v>4</v>
      </c>
      <c r="I3582" s="1">
        <v>80000</v>
      </c>
      <c r="J3582" s="1">
        <v>0</v>
      </c>
      <c r="K3582" s="1">
        <v>0</v>
      </c>
      <c r="L3582" s="1">
        <v>2</v>
      </c>
      <c r="M3582" s="1">
        <v>40000</v>
      </c>
      <c r="O3582" s="1">
        <v>97</v>
      </c>
      <c r="P3582" s="4">
        <f t="shared" si="165"/>
        <v>40000</v>
      </c>
      <c r="Q3582" s="4">
        <f t="shared" si="166"/>
        <v>2</v>
      </c>
      <c r="R3582" s="4">
        <f t="shared" si="167"/>
        <v>20000</v>
      </c>
    </row>
    <row r="3583" spans="1:18">
      <c r="A3583" s="1">
        <v>2</v>
      </c>
      <c r="B3583" s="1" t="str">
        <f>"قطعات و لوازم يدكي"</f>
        <v>قطعات و لوازم يدكي</v>
      </c>
      <c r="C3583" s="1">
        <v>205</v>
      </c>
      <c r="D3583" s="1" t="str">
        <f>"انبار قطعات و لوازم يدكي بندرعباس"</f>
        <v>انبار قطعات و لوازم يدكي بندرعباس</v>
      </c>
      <c r="E3583" s="1" t="str">
        <f>"1800000663"</f>
        <v>1800000663</v>
      </c>
      <c r="F3583" s="1" t="str">
        <f>"مغزي گالوانيزه 2"</f>
        <v>مغزي گالوانيزه 2</v>
      </c>
      <c r="G3583" s="1" t="str">
        <f>"عدد"</f>
        <v>عدد</v>
      </c>
      <c r="H3583" s="1">
        <v>2</v>
      </c>
      <c r="I3583" s="1">
        <v>320000</v>
      </c>
      <c r="J3583" s="1">
        <v>0</v>
      </c>
      <c r="K3583" s="1">
        <v>0</v>
      </c>
      <c r="L3583" s="1">
        <v>0</v>
      </c>
      <c r="M3583" s="1">
        <v>0</v>
      </c>
      <c r="O3583" s="1">
        <v>97</v>
      </c>
      <c r="P3583" s="4">
        <f t="shared" si="165"/>
        <v>320000</v>
      </c>
      <c r="Q3583" s="4">
        <f t="shared" si="166"/>
        <v>2</v>
      </c>
      <c r="R3583" s="4">
        <f t="shared" si="167"/>
        <v>160000</v>
      </c>
    </row>
    <row r="3584" spans="1:18">
      <c r="A3584" s="1">
        <v>2</v>
      </c>
      <c r="B3584" s="1" t="str">
        <f>"قطعات و لوازم يدكي"</f>
        <v>قطعات و لوازم يدكي</v>
      </c>
      <c r="C3584" s="1">
        <v>205</v>
      </c>
      <c r="D3584" s="1" t="str">
        <f>"انبار قطعات و لوازم يدكي بندرعباس"</f>
        <v>انبار قطعات و لوازم يدكي بندرعباس</v>
      </c>
      <c r="E3584" s="1" t="str">
        <f>"1800000681"</f>
        <v>1800000681</v>
      </c>
      <c r="F3584" s="1" t="str">
        <f>"هيتر سوخت مازوت بويلر"</f>
        <v>هيتر سوخت مازوت بويلر</v>
      </c>
      <c r="G3584" s="1" t="str">
        <f>"عدد"</f>
        <v>عدد</v>
      </c>
      <c r="H3584" s="1">
        <v>2</v>
      </c>
      <c r="I3584" s="1">
        <v>28800000</v>
      </c>
      <c r="J3584" s="1">
        <v>0</v>
      </c>
      <c r="K3584" s="1">
        <v>0</v>
      </c>
      <c r="L3584" s="1">
        <v>1</v>
      </c>
      <c r="M3584" s="1">
        <v>14400000</v>
      </c>
      <c r="O3584" s="1">
        <v>97</v>
      </c>
      <c r="P3584" s="4">
        <f t="shared" si="165"/>
        <v>14400000</v>
      </c>
      <c r="Q3584" s="4">
        <f t="shared" si="166"/>
        <v>1</v>
      </c>
      <c r="R3584" s="4">
        <f t="shared" si="167"/>
        <v>14400000</v>
      </c>
    </row>
    <row r="3585" spans="1:18">
      <c r="A3585" s="1">
        <v>2</v>
      </c>
      <c r="B3585" s="1" t="str">
        <f>"قطعات و لوازم يدكي"</f>
        <v>قطعات و لوازم يدكي</v>
      </c>
      <c r="C3585" s="1">
        <v>205</v>
      </c>
      <c r="D3585" s="1" t="str">
        <f>"انبار قطعات و لوازم يدكي بندرعباس"</f>
        <v>انبار قطعات و لوازم يدكي بندرعباس</v>
      </c>
      <c r="E3585" s="1" t="str">
        <f>"1800000693"</f>
        <v>1800000693</v>
      </c>
      <c r="F3585" s="1" t="str">
        <f>"bearing bush-164"</f>
        <v>bearing bush-164</v>
      </c>
      <c r="G3585" s="1" t="str">
        <f>"عدد"</f>
        <v>عدد</v>
      </c>
      <c r="H3585" s="1">
        <v>8</v>
      </c>
      <c r="I3585" s="1">
        <v>633855200</v>
      </c>
      <c r="J3585" s="1">
        <v>0</v>
      </c>
      <c r="K3585" s="1">
        <v>0</v>
      </c>
      <c r="L3585" s="1">
        <v>0</v>
      </c>
      <c r="M3585" s="1">
        <v>0</v>
      </c>
      <c r="O3585" s="1">
        <v>97</v>
      </c>
      <c r="P3585" s="4">
        <f t="shared" si="165"/>
        <v>633855200</v>
      </c>
      <c r="Q3585" s="4">
        <f t="shared" si="166"/>
        <v>8</v>
      </c>
      <c r="R3585" s="4">
        <f t="shared" si="167"/>
        <v>79231900</v>
      </c>
    </row>
    <row r="3586" spans="1:18">
      <c r="A3586" s="1">
        <v>2</v>
      </c>
      <c r="B3586" s="1" t="str">
        <f>"قطعات و لوازم يدكي"</f>
        <v>قطعات و لوازم يدكي</v>
      </c>
      <c r="C3586" s="1">
        <v>205</v>
      </c>
      <c r="D3586" s="1" t="str">
        <f>"انبار قطعات و لوازم يدكي بندرعباس"</f>
        <v>انبار قطعات و لوازم يدكي بندرعباس</v>
      </c>
      <c r="E3586" s="1" t="str">
        <f>"1800000695"</f>
        <v>1800000695</v>
      </c>
      <c r="F3586" s="1" t="str">
        <f>"flat seal-164"</f>
        <v>flat seal-164</v>
      </c>
      <c r="G3586" s="1" t="str">
        <f>"عدد"</f>
        <v>عدد</v>
      </c>
      <c r="H3586" s="1">
        <v>2</v>
      </c>
      <c r="I3586" s="1">
        <v>14405800</v>
      </c>
      <c r="J3586" s="1">
        <v>0</v>
      </c>
      <c r="K3586" s="1">
        <v>0</v>
      </c>
      <c r="L3586" s="1">
        <v>0</v>
      </c>
      <c r="M3586" s="1">
        <v>0</v>
      </c>
      <c r="O3586" s="1">
        <v>97</v>
      </c>
      <c r="P3586" s="4">
        <f t="shared" si="165"/>
        <v>14405800</v>
      </c>
      <c r="Q3586" s="4">
        <f t="shared" si="166"/>
        <v>2</v>
      </c>
      <c r="R3586" s="4">
        <f t="shared" si="167"/>
        <v>7202900</v>
      </c>
    </row>
    <row r="3587" spans="1:18">
      <c r="A3587" s="1">
        <v>2</v>
      </c>
      <c r="B3587" s="1" t="str">
        <f>"قطعات و لوازم يدكي"</f>
        <v>قطعات و لوازم يدكي</v>
      </c>
      <c r="C3587" s="1">
        <v>205</v>
      </c>
      <c r="D3587" s="1" t="str">
        <f>"انبار قطعات و لوازم يدكي بندرعباس"</f>
        <v>انبار قطعات و لوازم يدكي بندرعباس</v>
      </c>
      <c r="E3587" s="1" t="str">
        <f>"1800000704"</f>
        <v>1800000704</v>
      </c>
      <c r="F3587" s="1" t="str">
        <f>"اورينگ -106"</f>
        <v>اورينگ -106</v>
      </c>
      <c r="G3587" s="1" t="str">
        <f>"عدد"</f>
        <v>عدد</v>
      </c>
      <c r="H3587" s="1">
        <v>4</v>
      </c>
      <c r="I3587" s="1">
        <v>4067520</v>
      </c>
      <c r="J3587" s="1">
        <v>0</v>
      </c>
      <c r="K3587" s="1">
        <v>0</v>
      </c>
      <c r="L3587" s="1">
        <v>0</v>
      </c>
      <c r="M3587" s="1">
        <v>0</v>
      </c>
      <c r="O3587" s="1">
        <v>97</v>
      </c>
      <c r="P3587" s="4">
        <f t="shared" ref="P3587:P3650" si="168">I3587+K3587-M3587</f>
        <v>4067520</v>
      </c>
      <c r="Q3587" s="4">
        <f t="shared" ref="Q3587:Q3650" si="169">H3587+J3587-L3587</f>
        <v>4</v>
      </c>
      <c r="R3587" s="4">
        <f t="shared" ref="R3587:R3650" si="170">P3587/Q3587</f>
        <v>1016880</v>
      </c>
    </row>
    <row r="3588" spans="1:18" hidden="1">
      <c r="A3588" s="1">
        <v>2</v>
      </c>
      <c r="B3588" s="1" t="str">
        <f>"قطعات و لوازم يدكي"</f>
        <v>قطعات و لوازم يدكي</v>
      </c>
      <c r="C3588" s="1">
        <v>205</v>
      </c>
      <c r="D3588" s="1" t="str">
        <f>"انبار قطعات و لوازم يدكي بندرعباس"</f>
        <v>انبار قطعات و لوازم يدكي بندرعباس</v>
      </c>
      <c r="E3588" s="1" t="str">
        <f>"1800000706"</f>
        <v>1800000706</v>
      </c>
      <c r="F3588" s="1" t="str">
        <f>"زانو ساکت 3/4"</f>
        <v>زانو ساکت 3/4</v>
      </c>
      <c r="G3588" s="1" t="str">
        <f>"عدد"</f>
        <v>عدد</v>
      </c>
      <c r="H3588" s="1">
        <v>20</v>
      </c>
      <c r="I3588" s="1">
        <v>1600000</v>
      </c>
      <c r="J3588" s="1">
        <v>0</v>
      </c>
      <c r="K3588" s="1">
        <v>0</v>
      </c>
      <c r="L3588" s="1">
        <v>20</v>
      </c>
      <c r="M3588" s="1">
        <v>1600000</v>
      </c>
      <c r="O3588" s="1">
        <v>97</v>
      </c>
      <c r="P3588" s="1">
        <f t="shared" si="168"/>
        <v>0</v>
      </c>
      <c r="Q3588" s="1">
        <f t="shared" si="169"/>
        <v>0</v>
      </c>
      <c r="R3588" s="1" t="e">
        <f t="shared" si="170"/>
        <v>#DIV/0!</v>
      </c>
    </row>
    <row r="3589" spans="1:18">
      <c r="A3589" s="1">
        <v>2</v>
      </c>
      <c r="B3589" s="1" t="str">
        <f>"قطعات و لوازم يدكي"</f>
        <v>قطعات و لوازم يدكي</v>
      </c>
      <c r="C3589" s="1">
        <v>205</v>
      </c>
      <c r="D3589" s="1" t="str">
        <f>"انبار قطعات و لوازم يدكي بندرعباس"</f>
        <v>انبار قطعات و لوازم يدكي بندرعباس</v>
      </c>
      <c r="E3589" s="1" t="str">
        <f>"1800000707"</f>
        <v>1800000707</v>
      </c>
      <c r="F3589" s="1" t="str">
        <f>"پيچ و مهره m14*80"</f>
        <v>پيچ و مهره m14*80</v>
      </c>
      <c r="G3589" s="1" t="str">
        <f>"عدد"</f>
        <v>عدد</v>
      </c>
      <c r="H3589" s="1">
        <v>55</v>
      </c>
      <c r="I3589" s="1">
        <v>1650000</v>
      </c>
      <c r="J3589" s="1">
        <v>0</v>
      </c>
      <c r="K3589" s="1">
        <v>0</v>
      </c>
      <c r="L3589" s="1">
        <v>22</v>
      </c>
      <c r="M3589" s="1">
        <v>660000</v>
      </c>
      <c r="O3589" s="1">
        <v>97</v>
      </c>
      <c r="P3589" s="4">
        <f t="shared" si="168"/>
        <v>990000</v>
      </c>
      <c r="Q3589" s="4">
        <f t="shared" si="169"/>
        <v>33</v>
      </c>
      <c r="R3589" s="4">
        <f t="shared" si="170"/>
        <v>30000</v>
      </c>
    </row>
    <row r="3590" spans="1:18" hidden="1">
      <c r="A3590" s="1">
        <v>2</v>
      </c>
      <c r="B3590" s="1" t="str">
        <f>"قطعات و لوازم يدكي"</f>
        <v>قطعات و لوازم يدكي</v>
      </c>
      <c r="C3590" s="1">
        <v>205</v>
      </c>
      <c r="D3590" s="1" t="str">
        <f>"انبار قطعات و لوازم يدكي بندرعباس"</f>
        <v>انبار قطعات و لوازم يدكي بندرعباس</v>
      </c>
      <c r="E3590" s="1" t="str">
        <f>"1800000712"</f>
        <v>1800000712</v>
      </c>
      <c r="F3590" s="1" t="str">
        <f>"رديوسر 3*4 مانيسمان"</f>
        <v>رديوسر 3*4 مانيسمان</v>
      </c>
      <c r="G3590" s="1" t="str">
        <f>"عدد"</f>
        <v>عدد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O3590" s="1">
        <v>97</v>
      </c>
      <c r="P3590" s="1">
        <f t="shared" si="168"/>
        <v>0</v>
      </c>
      <c r="Q3590" s="1">
        <f t="shared" si="169"/>
        <v>0</v>
      </c>
      <c r="R3590" s="1" t="e">
        <f t="shared" si="170"/>
        <v>#DIV/0!</v>
      </c>
    </row>
    <row r="3591" spans="1:18" hidden="1">
      <c r="A3591" s="1">
        <v>2</v>
      </c>
      <c r="B3591" s="1" t="str">
        <f>"قطعات و لوازم يدكي"</f>
        <v>قطعات و لوازم يدكي</v>
      </c>
      <c r="C3591" s="1">
        <v>205</v>
      </c>
      <c r="D3591" s="1" t="str">
        <f>"انبار قطعات و لوازم يدكي بندرعباس"</f>
        <v>انبار قطعات و لوازم يدكي بندرعباس</v>
      </c>
      <c r="E3591" s="1" t="str">
        <f>"1800000717"</f>
        <v>1800000717</v>
      </c>
      <c r="F3591" s="1" t="str">
        <f>"نيپل 3 مانيسمان"</f>
        <v>نيپل 3 مانيسمان</v>
      </c>
      <c r="G3591" s="1" t="str">
        <f>"عدد"</f>
        <v>عدد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O3591" s="1">
        <v>97</v>
      </c>
      <c r="P3591" s="1">
        <f t="shared" si="168"/>
        <v>0</v>
      </c>
      <c r="Q3591" s="1">
        <f t="shared" si="169"/>
        <v>0</v>
      </c>
      <c r="R3591" s="1" t="e">
        <f t="shared" si="170"/>
        <v>#DIV/0!</v>
      </c>
    </row>
    <row r="3592" spans="1:18">
      <c r="A3592" s="1">
        <v>2</v>
      </c>
      <c r="B3592" s="1" t="str">
        <f>"قطعات و لوازم يدكي"</f>
        <v>قطعات و لوازم يدكي</v>
      </c>
      <c r="C3592" s="1">
        <v>205</v>
      </c>
      <c r="D3592" s="1" t="str">
        <f>"انبار قطعات و لوازم يدكي بندرعباس"</f>
        <v>انبار قطعات و لوازم يدكي بندرعباس</v>
      </c>
      <c r="E3592" s="1" t="str">
        <f>"1800000726"</f>
        <v>1800000726</v>
      </c>
      <c r="F3592" s="1" t="str">
        <f>"مغزي تبديل ابزار دقيق"</f>
        <v>مغزي تبديل ابزار دقيق</v>
      </c>
      <c r="G3592" s="1" t="str">
        <f>"عدد"</f>
        <v>عدد</v>
      </c>
      <c r="H3592" s="1">
        <v>10</v>
      </c>
      <c r="I3592" s="1">
        <v>1500000</v>
      </c>
      <c r="J3592" s="1">
        <v>0</v>
      </c>
      <c r="K3592" s="1">
        <v>0</v>
      </c>
      <c r="L3592" s="1">
        <v>2</v>
      </c>
      <c r="M3592" s="1">
        <v>300000</v>
      </c>
      <c r="O3592" s="1">
        <v>97</v>
      </c>
      <c r="P3592" s="4">
        <f t="shared" si="168"/>
        <v>1200000</v>
      </c>
      <c r="Q3592" s="4">
        <f t="shared" si="169"/>
        <v>8</v>
      </c>
      <c r="R3592" s="4">
        <f t="shared" si="170"/>
        <v>150000</v>
      </c>
    </row>
    <row r="3593" spans="1:18">
      <c r="A3593" s="1">
        <v>2</v>
      </c>
      <c r="B3593" s="1" t="str">
        <f>"قطعات و لوازم يدكي"</f>
        <v>قطعات و لوازم يدكي</v>
      </c>
      <c r="C3593" s="1">
        <v>205</v>
      </c>
      <c r="D3593" s="1" t="str">
        <f>"انبار قطعات و لوازم يدكي بندرعباس"</f>
        <v>انبار قطعات و لوازم يدكي بندرعباس</v>
      </c>
      <c r="E3593" s="1" t="str">
        <f>"1800000743"</f>
        <v>1800000743</v>
      </c>
      <c r="F3593" s="1" t="str">
        <f>"پيچ و مهره 2 سر"</f>
        <v>پيچ و مهره 2 سر</v>
      </c>
      <c r="G3593" s="1" t="str">
        <f>"عدد"</f>
        <v>عدد</v>
      </c>
      <c r="H3593" s="1">
        <v>6</v>
      </c>
      <c r="I3593" s="1">
        <v>510000</v>
      </c>
      <c r="J3593" s="1">
        <v>0</v>
      </c>
      <c r="K3593" s="1">
        <v>0</v>
      </c>
      <c r="L3593" s="1">
        <v>0</v>
      </c>
      <c r="M3593" s="1">
        <v>0</v>
      </c>
      <c r="O3593" s="1">
        <v>97</v>
      </c>
      <c r="P3593" s="4">
        <f t="shared" si="168"/>
        <v>510000</v>
      </c>
      <c r="Q3593" s="4">
        <f t="shared" si="169"/>
        <v>6</v>
      </c>
      <c r="R3593" s="4">
        <f t="shared" si="170"/>
        <v>85000</v>
      </c>
    </row>
    <row r="3594" spans="1:18">
      <c r="A3594" s="1">
        <v>2</v>
      </c>
      <c r="B3594" s="1" t="str">
        <f>"قطعات و لوازم يدكي"</f>
        <v>قطعات و لوازم يدكي</v>
      </c>
      <c r="C3594" s="1">
        <v>205</v>
      </c>
      <c r="D3594" s="1" t="str">
        <f>"انبار قطعات و لوازم يدكي بندرعباس"</f>
        <v>انبار قطعات و لوازم يدكي بندرعباس</v>
      </c>
      <c r="E3594" s="1" t="str">
        <f>"1800000744"</f>
        <v>1800000744</v>
      </c>
      <c r="F3594" s="1" t="str">
        <f>"پيچ و مهره خشکه"</f>
        <v>پيچ و مهره خشکه</v>
      </c>
      <c r="G3594" s="1" t="str">
        <f>"عدد"</f>
        <v>عدد</v>
      </c>
      <c r="H3594" s="1">
        <v>50</v>
      </c>
      <c r="I3594" s="1">
        <v>1750000</v>
      </c>
      <c r="J3594" s="1">
        <v>8</v>
      </c>
      <c r="K3594" s="1">
        <v>4000000</v>
      </c>
      <c r="L3594" s="1">
        <v>32</v>
      </c>
      <c r="M3594" s="1">
        <v>1120000</v>
      </c>
      <c r="O3594" s="1">
        <v>97</v>
      </c>
      <c r="P3594" s="4">
        <f t="shared" si="168"/>
        <v>4630000</v>
      </c>
      <c r="Q3594" s="4">
        <f t="shared" si="169"/>
        <v>26</v>
      </c>
      <c r="R3594" s="4">
        <f t="shared" si="170"/>
        <v>178076.92307692306</v>
      </c>
    </row>
    <row r="3595" spans="1:18" hidden="1">
      <c r="A3595" s="1">
        <v>2</v>
      </c>
      <c r="B3595" s="1" t="str">
        <f>"قطعات و لوازم يدكي"</f>
        <v>قطعات و لوازم يدكي</v>
      </c>
      <c r="C3595" s="1">
        <v>205</v>
      </c>
      <c r="D3595" s="1" t="str">
        <f>"انبار قطعات و لوازم يدكي بندرعباس"</f>
        <v>انبار قطعات و لوازم يدكي بندرعباس</v>
      </c>
      <c r="E3595" s="1" t="str">
        <f>"1800000752"</f>
        <v>1800000752</v>
      </c>
      <c r="F3595" s="1" t="str">
        <f>"الکترود 6013-2/5"</f>
        <v>الکترود 6013-2/5</v>
      </c>
      <c r="G3595" s="1" t="str">
        <f>"بسته"</f>
        <v>بسته</v>
      </c>
      <c r="H3595" s="1">
        <v>0</v>
      </c>
      <c r="I3595" s="1">
        <v>0</v>
      </c>
      <c r="J3595" s="1">
        <v>8</v>
      </c>
      <c r="K3595" s="1">
        <v>2720000</v>
      </c>
      <c r="L3595" s="1">
        <v>8</v>
      </c>
      <c r="M3595" s="1">
        <v>2720000</v>
      </c>
      <c r="O3595" s="1">
        <v>97</v>
      </c>
      <c r="P3595" s="1">
        <f t="shared" si="168"/>
        <v>0</v>
      </c>
      <c r="Q3595" s="1">
        <f t="shared" si="169"/>
        <v>0</v>
      </c>
      <c r="R3595" s="1" t="e">
        <f t="shared" si="170"/>
        <v>#DIV/0!</v>
      </c>
    </row>
    <row r="3596" spans="1:18">
      <c r="A3596" s="1">
        <v>2</v>
      </c>
      <c r="B3596" s="1" t="str">
        <f>"قطعات و لوازم يدكي"</f>
        <v>قطعات و لوازم يدكي</v>
      </c>
      <c r="C3596" s="1">
        <v>205</v>
      </c>
      <c r="D3596" s="1" t="str">
        <f>"انبار قطعات و لوازم يدكي بندرعباس"</f>
        <v>انبار قطعات و لوازم يدكي بندرعباس</v>
      </c>
      <c r="E3596" s="1" t="str">
        <f>"1800000773"</f>
        <v>1800000773</v>
      </c>
      <c r="F3596" s="1" t="str">
        <f>"شيلدر جوشکاري"</f>
        <v>شيلدر جوشکاري</v>
      </c>
      <c r="G3596" s="1" t="str">
        <f>"عدد"</f>
        <v>عدد</v>
      </c>
      <c r="H3596" s="1">
        <v>0</v>
      </c>
      <c r="I3596" s="1">
        <v>0</v>
      </c>
      <c r="J3596" s="1">
        <v>2</v>
      </c>
      <c r="K3596" s="1">
        <v>500000</v>
      </c>
      <c r="L3596" s="1">
        <v>0</v>
      </c>
      <c r="M3596" s="1">
        <v>0</v>
      </c>
      <c r="O3596" s="1">
        <v>97</v>
      </c>
      <c r="P3596" s="4">
        <f t="shared" si="168"/>
        <v>500000</v>
      </c>
      <c r="Q3596" s="4">
        <f t="shared" si="169"/>
        <v>2</v>
      </c>
      <c r="R3596" s="4">
        <f t="shared" si="170"/>
        <v>250000</v>
      </c>
    </row>
    <row r="3597" spans="1:18">
      <c r="A3597" s="1">
        <v>2</v>
      </c>
      <c r="B3597" s="1" t="str">
        <f>"قطعات و لوازم يدكي"</f>
        <v>قطعات و لوازم يدكي</v>
      </c>
      <c r="C3597" s="1">
        <v>205</v>
      </c>
      <c r="D3597" s="1" t="str">
        <f>"انبار قطعات و لوازم يدكي بندرعباس"</f>
        <v>انبار قطعات و لوازم يدكي بندرعباس</v>
      </c>
      <c r="E3597" s="1" t="str">
        <f>"1800000787"</f>
        <v>1800000787</v>
      </c>
      <c r="F3597" s="1" t="str">
        <f>"عايق لوله گاز کولر"</f>
        <v>عايق لوله گاز کولر</v>
      </c>
      <c r="G3597" s="1" t="str">
        <f>"متر"</f>
        <v>متر</v>
      </c>
      <c r="H3597" s="1">
        <v>0</v>
      </c>
      <c r="I3597" s="1">
        <v>0</v>
      </c>
      <c r="J3597" s="1">
        <v>1</v>
      </c>
      <c r="K3597" s="1">
        <v>150000</v>
      </c>
      <c r="L3597" s="1">
        <v>0</v>
      </c>
      <c r="M3597" s="1">
        <v>0</v>
      </c>
      <c r="O3597" s="1">
        <v>97</v>
      </c>
      <c r="P3597" s="4">
        <f t="shared" si="168"/>
        <v>150000</v>
      </c>
      <c r="Q3597" s="4">
        <f t="shared" si="169"/>
        <v>1</v>
      </c>
      <c r="R3597" s="4">
        <f t="shared" si="170"/>
        <v>150000</v>
      </c>
    </row>
    <row r="3598" spans="1:18">
      <c r="A3598" s="1">
        <v>2</v>
      </c>
      <c r="B3598" s="1" t="str">
        <f>"قطعات و لوازم يدكي"</f>
        <v>قطعات و لوازم يدكي</v>
      </c>
      <c r="C3598" s="1">
        <v>205</v>
      </c>
      <c r="D3598" s="1" t="str">
        <f>"انبار قطعات و لوازم يدكي بندرعباس"</f>
        <v>انبار قطعات و لوازم يدكي بندرعباس</v>
      </c>
      <c r="E3598" s="1" t="str">
        <f>"1800000797"</f>
        <v>1800000797</v>
      </c>
      <c r="F3598" s="1" t="str">
        <f>"سه راه قطره چکان"</f>
        <v>سه راه قطره چکان</v>
      </c>
      <c r="G3598" s="1" t="str">
        <f>"عدد"</f>
        <v>عدد</v>
      </c>
      <c r="H3598" s="1">
        <v>0</v>
      </c>
      <c r="I3598" s="1">
        <v>0</v>
      </c>
      <c r="J3598" s="1">
        <v>50</v>
      </c>
      <c r="K3598" s="1">
        <v>100000</v>
      </c>
      <c r="L3598" s="1">
        <v>0</v>
      </c>
      <c r="M3598" s="1">
        <v>0</v>
      </c>
      <c r="O3598" s="1">
        <v>97</v>
      </c>
      <c r="P3598" s="4">
        <f t="shared" si="168"/>
        <v>100000</v>
      </c>
      <c r="Q3598" s="4">
        <f t="shared" si="169"/>
        <v>50</v>
      </c>
      <c r="R3598" s="4">
        <f t="shared" si="170"/>
        <v>2000</v>
      </c>
    </row>
    <row r="3599" spans="1:18">
      <c r="A3599" s="1">
        <v>2</v>
      </c>
      <c r="B3599" s="1" t="str">
        <f>"قطعات و لوازم يدكي"</f>
        <v>قطعات و لوازم يدكي</v>
      </c>
      <c r="C3599" s="1">
        <v>205</v>
      </c>
      <c r="D3599" s="1" t="str">
        <f>"انبار قطعات و لوازم يدكي بندرعباس"</f>
        <v>انبار قطعات و لوازم يدكي بندرعباس</v>
      </c>
      <c r="E3599" s="1" t="str">
        <f>"1800000831"</f>
        <v>1800000831</v>
      </c>
      <c r="F3599" s="1" t="str">
        <f>"صفحه سنگ 1/6*180"</f>
        <v>صفحه سنگ 1/6*180</v>
      </c>
      <c r="G3599" s="1" t="str">
        <f>"عدد"</f>
        <v>عدد</v>
      </c>
      <c r="H3599" s="1">
        <v>0</v>
      </c>
      <c r="I3599" s="1">
        <v>0</v>
      </c>
      <c r="J3599" s="1">
        <v>26</v>
      </c>
      <c r="K3599" s="1">
        <v>3710000</v>
      </c>
      <c r="L3599" s="1">
        <v>19</v>
      </c>
      <c r="M3599" s="1">
        <v>2648333</v>
      </c>
      <c r="O3599" s="1">
        <v>97</v>
      </c>
      <c r="P3599" s="4">
        <f t="shared" si="168"/>
        <v>1061667</v>
      </c>
      <c r="Q3599" s="4">
        <f t="shared" si="169"/>
        <v>7</v>
      </c>
      <c r="R3599" s="4">
        <f t="shared" si="170"/>
        <v>151666.71428571429</v>
      </c>
    </row>
    <row r="3600" spans="1:18">
      <c r="A3600" s="1">
        <v>2</v>
      </c>
      <c r="B3600" s="1" t="str">
        <f>"قطعات و لوازم يدكي"</f>
        <v>قطعات و لوازم يدكي</v>
      </c>
      <c r="C3600" s="1">
        <v>205</v>
      </c>
      <c r="D3600" s="1" t="str">
        <f>"انبار قطعات و لوازم يدكي بندرعباس"</f>
        <v>انبار قطعات و لوازم يدكي بندرعباس</v>
      </c>
      <c r="E3600" s="1" t="str">
        <f>"1800000841"</f>
        <v>1800000841</v>
      </c>
      <c r="F3600" s="1" t="str">
        <f>"استدبلت"</f>
        <v>استدبلت</v>
      </c>
      <c r="G3600" s="1" t="str">
        <f>"عدد"</f>
        <v>عدد</v>
      </c>
      <c r="H3600" s="1">
        <v>0</v>
      </c>
      <c r="I3600" s="1">
        <v>0</v>
      </c>
      <c r="J3600" s="1">
        <v>30</v>
      </c>
      <c r="K3600" s="1">
        <v>3000000</v>
      </c>
      <c r="L3600" s="1">
        <v>0</v>
      </c>
      <c r="M3600" s="1">
        <v>0</v>
      </c>
      <c r="O3600" s="1">
        <v>97</v>
      </c>
      <c r="P3600" s="4">
        <f t="shared" si="168"/>
        <v>3000000</v>
      </c>
      <c r="Q3600" s="4">
        <f t="shared" si="169"/>
        <v>30</v>
      </c>
      <c r="R3600" s="4">
        <f t="shared" si="170"/>
        <v>100000</v>
      </c>
    </row>
    <row r="3601" spans="1:18">
      <c r="A3601" s="1">
        <v>2</v>
      </c>
      <c r="B3601" s="1" t="str">
        <f>"قطعات و لوازم يدكي"</f>
        <v>قطعات و لوازم يدكي</v>
      </c>
      <c r="C3601" s="1">
        <v>205</v>
      </c>
      <c r="D3601" s="1" t="str">
        <f>"انبار قطعات و لوازم يدكي بندرعباس"</f>
        <v>انبار قطعات و لوازم يدكي بندرعباس</v>
      </c>
      <c r="E3601" s="1" t="str">
        <f>"1800000931"</f>
        <v>1800000931</v>
      </c>
      <c r="F3601" s="1" t="str">
        <f>"کمربند ايمني کانسيف"</f>
        <v>کمربند ايمني کانسيف</v>
      </c>
      <c r="G3601" s="1" t="str">
        <f>"عدد"</f>
        <v>عدد</v>
      </c>
      <c r="H3601" s="1">
        <v>0</v>
      </c>
      <c r="I3601" s="1">
        <v>0</v>
      </c>
      <c r="J3601" s="1">
        <v>4</v>
      </c>
      <c r="K3601" s="1">
        <v>34000000</v>
      </c>
      <c r="L3601" s="1">
        <v>0</v>
      </c>
      <c r="M3601" s="1">
        <v>0</v>
      </c>
      <c r="O3601" s="1">
        <v>97</v>
      </c>
      <c r="P3601" s="4">
        <f t="shared" si="168"/>
        <v>34000000</v>
      </c>
      <c r="Q3601" s="4">
        <f t="shared" si="169"/>
        <v>4</v>
      </c>
      <c r="R3601" s="4">
        <f t="shared" si="170"/>
        <v>8500000</v>
      </c>
    </row>
    <row r="3602" spans="1:18">
      <c r="A3602" s="1">
        <v>2</v>
      </c>
      <c r="B3602" s="1" t="str">
        <f>"قطعات و لوازم يدكي"</f>
        <v>قطعات و لوازم يدكي</v>
      </c>
      <c r="C3602" s="1">
        <v>205</v>
      </c>
      <c r="D3602" s="1" t="str">
        <f>"انبار قطعات و لوازم يدكي بندرعباس"</f>
        <v>انبار قطعات و لوازم يدكي بندرعباس</v>
      </c>
      <c r="E3602" s="1" t="str">
        <f>"1800000935"</f>
        <v>1800000935</v>
      </c>
      <c r="F3602" s="1" t="str">
        <f>"حلقه نجات"</f>
        <v>حلقه نجات</v>
      </c>
      <c r="G3602" s="1" t="str">
        <f>"عدد"</f>
        <v>عدد</v>
      </c>
      <c r="H3602" s="1">
        <v>0</v>
      </c>
      <c r="I3602" s="1">
        <v>0</v>
      </c>
      <c r="J3602" s="1">
        <v>2</v>
      </c>
      <c r="K3602" s="1">
        <v>19800000</v>
      </c>
      <c r="L3602" s="1">
        <v>0</v>
      </c>
      <c r="M3602" s="1">
        <v>0</v>
      </c>
      <c r="O3602" s="1">
        <v>97</v>
      </c>
      <c r="P3602" s="4">
        <f t="shared" si="168"/>
        <v>19800000</v>
      </c>
      <c r="Q3602" s="4">
        <f t="shared" si="169"/>
        <v>2</v>
      </c>
      <c r="R3602" s="4">
        <f t="shared" si="170"/>
        <v>9900000</v>
      </c>
    </row>
    <row r="3603" spans="1:18" hidden="1">
      <c r="A3603" s="1">
        <v>2</v>
      </c>
      <c r="B3603" s="1" t="str">
        <f>"قطعات و لوازم يدكي"</f>
        <v>قطعات و لوازم يدكي</v>
      </c>
      <c r="C3603" s="1">
        <v>205</v>
      </c>
      <c r="D3603" s="1" t="str">
        <f>"انبار قطعات و لوازم يدكي بندرعباس"</f>
        <v>انبار قطعات و لوازم يدكي بندرعباس</v>
      </c>
      <c r="E3603" s="1" t="str">
        <f>"1800000950"</f>
        <v>1800000950</v>
      </c>
      <c r="F3603" s="1" t="str">
        <f>"واشر30"</f>
        <v>واشر30</v>
      </c>
      <c r="G3603" s="1" t="str">
        <f>"عدد"</f>
        <v>عدد</v>
      </c>
      <c r="H3603" s="1">
        <v>0</v>
      </c>
      <c r="I3603" s="1">
        <v>0</v>
      </c>
      <c r="J3603" s="1">
        <v>32</v>
      </c>
      <c r="K3603" s="1">
        <v>256000</v>
      </c>
      <c r="L3603" s="1">
        <v>32</v>
      </c>
      <c r="M3603" s="1">
        <v>256000</v>
      </c>
      <c r="O3603" s="1">
        <v>97</v>
      </c>
      <c r="P3603" s="1">
        <f t="shared" si="168"/>
        <v>0</v>
      </c>
      <c r="Q3603" s="1">
        <f t="shared" si="169"/>
        <v>0</v>
      </c>
      <c r="R3603" s="1" t="e">
        <f t="shared" si="170"/>
        <v>#DIV/0!</v>
      </c>
    </row>
    <row r="3604" spans="1:18">
      <c r="A3604" s="1">
        <v>2</v>
      </c>
      <c r="B3604" s="1" t="str">
        <f>"قطعات و لوازم يدكي"</f>
        <v>قطعات و لوازم يدكي</v>
      </c>
      <c r="C3604" s="1">
        <v>205</v>
      </c>
      <c r="D3604" s="1" t="str">
        <f>"انبار قطعات و لوازم يدكي بندرعباس"</f>
        <v>انبار قطعات و لوازم يدكي بندرعباس</v>
      </c>
      <c r="E3604" s="1" t="str">
        <f>"1800000992"</f>
        <v>1800000992</v>
      </c>
      <c r="F3604" s="1" t="str">
        <f>"سرمته اي دريل دو سر"</f>
        <v>سرمته اي دريل دو سر</v>
      </c>
      <c r="G3604" s="1" t="str">
        <f>"عدد"</f>
        <v>عدد</v>
      </c>
      <c r="H3604" s="1">
        <v>0</v>
      </c>
      <c r="I3604" s="1">
        <v>0</v>
      </c>
      <c r="J3604" s="1">
        <v>6</v>
      </c>
      <c r="K3604" s="1">
        <v>300000</v>
      </c>
      <c r="L3604" s="1">
        <v>0</v>
      </c>
      <c r="M3604" s="1">
        <v>0</v>
      </c>
      <c r="O3604" s="1">
        <v>97</v>
      </c>
      <c r="P3604" s="4">
        <f t="shared" si="168"/>
        <v>300000</v>
      </c>
      <c r="Q3604" s="4">
        <f t="shared" si="169"/>
        <v>6</v>
      </c>
      <c r="R3604" s="4">
        <f t="shared" si="170"/>
        <v>50000</v>
      </c>
    </row>
    <row r="3605" spans="1:18">
      <c r="A3605" s="1">
        <v>2</v>
      </c>
      <c r="B3605" s="1" t="str">
        <f>"قطعات و لوازم يدكي"</f>
        <v>قطعات و لوازم يدكي</v>
      </c>
      <c r="C3605" s="1">
        <v>205</v>
      </c>
      <c r="D3605" s="1" t="str">
        <f>"انبار قطعات و لوازم يدكي بندرعباس"</f>
        <v>انبار قطعات و لوازم يدكي بندرعباس</v>
      </c>
      <c r="E3605" s="1" t="str">
        <f>"4311700202"</f>
        <v>4311700202</v>
      </c>
      <c r="F3605" s="1" t="str">
        <f>"بوشن 1/2"</f>
        <v>بوشن 1/2</v>
      </c>
      <c r="G3605" s="1" t="str">
        <f>"عدد"</f>
        <v>عدد</v>
      </c>
      <c r="H3605" s="1">
        <v>0</v>
      </c>
      <c r="I3605" s="1">
        <v>0</v>
      </c>
      <c r="J3605" s="1">
        <v>3</v>
      </c>
      <c r="K3605" s="1">
        <v>240000</v>
      </c>
      <c r="L3605" s="1">
        <v>1</v>
      </c>
      <c r="M3605" s="1">
        <v>80000</v>
      </c>
      <c r="O3605" s="1">
        <v>97</v>
      </c>
      <c r="P3605" s="4">
        <f t="shared" si="168"/>
        <v>160000</v>
      </c>
      <c r="Q3605" s="4">
        <f t="shared" si="169"/>
        <v>2</v>
      </c>
      <c r="R3605" s="4">
        <f t="shared" si="170"/>
        <v>80000</v>
      </c>
    </row>
    <row r="3606" spans="1:18">
      <c r="A3606" s="1">
        <v>2</v>
      </c>
      <c r="B3606" s="1" t="str">
        <f>"قطعات و لوازم يدكي"</f>
        <v>قطعات و لوازم يدكي</v>
      </c>
      <c r="C3606" s="1">
        <v>205</v>
      </c>
      <c r="D3606" s="1" t="str">
        <f>"انبار قطعات و لوازم يدكي بندرعباس"</f>
        <v>انبار قطعات و لوازم يدكي بندرعباس</v>
      </c>
      <c r="E3606" s="1" t="str">
        <f>"6885124022"</f>
        <v>6885124022</v>
      </c>
      <c r="F3606" s="1" t="str">
        <f>"نوار چسب برق"</f>
        <v>نوار چسب برق</v>
      </c>
      <c r="G3606" s="1" t="str">
        <f>"متر"</f>
        <v>متر</v>
      </c>
      <c r="H3606" s="1">
        <v>0</v>
      </c>
      <c r="I3606" s="1">
        <v>0</v>
      </c>
      <c r="J3606" s="1">
        <v>10</v>
      </c>
      <c r="K3606" s="1">
        <v>4000000</v>
      </c>
      <c r="L3606" s="1">
        <v>3</v>
      </c>
      <c r="M3606" s="1">
        <v>1200000</v>
      </c>
      <c r="O3606" s="1">
        <v>97</v>
      </c>
      <c r="P3606" s="4">
        <f t="shared" si="168"/>
        <v>2800000</v>
      </c>
      <c r="Q3606" s="4">
        <f t="shared" si="169"/>
        <v>7</v>
      </c>
      <c r="R3606" s="4">
        <f t="shared" si="170"/>
        <v>400000</v>
      </c>
    </row>
    <row r="3607" spans="1:18">
      <c r="A3607" s="1">
        <v>2</v>
      </c>
      <c r="B3607" s="1" t="str">
        <f>"قطعات و لوازم يدكي"</f>
        <v>قطعات و لوازم يدكي</v>
      </c>
      <c r="C3607" s="1">
        <v>205</v>
      </c>
      <c r="D3607" s="1" t="str">
        <f>"انبار قطعات و لوازم يدكي بندرعباس"</f>
        <v>انبار قطعات و لوازم يدكي بندرعباس</v>
      </c>
      <c r="E3607" s="1" t="str">
        <f>"6901400462"</f>
        <v>6901400462</v>
      </c>
      <c r="F3607" s="1" t="str">
        <f>"لامپ کم مصرف مهتابي PL-L 36W"</f>
        <v>لامپ کم مصرف مهتابي PL-L 36W</v>
      </c>
      <c r="G3607" s="1" t="str">
        <f>"عدد"</f>
        <v>عدد</v>
      </c>
      <c r="H3607" s="1">
        <v>0</v>
      </c>
      <c r="I3607" s="1">
        <v>0</v>
      </c>
      <c r="J3607" s="1">
        <v>24</v>
      </c>
      <c r="K3607" s="1">
        <v>1380000</v>
      </c>
      <c r="L3607" s="1">
        <v>0</v>
      </c>
      <c r="M3607" s="1">
        <v>0</v>
      </c>
      <c r="O3607" s="1">
        <v>97</v>
      </c>
      <c r="P3607" s="4">
        <f t="shared" si="168"/>
        <v>1380000</v>
      </c>
      <c r="Q3607" s="4">
        <f t="shared" si="169"/>
        <v>24</v>
      </c>
      <c r="R3607" s="4">
        <f t="shared" si="170"/>
        <v>57500</v>
      </c>
    </row>
    <row r="3608" spans="1:18" hidden="1">
      <c r="A3608" s="1">
        <v>3</v>
      </c>
      <c r="B3608" s="1" t="str">
        <f>"انواع ورق"</f>
        <v>انواع ورق</v>
      </c>
      <c r="C3608" s="1">
        <v>102</v>
      </c>
      <c r="D3608" s="1" t="str">
        <f>"انبار ورق اصفهان"</f>
        <v>انبار ورق اصفهان</v>
      </c>
      <c r="E3608" s="1" t="str">
        <f>"7801101185"</f>
        <v>7801101185</v>
      </c>
      <c r="F3608" s="1" t="str">
        <f>"ورق سروته بشکه 6/ عرض1250"</f>
        <v>ورق سروته بشکه 6/ عرض1250</v>
      </c>
      <c r="G3608" s="1" t="str">
        <f>"كيلوگرم"</f>
        <v>كيلوگرم</v>
      </c>
      <c r="H3608" s="1">
        <v>0</v>
      </c>
      <c r="I3608" s="1">
        <v>0</v>
      </c>
      <c r="J3608" s="1">
        <v>543820</v>
      </c>
      <c r="K3608" s="1">
        <v>16077812743</v>
      </c>
      <c r="L3608" s="1">
        <v>54560</v>
      </c>
      <c r="M3608" s="1">
        <v>1613043770</v>
      </c>
      <c r="O3608" s="1">
        <v>97</v>
      </c>
      <c r="P3608" s="1">
        <f t="shared" si="168"/>
        <v>14464768973</v>
      </c>
      <c r="Q3608" s="1">
        <f t="shared" si="169"/>
        <v>489260</v>
      </c>
      <c r="R3608" s="1">
        <f t="shared" si="170"/>
        <v>29564.585236888361</v>
      </c>
    </row>
    <row r="3609" spans="1:18" hidden="1">
      <c r="A3609" s="1">
        <v>4</v>
      </c>
      <c r="B3609" s="1" t="str">
        <f>"مواد اوليه (نفت سفيد)"</f>
        <v>مواد اوليه (نفت سفيد)</v>
      </c>
      <c r="C3609" s="1">
        <v>103</v>
      </c>
      <c r="D3609" s="1" t="str">
        <f>"انبار مواد اوليه اصفهان"</f>
        <v>انبار مواد اوليه اصفهان</v>
      </c>
      <c r="E3609" s="1" t="str">
        <f>"1000000022"</f>
        <v>1000000022</v>
      </c>
      <c r="F3609" s="1" t="str">
        <f>"نفت سفيد"</f>
        <v>نفت سفيد</v>
      </c>
      <c r="G3609" s="1" t="str">
        <f>"ليتر"</f>
        <v>ليتر</v>
      </c>
      <c r="H3609" s="1">
        <v>0</v>
      </c>
      <c r="I3609" s="1">
        <v>0</v>
      </c>
      <c r="J3609" s="1">
        <v>2110118</v>
      </c>
      <c r="K3609" s="1">
        <v>104348967064</v>
      </c>
      <c r="L3609" s="1">
        <v>2110118</v>
      </c>
      <c r="M3609" s="1">
        <v>104348967064</v>
      </c>
      <c r="O3609" s="1">
        <v>97</v>
      </c>
      <c r="P3609" s="1">
        <f t="shared" si="168"/>
        <v>0</v>
      </c>
      <c r="Q3609" s="1">
        <f t="shared" si="169"/>
        <v>0</v>
      </c>
      <c r="R3609" s="1" t="e">
        <f t="shared" si="170"/>
        <v>#DIV/0!</v>
      </c>
    </row>
    <row r="3610" spans="1:18" hidden="1">
      <c r="A3610" s="1">
        <v>6</v>
      </c>
      <c r="B3610" s="1" t="str">
        <f>"موجودي ملزومات اداري"</f>
        <v>موجودي ملزومات اداري</v>
      </c>
      <c r="C3610" s="1">
        <v>101</v>
      </c>
      <c r="D3610" s="1" t="str">
        <f>"انبار قطعات و لوازم يدكي اصفهان"</f>
        <v>انبار قطعات و لوازم يدكي اصفهان</v>
      </c>
      <c r="E3610" s="1" t="str">
        <f>"8564010182"</f>
        <v>8564010182</v>
      </c>
      <c r="F3610" s="1" t="str">
        <f>"پتوي نسوز(kavool)"</f>
        <v>پتوي نسوز(kavool)</v>
      </c>
      <c r="G3610" s="1" t="str">
        <f>"کارتن"</f>
        <v>کارتن</v>
      </c>
      <c r="H3610" s="1">
        <v>0</v>
      </c>
      <c r="I3610" s="1">
        <v>0</v>
      </c>
      <c r="J3610" s="1">
        <v>8</v>
      </c>
      <c r="K3610" s="1">
        <v>7300000</v>
      </c>
      <c r="L3610" s="1">
        <v>8</v>
      </c>
      <c r="M3610" s="1">
        <v>7300000</v>
      </c>
      <c r="O3610" s="1">
        <v>97</v>
      </c>
      <c r="P3610" s="1">
        <f t="shared" si="168"/>
        <v>0</v>
      </c>
      <c r="Q3610" s="1">
        <f t="shared" si="169"/>
        <v>0</v>
      </c>
      <c r="R3610" s="1" t="e">
        <f t="shared" si="170"/>
        <v>#DIV/0!</v>
      </c>
    </row>
    <row r="3611" spans="1:18">
      <c r="A3611" s="1">
        <v>6</v>
      </c>
      <c r="B3611" s="1" t="str">
        <f>"موجودي ملزومات اداري"</f>
        <v>موجودي ملزومات اداري</v>
      </c>
      <c r="C3611" s="1">
        <v>110</v>
      </c>
      <c r="D3611" s="1" t="str">
        <f>"ملزومات اداري اصفهان"</f>
        <v>ملزومات اداري اصفهان</v>
      </c>
      <c r="E3611" s="1" t="str">
        <f>"0000011042"</f>
        <v>0000011042</v>
      </c>
      <c r="F3611" s="1" t="str">
        <f>"خودكار آبي فشاري"</f>
        <v>خودكار آبي فشاري</v>
      </c>
      <c r="G3611" s="1" t="str">
        <f>"عدد"</f>
        <v>عدد</v>
      </c>
      <c r="H3611" s="1">
        <v>69</v>
      </c>
      <c r="I3611" s="1">
        <v>2070000</v>
      </c>
      <c r="J3611" s="1">
        <v>0</v>
      </c>
      <c r="K3611" s="1">
        <v>0</v>
      </c>
      <c r="L3611" s="1">
        <v>40</v>
      </c>
      <c r="M3611" s="1">
        <v>1200000</v>
      </c>
      <c r="O3611" s="1">
        <v>97</v>
      </c>
      <c r="P3611" s="4">
        <f t="shared" si="168"/>
        <v>870000</v>
      </c>
      <c r="Q3611" s="4">
        <f t="shared" si="169"/>
        <v>29</v>
      </c>
      <c r="R3611" s="4">
        <f t="shared" si="170"/>
        <v>30000</v>
      </c>
    </row>
    <row r="3612" spans="1:18">
      <c r="A3612" s="1">
        <v>6</v>
      </c>
      <c r="B3612" s="1" t="str">
        <f>"موجودي ملزومات اداري"</f>
        <v>موجودي ملزومات اداري</v>
      </c>
      <c r="C3612" s="1">
        <v>110</v>
      </c>
      <c r="D3612" s="1" t="str">
        <f>"ملزومات اداري اصفهان"</f>
        <v>ملزومات اداري اصفهان</v>
      </c>
      <c r="E3612" s="1" t="str">
        <f>"0000011052"</f>
        <v>0000011052</v>
      </c>
      <c r="F3612" s="1" t="str">
        <f>"روان نويس"</f>
        <v>روان نويس</v>
      </c>
      <c r="G3612" s="1" t="str">
        <f>"عدد"</f>
        <v>عدد</v>
      </c>
      <c r="H3612" s="1">
        <v>64</v>
      </c>
      <c r="I3612" s="1">
        <v>2310624</v>
      </c>
      <c r="J3612" s="1">
        <v>30</v>
      </c>
      <c r="K3612" s="1">
        <v>2400000</v>
      </c>
      <c r="L3612" s="1">
        <v>47</v>
      </c>
      <c r="M3612" s="1">
        <v>1946622</v>
      </c>
      <c r="O3612" s="1">
        <v>97</v>
      </c>
      <c r="P3612" s="4">
        <f t="shared" si="168"/>
        <v>2764002</v>
      </c>
      <c r="Q3612" s="4">
        <f t="shared" si="169"/>
        <v>47</v>
      </c>
      <c r="R3612" s="4">
        <f t="shared" si="170"/>
        <v>58808.553191489358</v>
      </c>
    </row>
    <row r="3613" spans="1:18">
      <c r="A3613" s="1">
        <v>6</v>
      </c>
      <c r="B3613" s="1" t="str">
        <f>"موجودي ملزومات اداري"</f>
        <v>موجودي ملزومات اداري</v>
      </c>
      <c r="C3613" s="1">
        <v>110</v>
      </c>
      <c r="D3613" s="1" t="str">
        <f>"ملزومات اداري اصفهان"</f>
        <v>ملزومات اداري اصفهان</v>
      </c>
      <c r="E3613" s="1" t="str">
        <f>"0000011172"</f>
        <v>0000011172</v>
      </c>
      <c r="F3613" s="1" t="str">
        <f>"لاك غلط گير ماژيكي"</f>
        <v>لاك غلط گير ماژيكي</v>
      </c>
      <c r="G3613" s="1" t="str">
        <f>"عدد"</f>
        <v>عدد</v>
      </c>
      <c r="H3613" s="1">
        <v>42</v>
      </c>
      <c r="I3613" s="1">
        <v>645147</v>
      </c>
      <c r="J3613" s="1">
        <v>70</v>
      </c>
      <c r="K3613" s="1">
        <v>1600000</v>
      </c>
      <c r="L3613" s="1">
        <v>100</v>
      </c>
      <c r="M3613" s="1">
        <v>1968097</v>
      </c>
      <c r="O3613" s="1">
        <v>97</v>
      </c>
      <c r="P3613" s="4">
        <f t="shared" si="168"/>
        <v>277050</v>
      </c>
      <c r="Q3613" s="4">
        <f t="shared" si="169"/>
        <v>12</v>
      </c>
      <c r="R3613" s="4">
        <f t="shared" si="170"/>
        <v>23087.5</v>
      </c>
    </row>
    <row r="3614" spans="1:18" hidden="1">
      <c r="A3614" s="1">
        <v>6</v>
      </c>
      <c r="B3614" s="1" t="str">
        <f>"موجودي ملزومات اداري"</f>
        <v>موجودي ملزومات اداري</v>
      </c>
      <c r="C3614" s="1">
        <v>110</v>
      </c>
      <c r="D3614" s="1" t="str">
        <f>"ملزومات اداري اصفهان"</f>
        <v>ملزومات اداري اصفهان</v>
      </c>
      <c r="E3614" s="1" t="str">
        <f>"0000011392"</f>
        <v>0000011392</v>
      </c>
      <c r="F3614" s="1" t="str">
        <f>"زونكن بزرگ"</f>
        <v>زونكن بزرگ</v>
      </c>
      <c r="G3614" s="1" t="str">
        <f>"عدد"</f>
        <v>عدد</v>
      </c>
      <c r="H3614" s="1">
        <v>8</v>
      </c>
      <c r="I3614" s="1">
        <v>520000</v>
      </c>
      <c r="J3614" s="1">
        <v>180</v>
      </c>
      <c r="K3614" s="1">
        <v>24680000</v>
      </c>
      <c r="L3614" s="1">
        <v>188</v>
      </c>
      <c r="M3614" s="1">
        <v>25200000</v>
      </c>
      <c r="O3614" s="1">
        <v>97</v>
      </c>
      <c r="P3614" s="1">
        <f t="shared" si="168"/>
        <v>0</v>
      </c>
      <c r="Q3614" s="1">
        <f t="shared" si="169"/>
        <v>0</v>
      </c>
      <c r="R3614" s="1" t="e">
        <f t="shared" si="170"/>
        <v>#DIV/0!</v>
      </c>
    </row>
    <row r="3615" spans="1:18" hidden="1">
      <c r="A3615" s="1">
        <v>6</v>
      </c>
      <c r="B3615" s="1" t="str">
        <f>"موجودي ملزومات اداري"</f>
        <v>موجودي ملزومات اداري</v>
      </c>
      <c r="C3615" s="1">
        <v>110</v>
      </c>
      <c r="D3615" s="1" t="str">
        <f>"ملزومات اداري اصفهان"</f>
        <v>ملزومات اداري اصفهان</v>
      </c>
      <c r="E3615" s="1" t="str">
        <f>"0000011452"</f>
        <v>0000011452</v>
      </c>
      <c r="F3615" s="1" t="str">
        <f>"خط کش 30سانتي فلزي"</f>
        <v>خط کش 30سانتي فلزي</v>
      </c>
      <c r="G3615" s="1" t="str">
        <f>"عدد"</f>
        <v>عدد</v>
      </c>
      <c r="H3615" s="1">
        <v>0</v>
      </c>
      <c r="I3615" s="1">
        <v>0</v>
      </c>
      <c r="J3615" s="1">
        <v>10</v>
      </c>
      <c r="K3615" s="1">
        <v>200000</v>
      </c>
      <c r="L3615" s="1">
        <v>10</v>
      </c>
      <c r="M3615" s="1">
        <v>200000</v>
      </c>
      <c r="O3615" s="1">
        <v>97</v>
      </c>
      <c r="P3615" s="1">
        <f t="shared" si="168"/>
        <v>0</v>
      </c>
      <c r="Q3615" s="1">
        <f t="shared" si="169"/>
        <v>0</v>
      </c>
      <c r="R3615" s="1" t="e">
        <f t="shared" si="170"/>
        <v>#DIV/0!</v>
      </c>
    </row>
    <row r="3616" spans="1:18">
      <c r="A3616" s="1">
        <v>6</v>
      </c>
      <c r="B3616" s="1" t="str">
        <f>"موجودي ملزومات اداري"</f>
        <v>موجودي ملزومات اداري</v>
      </c>
      <c r="C3616" s="1">
        <v>110</v>
      </c>
      <c r="D3616" s="1" t="str">
        <f>"ملزومات اداري اصفهان"</f>
        <v>ملزومات اداري اصفهان</v>
      </c>
      <c r="E3616" s="1" t="str">
        <f>"0000011632"</f>
        <v>0000011632</v>
      </c>
      <c r="F3616" s="1" t="str">
        <f>"پايه چسب"</f>
        <v>پايه چسب</v>
      </c>
      <c r="G3616" s="1" t="str">
        <f>"عدد"</f>
        <v>عدد</v>
      </c>
      <c r="H3616" s="1">
        <v>5</v>
      </c>
      <c r="I3616" s="1">
        <v>675000</v>
      </c>
      <c r="J3616" s="1">
        <v>10</v>
      </c>
      <c r="K3616" s="1">
        <v>3000000</v>
      </c>
      <c r="L3616" s="1">
        <v>11</v>
      </c>
      <c r="M3616" s="1">
        <v>2475000</v>
      </c>
      <c r="O3616" s="1">
        <v>97</v>
      </c>
      <c r="P3616" s="4">
        <f t="shared" si="168"/>
        <v>1200000</v>
      </c>
      <c r="Q3616" s="4">
        <f t="shared" si="169"/>
        <v>4</v>
      </c>
      <c r="R3616" s="4">
        <f t="shared" si="170"/>
        <v>300000</v>
      </c>
    </row>
    <row r="3617" spans="1:18">
      <c r="A3617" s="1">
        <v>6</v>
      </c>
      <c r="B3617" s="1" t="str">
        <f>"موجودي ملزومات اداري"</f>
        <v>موجودي ملزومات اداري</v>
      </c>
      <c r="C3617" s="1">
        <v>110</v>
      </c>
      <c r="D3617" s="1" t="str">
        <f>"ملزومات اداري اصفهان"</f>
        <v>ملزومات اداري اصفهان</v>
      </c>
      <c r="E3617" s="1" t="str">
        <f>"0000011662"</f>
        <v>0000011662</v>
      </c>
      <c r="F3617" s="1" t="str">
        <f>"پوشه کيفي"</f>
        <v>پوشه کيفي</v>
      </c>
      <c r="G3617" s="1" t="str">
        <f>"عدد"</f>
        <v>عدد</v>
      </c>
      <c r="H3617" s="1">
        <v>93</v>
      </c>
      <c r="I3617" s="1">
        <v>622784</v>
      </c>
      <c r="J3617" s="1">
        <v>0</v>
      </c>
      <c r="K3617" s="1">
        <v>0</v>
      </c>
      <c r="L3617" s="1">
        <v>11</v>
      </c>
      <c r="M3617" s="1">
        <v>73663</v>
      </c>
      <c r="O3617" s="1">
        <v>97</v>
      </c>
      <c r="P3617" s="4">
        <f t="shared" si="168"/>
        <v>549121</v>
      </c>
      <c r="Q3617" s="4">
        <f t="shared" si="169"/>
        <v>82</v>
      </c>
      <c r="R3617" s="4">
        <f t="shared" si="170"/>
        <v>6696.5975609756097</v>
      </c>
    </row>
    <row r="3618" spans="1:18" hidden="1">
      <c r="A3618" s="1">
        <v>6</v>
      </c>
      <c r="B3618" s="1" t="str">
        <f>"موجودي ملزومات اداري"</f>
        <v>موجودي ملزومات اداري</v>
      </c>
      <c r="C3618" s="1">
        <v>110</v>
      </c>
      <c r="D3618" s="1" t="str">
        <f>"ملزومات اداري اصفهان"</f>
        <v>ملزومات اداري اصفهان</v>
      </c>
      <c r="E3618" s="1" t="str">
        <f>"0000017332"</f>
        <v>0000017332</v>
      </c>
      <c r="F3618" s="1" t="str">
        <f>"مايع دستشوئي"</f>
        <v>مايع دستشوئي</v>
      </c>
      <c r="G3618" s="1" t="str">
        <f>"ليتر"</f>
        <v>ليتر</v>
      </c>
      <c r="H3618" s="1">
        <v>169</v>
      </c>
      <c r="I3618" s="1">
        <v>8112000</v>
      </c>
      <c r="J3618" s="1">
        <v>750</v>
      </c>
      <c r="K3618" s="1">
        <v>50500000</v>
      </c>
      <c r="L3618" s="1">
        <v>919</v>
      </c>
      <c r="M3618" s="1">
        <v>58612000</v>
      </c>
      <c r="O3618" s="1">
        <v>97</v>
      </c>
      <c r="P3618" s="1">
        <f t="shared" si="168"/>
        <v>0</v>
      </c>
      <c r="Q3618" s="1">
        <f t="shared" si="169"/>
        <v>0</v>
      </c>
      <c r="R3618" s="1" t="e">
        <f t="shared" si="170"/>
        <v>#DIV/0!</v>
      </c>
    </row>
    <row r="3619" spans="1:18" hidden="1">
      <c r="A3619" s="1">
        <v>6</v>
      </c>
      <c r="B3619" s="1" t="str">
        <f>"موجودي ملزومات اداري"</f>
        <v>موجودي ملزومات اداري</v>
      </c>
      <c r="C3619" s="1">
        <v>110</v>
      </c>
      <c r="D3619" s="1" t="str">
        <f>"ملزومات اداري اصفهان"</f>
        <v>ملزومات اداري اصفهان</v>
      </c>
      <c r="E3619" s="1" t="str">
        <f>"0000017362"</f>
        <v>0000017362</v>
      </c>
      <c r="F3619" s="1" t="str">
        <f>"پودر لباس شوئي"</f>
        <v>پودر لباس شوئي</v>
      </c>
      <c r="G3619" s="1" t="str">
        <f>"عدد"</f>
        <v>عدد</v>
      </c>
      <c r="H3619" s="1">
        <v>31</v>
      </c>
      <c r="I3619" s="1">
        <v>407813</v>
      </c>
      <c r="J3619" s="1">
        <v>60</v>
      </c>
      <c r="K3619" s="1">
        <v>1960000</v>
      </c>
      <c r="L3619" s="1">
        <v>91</v>
      </c>
      <c r="M3619" s="1">
        <v>2367813</v>
      </c>
      <c r="O3619" s="1">
        <v>97</v>
      </c>
      <c r="P3619" s="1">
        <f t="shared" si="168"/>
        <v>0</v>
      </c>
      <c r="Q3619" s="1">
        <f t="shared" si="169"/>
        <v>0</v>
      </c>
      <c r="R3619" s="1" t="e">
        <f t="shared" si="170"/>
        <v>#DIV/0!</v>
      </c>
    </row>
    <row r="3620" spans="1:18" hidden="1">
      <c r="A3620" s="1">
        <v>6</v>
      </c>
      <c r="B3620" s="1" t="str">
        <f>"موجودي ملزومات اداري"</f>
        <v>موجودي ملزومات اداري</v>
      </c>
      <c r="C3620" s="1">
        <v>110</v>
      </c>
      <c r="D3620" s="1" t="str">
        <f>"ملزومات اداري اصفهان"</f>
        <v>ملزومات اداري اصفهان</v>
      </c>
      <c r="E3620" s="1" t="str">
        <f>"0000017372"</f>
        <v>0000017372</v>
      </c>
      <c r="F3620" s="1" t="str">
        <f>"کيسه زباله"</f>
        <v>کيسه زباله</v>
      </c>
      <c r="G3620" s="1" t="str">
        <f>"كيلوگرم"</f>
        <v>كيلوگرم</v>
      </c>
      <c r="H3620" s="1">
        <v>0</v>
      </c>
      <c r="I3620" s="1">
        <v>0</v>
      </c>
      <c r="J3620" s="1">
        <v>100</v>
      </c>
      <c r="K3620" s="1">
        <v>14500000</v>
      </c>
      <c r="L3620" s="1">
        <v>100</v>
      </c>
      <c r="M3620" s="1">
        <v>14500000</v>
      </c>
      <c r="O3620" s="1">
        <v>97</v>
      </c>
      <c r="P3620" s="1">
        <f t="shared" si="168"/>
        <v>0</v>
      </c>
      <c r="Q3620" s="1">
        <f t="shared" si="169"/>
        <v>0</v>
      </c>
      <c r="R3620" s="1" t="e">
        <f t="shared" si="170"/>
        <v>#DIV/0!</v>
      </c>
    </row>
    <row r="3621" spans="1:18">
      <c r="A3621" s="1">
        <v>6</v>
      </c>
      <c r="B3621" s="1" t="str">
        <f>"موجودي ملزومات اداري"</f>
        <v>موجودي ملزومات اداري</v>
      </c>
      <c r="C3621" s="1">
        <v>110</v>
      </c>
      <c r="D3621" s="1" t="str">
        <f>"ملزومات اداري اصفهان"</f>
        <v>ملزومات اداري اصفهان</v>
      </c>
      <c r="E3621" s="1" t="str">
        <f>"0000017822"</f>
        <v>0000017822</v>
      </c>
      <c r="F3621" s="1" t="str">
        <f>"باطري نيم قلمي"</f>
        <v>باطري نيم قلمي</v>
      </c>
      <c r="G3621" s="1" t="str">
        <f>"عدد"</f>
        <v>عدد</v>
      </c>
      <c r="H3621" s="1">
        <v>52</v>
      </c>
      <c r="I3621" s="1">
        <v>400290</v>
      </c>
      <c r="J3621" s="1">
        <v>50</v>
      </c>
      <c r="K3621" s="1">
        <v>500000</v>
      </c>
      <c r="L3621" s="1">
        <v>78</v>
      </c>
      <c r="M3621" s="1">
        <v>681851</v>
      </c>
      <c r="O3621" s="1">
        <v>97</v>
      </c>
      <c r="P3621" s="4">
        <f t="shared" si="168"/>
        <v>218439</v>
      </c>
      <c r="Q3621" s="4">
        <f t="shared" si="169"/>
        <v>24</v>
      </c>
      <c r="R3621" s="4">
        <f t="shared" si="170"/>
        <v>9101.625</v>
      </c>
    </row>
    <row r="3622" spans="1:18">
      <c r="A3622" s="1">
        <v>6</v>
      </c>
      <c r="B3622" s="1" t="str">
        <f>"موجودي ملزومات اداري"</f>
        <v>موجودي ملزومات اداري</v>
      </c>
      <c r="C3622" s="1">
        <v>110</v>
      </c>
      <c r="D3622" s="1" t="str">
        <f>"ملزومات اداري اصفهان"</f>
        <v>ملزومات اداري اصفهان</v>
      </c>
      <c r="E3622" s="1" t="str">
        <f>"0000020032"</f>
        <v>0000020032</v>
      </c>
      <c r="F3622" s="1" t="str">
        <f>"دستكش جوشکاري"</f>
        <v>دستكش جوشکاري</v>
      </c>
      <c r="G3622" s="1" t="str">
        <f>"جفت"</f>
        <v>جفت</v>
      </c>
      <c r="H3622" s="1">
        <v>26</v>
      </c>
      <c r="I3622" s="1">
        <v>5075787</v>
      </c>
      <c r="J3622" s="1">
        <v>0</v>
      </c>
      <c r="K3622" s="1">
        <v>0</v>
      </c>
      <c r="L3622" s="1">
        <v>0</v>
      </c>
      <c r="M3622" s="1">
        <v>0</v>
      </c>
      <c r="O3622" s="1">
        <v>97</v>
      </c>
      <c r="P3622" s="4">
        <f t="shared" si="168"/>
        <v>5075787</v>
      </c>
      <c r="Q3622" s="4">
        <f t="shared" si="169"/>
        <v>26</v>
      </c>
      <c r="R3622" s="4">
        <f t="shared" si="170"/>
        <v>195222.57692307694</v>
      </c>
    </row>
    <row r="3623" spans="1:18" hidden="1">
      <c r="A3623" s="1">
        <v>6</v>
      </c>
      <c r="B3623" s="1" t="str">
        <f>"موجودي ملزومات اداري"</f>
        <v>موجودي ملزومات اداري</v>
      </c>
      <c r="C3623" s="1">
        <v>110</v>
      </c>
      <c r="D3623" s="1" t="str">
        <f>"ملزومات اداري اصفهان"</f>
        <v>ملزومات اداري اصفهان</v>
      </c>
      <c r="E3623" s="1" t="str">
        <f>"0000020072"</f>
        <v>0000020072</v>
      </c>
      <c r="F3623" s="1" t="str">
        <f>"شلوار اداري"</f>
        <v>شلوار اداري</v>
      </c>
      <c r="G3623" s="1" t="str">
        <f>"دست"</f>
        <v>دست</v>
      </c>
      <c r="H3623" s="1">
        <v>4</v>
      </c>
      <c r="I3623" s="1">
        <v>3920655</v>
      </c>
      <c r="J3623" s="1">
        <v>42</v>
      </c>
      <c r="K3623" s="1">
        <v>48300000</v>
      </c>
      <c r="L3623" s="1">
        <v>46</v>
      </c>
      <c r="M3623" s="1">
        <v>52220655</v>
      </c>
      <c r="O3623" s="1">
        <v>97</v>
      </c>
      <c r="P3623" s="1">
        <f t="shared" si="168"/>
        <v>0</v>
      </c>
      <c r="Q3623" s="1">
        <f t="shared" si="169"/>
        <v>0</v>
      </c>
      <c r="R3623" s="1" t="e">
        <f t="shared" si="170"/>
        <v>#DIV/0!</v>
      </c>
    </row>
    <row r="3624" spans="1:18" hidden="1">
      <c r="A3624" s="1">
        <v>6</v>
      </c>
      <c r="B3624" s="1" t="str">
        <f>"موجودي ملزومات اداري"</f>
        <v>موجودي ملزومات اداري</v>
      </c>
      <c r="C3624" s="1">
        <v>110</v>
      </c>
      <c r="D3624" s="1" t="str">
        <f>"ملزومات اداري اصفهان"</f>
        <v>ملزومات اداري اصفهان</v>
      </c>
      <c r="E3624" s="1" t="str">
        <f>"0000020242"</f>
        <v>0000020242</v>
      </c>
      <c r="F3624" s="1" t="str">
        <f>"دستکش ظرفشوئي"</f>
        <v>دستکش ظرفشوئي</v>
      </c>
      <c r="G3624" s="1" t="str">
        <f>"عدد"</f>
        <v>عدد</v>
      </c>
      <c r="H3624" s="1">
        <v>32</v>
      </c>
      <c r="I3624" s="1">
        <v>1401212</v>
      </c>
      <c r="J3624" s="1">
        <v>20</v>
      </c>
      <c r="K3624" s="1">
        <v>1360000</v>
      </c>
      <c r="L3624" s="1">
        <v>52</v>
      </c>
      <c r="M3624" s="1">
        <v>2761212</v>
      </c>
      <c r="O3624" s="1">
        <v>97</v>
      </c>
      <c r="P3624" s="1">
        <f t="shared" si="168"/>
        <v>0</v>
      </c>
      <c r="Q3624" s="1">
        <f t="shared" si="169"/>
        <v>0</v>
      </c>
      <c r="R3624" s="1" t="e">
        <f t="shared" si="170"/>
        <v>#DIV/0!</v>
      </c>
    </row>
    <row r="3625" spans="1:18">
      <c r="A3625" s="1">
        <v>6</v>
      </c>
      <c r="B3625" s="1" t="str">
        <f>"موجودي ملزومات اداري"</f>
        <v>موجودي ملزومات اداري</v>
      </c>
      <c r="C3625" s="1">
        <v>110</v>
      </c>
      <c r="D3625" s="1" t="str">
        <f>"ملزومات اداري اصفهان"</f>
        <v>ملزومات اداري اصفهان</v>
      </c>
      <c r="E3625" s="1" t="str">
        <f>"0000020352"</f>
        <v>0000020352</v>
      </c>
      <c r="F3625" s="1" t="str">
        <f>"کمر بند چرمي"</f>
        <v>کمر بند چرمي</v>
      </c>
      <c r="G3625" s="1" t="str">
        <f>"عدد"</f>
        <v>عدد</v>
      </c>
      <c r="H3625" s="1">
        <v>5</v>
      </c>
      <c r="I3625" s="1">
        <v>2036401</v>
      </c>
      <c r="J3625" s="1">
        <v>22</v>
      </c>
      <c r="K3625" s="1">
        <v>12100000</v>
      </c>
      <c r="L3625" s="1">
        <v>25</v>
      </c>
      <c r="M3625" s="1">
        <v>13089260</v>
      </c>
      <c r="O3625" s="1">
        <v>97</v>
      </c>
      <c r="P3625" s="4">
        <f t="shared" si="168"/>
        <v>1047141</v>
      </c>
      <c r="Q3625" s="4">
        <f t="shared" si="169"/>
        <v>2</v>
      </c>
      <c r="R3625" s="4">
        <f t="shared" si="170"/>
        <v>523570.5</v>
      </c>
    </row>
    <row r="3626" spans="1:18" hidden="1">
      <c r="A3626" s="1">
        <v>6</v>
      </c>
      <c r="B3626" s="1" t="str">
        <f>"موجودي ملزومات اداري"</f>
        <v>موجودي ملزومات اداري</v>
      </c>
      <c r="C3626" s="1">
        <v>110</v>
      </c>
      <c r="D3626" s="1" t="str">
        <f>"ملزومات اداري اصفهان"</f>
        <v>ملزومات اداري اصفهان</v>
      </c>
      <c r="E3626" s="1" t="str">
        <f>"0000030192"</f>
        <v>0000030192</v>
      </c>
      <c r="F3626" s="1" t="str">
        <f>"قوري چيني"</f>
        <v>قوري چيني</v>
      </c>
      <c r="G3626" s="1" t="str">
        <f>"عدد"</f>
        <v>عدد</v>
      </c>
      <c r="H3626" s="1">
        <v>0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O3626" s="1">
        <v>97</v>
      </c>
      <c r="P3626" s="1">
        <f t="shared" si="168"/>
        <v>0</v>
      </c>
      <c r="Q3626" s="1">
        <f t="shared" si="169"/>
        <v>0</v>
      </c>
      <c r="R3626" s="1" t="e">
        <f t="shared" si="170"/>
        <v>#DIV/0!</v>
      </c>
    </row>
    <row r="3627" spans="1:18" hidden="1">
      <c r="A3627" s="1">
        <v>6</v>
      </c>
      <c r="B3627" s="1" t="str">
        <f>"موجودي ملزومات اداري"</f>
        <v>موجودي ملزومات اداري</v>
      </c>
      <c r="C3627" s="1">
        <v>110</v>
      </c>
      <c r="D3627" s="1" t="str">
        <f>"ملزومات اداري اصفهان"</f>
        <v>ملزومات اداري اصفهان</v>
      </c>
      <c r="E3627" s="1" t="str">
        <f>"0000059962"</f>
        <v>0000059962</v>
      </c>
      <c r="F3627" s="1" t="str">
        <f>"آينه"</f>
        <v>آينه</v>
      </c>
      <c r="G3627" s="1" t="str">
        <f>"عدد"</f>
        <v>عدد</v>
      </c>
      <c r="H3627" s="1">
        <v>0</v>
      </c>
      <c r="I3627" s="1">
        <v>0</v>
      </c>
      <c r="J3627" s="1">
        <v>4</v>
      </c>
      <c r="K3627" s="1">
        <v>2000000</v>
      </c>
      <c r="L3627" s="1">
        <v>4</v>
      </c>
      <c r="M3627" s="1">
        <v>2000000</v>
      </c>
      <c r="O3627" s="1">
        <v>97</v>
      </c>
      <c r="P3627" s="1">
        <f t="shared" si="168"/>
        <v>0</v>
      </c>
      <c r="Q3627" s="1">
        <f t="shared" si="169"/>
        <v>0</v>
      </c>
      <c r="R3627" s="1" t="e">
        <f t="shared" si="170"/>
        <v>#DIV/0!</v>
      </c>
    </row>
    <row r="3628" spans="1:18" hidden="1">
      <c r="A3628" s="1">
        <v>6</v>
      </c>
      <c r="B3628" s="1" t="str">
        <f>"موجودي ملزومات اداري"</f>
        <v>موجودي ملزومات اداري</v>
      </c>
      <c r="C3628" s="1">
        <v>110</v>
      </c>
      <c r="D3628" s="1" t="str">
        <f>"ملزومات اداري اصفهان"</f>
        <v>ملزومات اداري اصفهان</v>
      </c>
      <c r="E3628" s="1" t="str">
        <f>"1101015272"</f>
        <v>1101015272</v>
      </c>
      <c r="F3628" s="1" t="str">
        <f>"دم باريک"</f>
        <v>دم باريک</v>
      </c>
      <c r="G3628" s="1" t="str">
        <f>"عدد"</f>
        <v>عدد</v>
      </c>
      <c r="H3628" s="1">
        <v>0</v>
      </c>
      <c r="I3628" s="1">
        <v>0</v>
      </c>
      <c r="J3628" s="1">
        <v>1</v>
      </c>
      <c r="K3628" s="1">
        <v>400000</v>
      </c>
      <c r="L3628" s="1">
        <v>1</v>
      </c>
      <c r="M3628" s="1">
        <v>400000</v>
      </c>
      <c r="O3628" s="1">
        <v>97</v>
      </c>
      <c r="P3628" s="1">
        <f t="shared" si="168"/>
        <v>0</v>
      </c>
      <c r="Q3628" s="1">
        <f t="shared" si="169"/>
        <v>0</v>
      </c>
      <c r="R3628" s="1" t="e">
        <f t="shared" si="170"/>
        <v>#DIV/0!</v>
      </c>
    </row>
    <row r="3629" spans="1:18">
      <c r="A3629" s="1">
        <v>6</v>
      </c>
      <c r="B3629" s="1" t="str">
        <f>"موجودي ملزومات اداري"</f>
        <v>موجودي ملزومات اداري</v>
      </c>
      <c r="C3629" s="1">
        <v>110</v>
      </c>
      <c r="D3629" s="1" t="str">
        <f>"ملزومات اداري اصفهان"</f>
        <v>ملزومات اداري اصفهان</v>
      </c>
      <c r="E3629" s="1" t="str">
        <f>"1501020072"</f>
        <v>1501020072</v>
      </c>
      <c r="F3629" s="1" t="str">
        <f>"چراغ قوه LED (هد لايت)"</f>
        <v>چراغ قوه LED (هد لايت)</v>
      </c>
      <c r="G3629" s="1" t="str">
        <f>"عدد"</f>
        <v>عدد</v>
      </c>
      <c r="H3629" s="1">
        <v>10</v>
      </c>
      <c r="I3629" s="1">
        <v>1061818</v>
      </c>
      <c r="J3629" s="1">
        <v>20</v>
      </c>
      <c r="K3629" s="1">
        <v>7300000</v>
      </c>
      <c r="L3629" s="1">
        <v>8</v>
      </c>
      <c r="M3629" s="1">
        <v>1645819</v>
      </c>
      <c r="O3629" s="1">
        <v>97</v>
      </c>
      <c r="P3629" s="4">
        <f t="shared" si="168"/>
        <v>6715999</v>
      </c>
      <c r="Q3629" s="4">
        <f t="shared" si="169"/>
        <v>22</v>
      </c>
      <c r="R3629" s="4">
        <f t="shared" si="170"/>
        <v>305272.68181818182</v>
      </c>
    </row>
    <row r="3630" spans="1:18" hidden="1">
      <c r="A3630" s="1">
        <v>6</v>
      </c>
      <c r="B3630" s="1" t="str">
        <f>"موجودي ملزومات اداري"</f>
        <v>موجودي ملزومات اداري</v>
      </c>
      <c r="C3630" s="1">
        <v>110</v>
      </c>
      <c r="D3630" s="1" t="str">
        <f>"ملزومات اداري اصفهان"</f>
        <v>ملزومات اداري اصفهان</v>
      </c>
      <c r="E3630" s="1" t="str">
        <f>"1501020172"</f>
        <v>1501020172</v>
      </c>
      <c r="F3630" s="1" t="str">
        <f>"سطل باد بزني"</f>
        <v>سطل باد بزني</v>
      </c>
      <c r="G3630" s="1" t="str">
        <f>"عدد"</f>
        <v>عدد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O3630" s="1">
        <v>97</v>
      </c>
      <c r="P3630" s="1">
        <f t="shared" si="168"/>
        <v>0</v>
      </c>
      <c r="Q3630" s="1">
        <f t="shared" si="169"/>
        <v>0</v>
      </c>
      <c r="R3630" s="1" t="e">
        <f t="shared" si="170"/>
        <v>#DIV/0!</v>
      </c>
    </row>
    <row r="3631" spans="1:18" hidden="1">
      <c r="A3631" s="1">
        <v>6</v>
      </c>
      <c r="B3631" s="1" t="str">
        <f>"موجودي ملزومات اداري"</f>
        <v>موجودي ملزومات اداري</v>
      </c>
      <c r="C3631" s="1">
        <v>110</v>
      </c>
      <c r="D3631" s="1" t="str">
        <f>"ملزومات اداري اصفهان"</f>
        <v>ملزومات اداري اصفهان</v>
      </c>
      <c r="E3631" s="1" t="str">
        <f>"1501020502"</f>
        <v>1501020502</v>
      </c>
      <c r="F3631" s="1" t="str">
        <f>"برگه باسکول 4 رنگ تحرير 100 گرم"</f>
        <v>برگه باسکول 4 رنگ تحرير 100 گرم</v>
      </c>
      <c r="G3631" s="1" t="str">
        <f>"برگ"</f>
        <v>برگ</v>
      </c>
      <c r="H3631" s="1">
        <v>0</v>
      </c>
      <c r="I3631" s="1">
        <v>0</v>
      </c>
      <c r="J3631" s="1">
        <v>500000</v>
      </c>
      <c r="K3631" s="1">
        <v>140000000</v>
      </c>
      <c r="L3631" s="1">
        <v>500000</v>
      </c>
      <c r="M3631" s="1">
        <v>140000000</v>
      </c>
      <c r="O3631" s="1">
        <v>97</v>
      </c>
      <c r="P3631" s="1">
        <f t="shared" si="168"/>
        <v>0</v>
      </c>
      <c r="Q3631" s="1">
        <f t="shared" si="169"/>
        <v>0</v>
      </c>
      <c r="R3631" s="1" t="e">
        <f t="shared" si="170"/>
        <v>#DIV/0!</v>
      </c>
    </row>
    <row r="3632" spans="1:18" hidden="1">
      <c r="A3632" s="1">
        <v>6</v>
      </c>
      <c r="B3632" s="1" t="str">
        <f>"موجودي ملزومات اداري"</f>
        <v>موجودي ملزومات اداري</v>
      </c>
      <c r="C3632" s="1">
        <v>110</v>
      </c>
      <c r="D3632" s="1" t="str">
        <f>"ملزومات اداري اصفهان"</f>
        <v>ملزومات اداري اصفهان</v>
      </c>
      <c r="E3632" s="1" t="str">
        <f>"1501020612"</f>
        <v>1501020612</v>
      </c>
      <c r="F3632" s="1" t="str">
        <f>"دفتر گزارش  روزانه بارگيري قير و مخازن"</f>
        <v>دفتر گزارش  روزانه بارگيري قير و مخازن</v>
      </c>
      <c r="G3632" s="1" t="str">
        <f>"جلد"</f>
        <v>جلد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O3632" s="1">
        <v>97</v>
      </c>
      <c r="P3632" s="1">
        <f t="shared" si="168"/>
        <v>0</v>
      </c>
      <c r="Q3632" s="1">
        <f t="shared" si="169"/>
        <v>0</v>
      </c>
      <c r="R3632" s="1" t="e">
        <f t="shared" si="170"/>
        <v>#DIV/0!</v>
      </c>
    </row>
    <row r="3633" spans="1:18">
      <c r="A3633" s="1">
        <v>6</v>
      </c>
      <c r="B3633" s="1" t="str">
        <f>"موجودي ملزومات اداري"</f>
        <v>موجودي ملزومات اداري</v>
      </c>
      <c r="C3633" s="1">
        <v>110</v>
      </c>
      <c r="D3633" s="1" t="str">
        <f>"ملزومات اداري اصفهان"</f>
        <v>ملزومات اداري اصفهان</v>
      </c>
      <c r="E3633" s="1" t="str">
        <f>"1501020862"</f>
        <v>1501020862</v>
      </c>
      <c r="F3633" s="1" t="str">
        <f>"چسب 3 2 1"</f>
        <v>چسب 3 2 1</v>
      </c>
      <c r="G3633" s="1" t="str">
        <f>"عدد"</f>
        <v>عدد</v>
      </c>
      <c r="H3633" s="1">
        <v>2</v>
      </c>
      <c r="I3633" s="1">
        <v>220000</v>
      </c>
      <c r="J3633" s="1">
        <v>5</v>
      </c>
      <c r="K3633" s="1">
        <v>1000000</v>
      </c>
      <c r="L3633" s="1">
        <v>3</v>
      </c>
      <c r="M3633" s="1">
        <v>420000</v>
      </c>
      <c r="O3633" s="1">
        <v>97</v>
      </c>
      <c r="P3633" s="4">
        <f t="shared" si="168"/>
        <v>800000</v>
      </c>
      <c r="Q3633" s="4">
        <f t="shared" si="169"/>
        <v>4</v>
      </c>
      <c r="R3633" s="4">
        <f t="shared" si="170"/>
        <v>200000</v>
      </c>
    </row>
    <row r="3634" spans="1:18" hidden="1">
      <c r="A3634" s="1">
        <v>6</v>
      </c>
      <c r="B3634" s="1" t="str">
        <f>"موجودي ملزومات اداري"</f>
        <v>موجودي ملزومات اداري</v>
      </c>
      <c r="C3634" s="1">
        <v>110</v>
      </c>
      <c r="D3634" s="1" t="str">
        <f>"ملزومات اداري اصفهان"</f>
        <v>ملزومات اداري اصفهان</v>
      </c>
      <c r="E3634" s="1" t="str">
        <f>"1501021272"</f>
        <v>1501021272</v>
      </c>
      <c r="F3634" s="1" t="str">
        <f>"دستکش نخي مخصوص آبدارخانه"</f>
        <v>دستکش نخي مخصوص آبدارخانه</v>
      </c>
      <c r="G3634" s="1" t="str">
        <f>"جفت"</f>
        <v>جفت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O3634" s="1">
        <v>97</v>
      </c>
      <c r="P3634" s="1">
        <f t="shared" si="168"/>
        <v>0</v>
      </c>
      <c r="Q3634" s="1">
        <f t="shared" si="169"/>
        <v>0</v>
      </c>
      <c r="R3634" s="1" t="e">
        <f t="shared" si="170"/>
        <v>#DIV/0!</v>
      </c>
    </row>
    <row r="3635" spans="1:18" hidden="1">
      <c r="A3635" s="1">
        <v>6</v>
      </c>
      <c r="B3635" s="1" t="str">
        <f>"موجودي ملزومات اداري"</f>
        <v>موجودي ملزومات اداري</v>
      </c>
      <c r="C3635" s="1">
        <v>110</v>
      </c>
      <c r="D3635" s="1" t="str">
        <f>"ملزومات اداري اصفهان"</f>
        <v>ملزومات اداري اصفهان</v>
      </c>
      <c r="E3635" s="1" t="str">
        <f>"1501021322"</f>
        <v>1501021322</v>
      </c>
      <c r="F3635" s="1" t="str">
        <f>"پلاستيک زباله 150*100"</f>
        <v>پلاستيک زباله 150*100</v>
      </c>
      <c r="G3635" s="1" t="str">
        <f>"كيلوگرم"</f>
        <v>كيلوگرم</v>
      </c>
      <c r="H3635" s="1">
        <v>0</v>
      </c>
      <c r="I3635" s="1">
        <v>0</v>
      </c>
      <c r="J3635" s="1">
        <v>70</v>
      </c>
      <c r="K3635" s="1">
        <v>3360000</v>
      </c>
      <c r="L3635" s="1">
        <v>70</v>
      </c>
      <c r="M3635" s="1">
        <v>3360000</v>
      </c>
      <c r="O3635" s="1">
        <v>97</v>
      </c>
      <c r="P3635" s="1">
        <f t="shared" si="168"/>
        <v>0</v>
      </c>
      <c r="Q3635" s="1">
        <f t="shared" si="169"/>
        <v>0</v>
      </c>
      <c r="R3635" s="1" t="e">
        <f t="shared" si="170"/>
        <v>#DIV/0!</v>
      </c>
    </row>
    <row r="3636" spans="1:18" hidden="1">
      <c r="A3636" s="1">
        <v>6</v>
      </c>
      <c r="B3636" s="1" t="str">
        <f>"موجودي ملزومات اداري"</f>
        <v>موجودي ملزومات اداري</v>
      </c>
      <c r="C3636" s="1">
        <v>110</v>
      </c>
      <c r="D3636" s="1" t="str">
        <f>"ملزومات اداري اصفهان"</f>
        <v>ملزومات اداري اصفهان</v>
      </c>
      <c r="E3636" s="1" t="str">
        <f>"1502030072"</f>
        <v>1502030072</v>
      </c>
      <c r="F3636" s="1" t="str">
        <f>"پيچ گوشتي چهار سو"</f>
        <v>پيچ گوشتي چهار سو</v>
      </c>
      <c r="G3636" s="1" t="str">
        <f>"عدد"</f>
        <v>عدد</v>
      </c>
      <c r="H3636" s="1">
        <v>0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O3636" s="1">
        <v>97</v>
      </c>
      <c r="P3636" s="1">
        <f t="shared" si="168"/>
        <v>0</v>
      </c>
      <c r="Q3636" s="1">
        <f t="shared" si="169"/>
        <v>0</v>
      </c>
      <c r="R3636" s="1" t="e">
        <f t="shared" si="170"/>
        <v>#DIV/0!</v>
      </c>
    </row>
    <row r="3637" spans="1:18" hidden="1">
      <c r="A3637" s="1">
        <v>6</v>
      </c>
      <c r="B3637" s="1" t="str">
        <f>"موجودي ملزومات اداري"</f>
        <v>موجودي ملزومات اداري</v>
      </c>
      <c r="C3637" s="1">
        <v>110</v>
      </c>
      <c r="D3637" s="1" t="str">
        <f>"ملزومات اداري اصفهان"</f>
        <v>ملزومات اداري اصفهان</v>
      </c>
      <c r="E3637" s="1" t="str">
        <f>"1502030202"</f>
        <v>1502030202</v>
      </c>
      <c r="F3637" s="1" t="str">
        <f>"انبر جوش"</f>
        <v>انبر جوش</v>
      </c>
      <c r="G3637" s="1" t="str">
        <f>"عدد"</f>
        <v>عدد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O3637" s="1">
        <v>97</v>
      </c>
      <c r="P3637" s="1">
        <f t="shared" si="168"/>
        <v>0</v>
      </c>
      <c r="Q3637" s="1">
        <f t="shared" si="169"/>
        <v>0</v>
      </c>
      <c r="R3637" s="1" t="e">
        <f t="shared" si="170"/>
        <v>#DIV/0!</v>
      </c>
    </row>
    <row r="3638" spans="1:18" hidden="1">
      <c r="A3638" s="1">
        <v>6</v>
      </c>
      <c r="B3638" s="1" t="str">
        <f>"موجودي ملزومات اداري"</f>
        <v>موجودي ملزومات اداري</v>
      </c>
      <c r="C3638" s="1">
        <v>110</v>
      </c>
      <c r="D3638" s="1" t="str">
        <f>"ملزومات اداري اصفهان"</f>
        <v>ملزومات اداري اصفهان</v>
      </c>
      <c r="E3638" s="1" t="str">
        <f>"1502030272"</f>
        <v>1502030272</v>
      </c>
      <c r="F3638" s="1" t="str">
        <f>"تينر"</f>
        <v>تينر</v>
      </c>
      <c r="G3638" s="1" t="str">
        <f>"عدد"</f>
        <v>عدد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O3638" s="1">
        <v>97</v>
      </c>
      <c r="P3638" s="1">
        <f t="shared" si="168"/>
        <v>0</v>
      </c>
      <c r="Q3638" s="1">
        <f t="shared" si="169"/>
        <v>0</v>
      </c>
      <c r="R3638" s="1" t="e">
        <f t="shared" si="170"/>
        <v>#DIV/0!</v>
      </c>
    </row>
    <row r="3639" spans="1:18" hidden="1">
      <c r="A3639" s="1">
        <v>6</v>
      </c>
      <c r="B3639" s="1" t="str">
        <f>"موجودي ملزومات اداري"</f>
        <v>موجودي ملزومات اداري</v>
      </c>
      <c r="C3639" s="1">
        <v>110</v>
      </c>
      <c r="D3639" s="1" t="str">
        <f>"ملزومات اداري اصفهان"</f>
        <v>ملزومات اداري اصفهان</v>
      </c>
      <c r="E3639" s="1" t="str">
        <f>"1502030302"</f>
        <v>1502030302</v>
      </c>
      <c r="F3639" s="1" t="str">
        <f>"المنت هيتر"</f>
        <v>المنت هيتر</v>
      </c>
      <c r="G3639" s="1" t="str">
        <f>"عدد"</f>
        <v>عدد</v>
      </c>
      <c r="H3639" s="1">
        <v>0</v>
      </c>
      <c r="I3639" s="1">
        <v>0</v>
      </c>
      <c r="J3639" s="1">
        <v>4</v>
      </c>
      <c r="K3639" s="1">
        <v>480000</v>
      </c>
      <c r="L3639" s="1">
        <v>4</v>
      </c>
      <c r="M3639" s="1">
        <v>480000</v>
      </c>
      <c r="O3639" s="1">
        <v>97</v>
      </c>
      <c r="P3639" s="1">
        <f t="shared" si="168"/>
        <v>0</v>
      </c>
      <c r="Q3639" s="1">
        <f t="shared" si="169"/>
        <v>0</v>
      </c>
      <c r="R3639" s="1" t="e">
        <f t="shared" si="170"/>
        <v>#DIV/0!</v>
      </c>
    </row>
    <row r="3640" spans="1:18">
      <c r="A3640" s="1">
        <v>6</v>
      </c>
      <c r="B3640" s="1" t="str">
        <f>"موجودي ملزومات اداري"</f>
        <v>موجودي ملزومات اداري</v>
      </c>
      <c r="C3640" s="1">
        <v>110</v>
      </c>
      <c r="D3640" s="1" t="str">
        <f>"ملزومات اداري اصفهان"</f>
        <v>ملزومات اداري اصفهان</v>
      </c>
      <c r="E3640" s="1" t="str">
        <f>"1502030432"</f>
        <v>1502030432</v>
      </c>
      <c r="F3640" s="1" t="str">
        <f>"چکمه عايق برق 20کيلو وات"</f>
        <v>چکمه عايق برق 20کيلو وات</v>
      </c>
      <c r="G3640" s="1" t="str">
        <f>"جفت"</f>
        <v>جفت</v>
      </c>
      <c r="H3640" s="1">
        <v>2</v>
      </c>
      <c r="I3640" s="1">
        <v>8000000</v>
      </c>
      <c r="J3640" s="1">
        <v>0</v>
      </c>
      <c r="K3640" s="1">
        <v>0</v>
      </c>
      <c r="L3640" s="1">
        <v>0</v>
      </c>
      <c r="M3640" s="1">
        <v>0</v>
      </c>
      <c r="O3640" s="1">
        <v>97</v>
      </c>
      <c r="P3640" s="4">
        <f t="shared" si="168"/>
        <v>8000000</v>
      </c>
      <c r="Q3640" s="4">
        <f t="shared" si="169"/>
        <v>2</v>
      </c>
      <c r="R3640" s="4">
        <f t="shared" si="170"/>
        <v>4000000</v>
      </c>
    </row>
    <row r="3641" spans="1:18" hidden="1">
      <c r="A3641" s="1">
        <v>6</v>
      </c>
      <c r="B3641" s="1" t="str">
        <f>"موجودي ملزومات اداري"</f>
        <v>موجودي ملزومات اداري</v>
      </c>
      <c r="C3641" s="1">
        <v>110</v>
      </c>
      <c r="D3641" s="1" t="str">
        <f>"ملزومات اداري اصفهان"</f>
        <v>ملزومات اداري اصفهان</v>
      </c>
      <c r="E3641" s="1" t="str">
        <f>"1502030632"</f>
        <v>1502030632</v>
      </c>
      <c r="F3641" s="1" t="str">
        <f>"تيغه و پنجره چرخ 42"</f>
        <v>تيغه و پنجره چرخ 42</v>
      </c>
      <c r="G3641" s="1" t="str">
        <f>"جفت"</f>
        <v>جفت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O3641" s="1">
        <v>97</v>
      </c>
      <c r="P3641" s="1">
        <f t="shared" si="168"/>
        <v>0</v>
      </c>
      <c r="Q3641" s="1">
        <f t="shared" si="169"/>
        <v>0</v>
      </c>
      <c r="R3641" s="1" t="e">
        <f t="shared" si="170"/>
        <v>#DIV/0!</v>
      </c>
    </row>
    <row r="3642" spans="1:18" hidden="1">
      <c r="A3642" s="1">
        <v>6</v>
      </c>
      <c r="B3642" s="1" t="str">
        <f>"موجودي ملزومات اداري"</f>
        <v>موجودي ملزومات اداري</v>
      </c>
      <c r="C3642" s="1">
        <v>110</v>
      </c>
      <c r="D3642" s="1" t="str">
        <f>"ملزومات اداري اصفهان"</f>
        <v>ملزومات اداري اصفهان</v>
      </c>
      <c r="E3642" s="1" t="str">
        <f>"1502030672"</f>
        <v>1502030672</v>
      </c>
      <c r="F3642" s="1" t="str">
        <f>"ترموستات سماور برقي"</f>
        <v>ترموستات سماور برقي</v>
      </c>
      <c r="G3642" s="1" t="str">
        <f>"عدد"</f>
        <v>عدد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O3642" s="1">
        <v>97</v>
      </c>
      <c r="P3642" s="1">
        <f t="shared" si="168"/>
        <v>0</v>
      </c>
      <c r="Q3642" s="1">
        <f t="shared" si="169"/>
        <v>0</v>
      </c>
      <c r="R3642" s="1" t="e">
        <f t="shared" si="170"/>
        <v>#DIV/0!</v>
      </c>
    </row>
    <row r="3643" spans="1:18" hidden="1">
      <c r="A3643" s="1">
        <v>6</v>
      </c>
      <c r="B3643" s="1" t="str">
        <f>"موجودي ملزومات اداري"</f>
        <v>موجودي ملزومات اداري</v>
      </c>
      <c r="C3643" s="1">
        <v>110</v>
      </c>
      <c r="D3643" s="1" t="str">
        <f>"ملزومات اداري اصفهان"</f>
        <v>ملزومات اداري اصفهان</v>
      </c>
      <c r="E3643" s="1" t="str">
        <f>"1502030792"</f>
        <v>1502030792</v>
      </c>
      <c r="F3643" s="1" t="str">
        <f>"سطل زباله پلاستيکي"</f>
        <v>سطل زباله پلاستيکي</v>
      </c>
      <c r="G3643" s="1" t="str">
        <f>"عدد"</f>
        <v>عدد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O3643" s="1">
        <v>97</v>
      </c>
      <c r="P3643" s="1">
        <f t="shared" si="168"/>
        <v>0</v>
      </c>
      <c r="Q3643" s="1">
        <f t="shared" si="169"/>
        <v>0</v>
      </c>
      <c r="R3643" s="1" t="e">
        <f t="shared" si="170"/>
        <v>#DIV/0!</v>
      </c>
    </row>
    <row r="3644" spans="1:18">
      <c r="A3644" s="1">
        <v>6</v>
      </c>
      <c r="B3644" s="1" t="str">
        <f>"موجودي ملزومات اداري"</f>
        <v>موجودي ملزومات اداري</v>
      </c>
      <c r="C3644" s="1">
        <v>110</v>
      </c>
      <c r="D3644" s="1" t="str">
        <f>"ملزومات اداري اصفهان"</f>
        <v>ملزومات اداري اصفهان</v>
      </c>
      <c r="E3644" s="1" t="str">
        <f>"1502030902"</f>
        <v>1502030902</v>
      </c>
      <c r="F3644" s="1" t="str">
        <f>"جک درب"</f>
        <v>جک درب</v>
      </c>
      <c r="G3644" s="1" t="str">
        <f>"دستگاه"</f>
        <v>دستگاه</v>
      </c>
      <c r="H3644" s="1">
        <v>0</v>
      </c>
      <c r="I3644" s="1">
        <v>0</v>
      </c>
      <c r="J3644" s="1">
        <v>2</v>
      </c>
      <c r="K3644" s="1">
        <v>3300000</v>
      </c>
      <c r="L3644" s="1">
        <v>0</v>
      </c>
      <c r="M3644" s="1">
        <v>0</v>
      </c>
      <c r="O3644" s="1">
        <v>97</v>
      </c>
      <c r="P3644" s="4">
        <f t="shared" si="168"/>
        <v>3300000</v>
      </c>
      <c r="Q3644" s="4">
        <f t="shared" si="169"/>
        <v>2</v>
      </c>
      <c r="R3644" s="4">
        <f t="shared" si="170"/>
        <v>1650000</v>
      </c>
    </row>
    <row r="3645" spans="1:18" hidden="1">
      <c r="A3645" s="1">
        <v>6</v>
      </c>
      <c r="B3645" s="1" t="str">
        <f>"موجودي ملزومات اداري"</f>
        <v>موجودي ملزومات اداري</v>
      </c>
      <c r="C3645" s="1">
        <v>110</v>
      </c>
      <c r="D3645" s="1" t="str">
        <f>"ملزومات اداري اصفهان"</f>
        <v>ملزومات اداري اصفهان</v>
      </c>
      <c r="E3645" s="1" t="str">
        <f>"1502031072"</f>
        <v>1502031072</v>
      </c>
      <c r="F3645" s="1" t="s">
        <v>200</v>
      </c>
      <c r="G3645" s="1" t="str">
        <f>"عدد"</f>
        <v>عدد</v>
      </c>
      <c r="H3645" s="1">
        <v>0</v>
      </c>
      <c r="I3645" s="1">
        <v>0</v>
      </c>
      <c r="J3645" s="1">
        <v>2</v>
      </c>
      <c r="K3645" s="1">
        <v>440000</v>
      </c>
      <c r="L3645" s="1">
        <v>2</v>
      </c>
      <c r="M3645" s="1">
        <v>440000</v>
      </c>
      <c r="O3645" s="1">
        <v>97</v>
      </c>
      <c r="P3645" s="1">
        <f t="shared" si="168"/>
        <v>0</v>
      </c>
      <c r="Q3645" s="1">
        <f t="shared" si="169"/>
        <v>0</v>
      </c>
      <c r="R3645" s="1" t="e">
        <f t="shared" si="170"/>
        <v>#DIV/0!</v>
      </c>
    </row>
    <row r="3646" spans="1:18" hidden="1">
      <c r="A3646" s="1">
        <v>6</v>
      </c>
      <c r="B3646" s="1" t="str">
        <f>"موجودي ملزومات اداري"</f>
        <v>موجودي ملزومات اداري</v>
      </c>
      <c r="C3646" s="1">
        <v>110</v>
      </c>
      <c r="D3646" s="1" t="str">
        <f>"ملزومات اداري اصفهان"</f>
        <v>ملزومات اداري اصفهان</v>
      </c>
      <c r="E3646" s="1" t="str">
        <f>"1502031092"</f>
        <v>1502031092</v>
      </c>
      <c r="F3646" s="1" t="str">
        <f>"باطري سکه اي (ساعتي)"</f>
        <v>باطري سکه اي (ساعتي)</v>
      </c>
      <c r="G3646" s="1" t="str">
        <f>"عدد"</f>
        <v>عدد</v>
      </c>
      <c r="H3646" s="1">
        <v>0</v>
      </c>
      <c r="I3646" s="1">
        <v>0</v>
      </c>
      <c r="J3646" s="1">
        <v>30</v>
      </c>
      <c r="K3646" s="1">
        <v>1100000</v>
      </c>
      <c r="L3646" s="1">
        <v>30</v>
      </c>
      <c r="M3646" s="1">
        <v>1100000</v>
      </c>
      <c r="O3646" s="1">
        <v>97</v>
      </c>
      <c r="P3646" s="1">
        <f t="shared" si="168"/>
        <v>0</v>
      </c>
      <c r="Q3646" s="1">
        <f t="shared" si="169"/>
        <v>0</v>
      </c>
      <c r="R3646" s="1" t="e">
        <f t="shared" si="170"/>
        <v>#DIV/0!</v>
      </c>
    </row>
    <row r="3647" spans="1:18" hidden="1">
      <c r="A3647" s="1">
        <v>6</v>
      </c>
      <c r="B3647" s="1" t="str">
        <f>"موجودي ملزومات اداري"</f>
        <v>موجودي ملزومات اداري</v>
      </c>
      <c r="C3647" s="1">
        <v>110</v>
      </c>
      <c r="D3647" s="1" t="str">
        <f>"ملزومات اداري اصفهان"</f>
        <v>ملزومات اداري اصفهان</v>
      </c>
      <c r="E3647" s="1" t="str">
        <f>"1502031162"</f>
        <v>1502031162</v>
      </c>
      <c r="F3647" s="1" t="str">
        <f>"شير يکطرفه 1/2"</f>
        <v>شير يکطرفه 1/2</v>
      </c>
      <c r="G3647" s="1" t="str">
        <f>"عدد"</f>
        <v>عدد</v>
      </c>
      <c r="H3647" s="1">
        <v>0</v>
      </c>
      <c r="I3647" s="1">
        <v>0</v>
      </c>
      <c r="J3647" s="1">
        <v>1</v>
      </c>
      <c r="K3647" s="1">
        <v>250000</v>
      </c>
      <c r="L3647" s="1">
        <v>1</v>
      </c>
      <c r="M3647" s="1">
        <v>250000</v>
      </c>
      <c r="O3647" s="1">
        <v>97</v>
      </c>
      <c r="P3647" s="1">
        <f t="shared" si="168"/>
        <v>0</v>
      </c>
      <c r="Q3647" s="1">
        <f t="shared" si="169"/>
        <v>0</v>
      </c>
      <c r="R3647" s="1" t="e">
        <f t="shared" si="170"/>
        <v>#DIV/0!</v>
      </c>
    </row>
    <row r="3648" spans="1:18" hidden="1">
      <c r="A3648" s="1">
        <v>6</v>
      </c>
      <c r="B3648" s="1" t="str">
        <f>"موجودي ملزومات اداري"</f>
        <v>موجودي ملزومات اداري</v>
      </c>
      <c r="C3648" s="1">
        <v>110</v>
      </c>
      <c r="D3648" s="1" t="str">
        <f>"ملزومات اداري اصفهان"</f>
        <v>ملزومات اداري اصفهان</v>
      </c>
      <c r="E3648" s="1" t="str">
        <f>"1502031222"</f>
        <v>1502031222</v>
      </c>
      <c r="F3648" s="1" t="str">
        <f>"سوپاپ اطمينان"</f>
        <v>سوپاپ اطمينان</v>
      </c>
      <c r="G3648" s="1" t="str">
        <f>"عدد"</f>
        <v>عدد</v>
      </c>
      <c r="H3648" s="1">
        <v>0</v>
      </c>
      <c r="I3648" s="1">
        <v>0</v>
      </c>
      <c r="J3648" s="1">
        <v>1</v>
      </c>
      <c r="K3648" s="1">
        <v>600000</v>
      </c>
      <c r="L3648" s="1">
        <v>1</v>
      </c>
      <c r="M3648" s="1">
        <v>600000</v>
      </c>
      <c r="O3648" s="1">
        <v>97</v>
      </c>
      <c r="P3648" s="1">
        <f t="shared" si="168"/>
        <v>0</v>
      </c>
      <c r="Q3648" s="1">
        <f t="shared" si="169"/>
        <v>0</v>
      </c>
      <c r="R3648" s="1" t="e">
        <f t="shared" si="170"/>
        <v>#DIV/0!</v>
      </c>
    </row>
    <row r="3649" spans="1:18" hidden="1">
      <c r="A3649" s="1">
        <v>6</v>
      </c>
      <c r="B3649" s="1" t="str">
        <f>"موجودي ملزومات اداري"</f>
        <v>موجودي ملزومات اداري</v>
      </c>
      <c r="C3649" s="1">
        <v>110</v>
      </c>
      <c r="D3649" s="1" t="str">
        <f>"ملزومات اداري اصفهان"</f>
        <v>ملزومات اداري اصفهان</v>
      </c>
      <c r="E3649" s="1" t="str">
        <f>"1502031252"</f>
        <v>1502031252</v>
      </c>
      <c r="F3649" s="1" t="str">
        <f>"چاقو بزرگ استيل 3"</f>
        <v>چاقو بزرگ استيل 3</v>
      </c>
      <c r="G3649" s="1" t="str">
        <f>"عدد"</f>
        <v>عدد</v>
      </c>
      <c r="H3649" s="1">
        <v>0</v>
      </c>
      <c r="I3649" s="1">
        <v>0</v>
      </c>
      <c r="J3649" s="1">
        <v>4</v>
      </c>
      <c r="K3649" s="1">
        <v>1000000</v>
      </c>
      <c r="L3649" s="1">
        <v>4</v>
      </c>
      <c r="M3649" s="1">
        <v>1000000</v>
      </c>
      <c r="O3649" s="1">
        <v>97</v>
      </c>
      <c r="P3649" s="1">
        <f t="shared" si="168"/>
        <v>0</v>
      </c>
      <c r="Q3649" s="1">
        <f t="shared" si="169"/>
        <v>0</v>
      </c>
      <c r="R3649" s="1" t="e">
        <f t="shared" si="170"/>
        <v>#DIV/0!</v>
      </c>
    </row>
    <row r="3650" spans="1:18" hidden="1">
      <c r="A3650" s="1">
        <v>6</v>
      </c>
      <c r="B3650" s="1" t="str">
        <f>"موجودي ملزومات اداري"</f>
        <v>موجودي ملزومات اداري</v>
      </c>
      <c r="C3650" s="1">
        <v>110</v>
      </c>
      <c r="D3650" s="1" t="str">
        <f>"ملزومات اداري اصفهان"</f>
        <v>ملزومات اداري اصفهان</v>
      </c>
      <c r="E3650" s="1" t="str">
        <f>"1502031472"</f>
        <v>1502031472</v>
      </c>
      <c r="F3650" s="1" t="str">
        <f>"جارو مويي"</f>
        <v>جارو مويي</v>
      </c>
      <c r="G3650" s="1" t="str">
        <f>"عدد"</f>
        <v>عدد</v>
      </c>
      <c r="H3650" s="1">
        <v>0</v>
      </c>
      <c r="I3650" s="1">
        <v>0</v>
      </c>
      <c r="J3650" s="1">
        <v>40</v>
      </c>
      <c r="K3650" s="1">
        <v>8000000</v>
      </c>
      <c r="L3650" s="1">
        <v>40</v>
      </c>
      <c r="M3650" s="1">
        <v>8000000</v>
      </c>
      <c r="O3650" s="1">
        <v>97</v>
      </c>
      <c r="P3650" s="1">
        <f t="shared" si="168"/>
        <v>0</v>
      </c>
      <c r="Q3650" s="1">
        <f t="shared" si="169"/>
        <v>0</v>
      </c>
      <c r="R3650" s="1" t="e">
        <f t="shared" si="170"/>
        <v>#DIV/0!</v>
      </c>
    </row>
    <row r="3651" spans="1:18" hidden="1">
      <c r="A3651" s="1">
        <v>6</v>
      </c>
      <c r="B3651" s="1" t="str">
        <f>"موجودي ملزومات اداري"</f>
        <v>موجودي ملزومات اداري</v>
      </c>
      <c r="C3651" s="1">
        <v>110</v>
      </c>
      <c r="D3651" s="1" t="str">
        <f>"ملزومات اداري اصفهان"</f>
        <v>ملزومات اداري اصفهان</v>
      </c>
      <c r="E3651" s="1" t="str">
        <f>"1502031502"</f>
        <v>1502031502</v>
      </c>
      <c r="F3651" s="1" t="str">
        <f>"شيشه شوي تيغه دار(طي شيشه پاک کن)"</f>
        <v>شيشه شوي تيغه دار(طي شيشه پاک کن)</v>
      </c>
      <c r="G3651" s="1" t="str">
        <f>"عدد"</f>
        <v>عدد</v>
      </c>
      <c r="H3651" s="1">
        <v>0</v>
      </c>
      <c r="I3651" s="1">
        <v>0</v>
      </c>
      <c r="J3651" s="1">
        <v>10</v>
      </c>
      <c r="K3651" s="1">
        <v>700000</v>
      </c>
      <c r="L3651" s="1">
        <v>10</v>
      </c>
      <c r="M3651" s="1">
        <v>700000</v>
      </c>
      <c r="O3651" s="1">
        <v>97</v>
      </c>
      <c r="P3651" s="1">
        <f t="shared" ref="P3651:P3657" si="171">I3651+K3651-M3651</f>
        <v>0</v>
      </c>
      <c r="Q3651" s="1">
        <f t="shared" ref="Q3651:Q3657" si="172">H3651+J3651-L3651</f>
        <v>0</v>
      </c>
      <c r="R3651" s="1" t="e">
        <f t="shared" ref="R3651:R3657" si="173">P3651/Q3651</f>
        <v>#DIV/0!</v>
      </c>
    </row>
    <row r="3652" spans="1:18">
      <c r="A3652" s="1">
        <v>6</v>
      </c>
      <c r="B3652" s="1" t="str">
        <f>"موجودي ملزومات اداري"</f>
        <v>موجودي ملزومات اداري</v>
      </c>
      <c r="C3652" s="1">
        <v>205</v>
      </c>
      <c r="D3652" s="1" t="str">
        <f>"انبار قطعات و لوازم يدكي بندرعباس"</f>
        <v>انبار قطعات و لوازم يدكي بندرعباس</v>
      </c>
      <c r="E3652" s="1" t="str">
        <f>"0000009104"</f>
        <v>0000009104</v>
      </c>
      <c r="F3652" s="1" t="str">
        <f>"ترانس 1*36"</f>
        <v>ترانس 1*36</v>
      </c>
      <c r="G3652" s="1" t="str">
        <f>"عدد"</f>
        <v>عدد</v>
      </c>
      <c r="H3652" s="1">
        <v>0</v>
      </c>
      <c r="I3652" s="1">
        <v>0</v>
      </c>
      <c r="J3652" s="1">
        <v>20</v>
      </c>
      <c r="K3652" s="1">
        <v>3760000</v>
      </c>
      <c r="L3652" s="1">
        <v>9</v>
      </c>
      <c r="M3652" s="1">
        <v>1692000</v>
      </c>
      <c r="O3652" s="1">
        <v>97</v>
      </c>
      <c r="P3652" s="4">
        <f t="shared" si="171"/>
        <v>2068000</v>
      </c>
      <c r="Q3652" s="4">
        <f t="shared" si="172"/>
        <v>11</v>
      </c>
      <c r="R3652" s="4">
        <f t="shared" si="173"/>
        <v>188000</v>
      </c>
    </row>
    <row r="3653" spans="1:18" hidden="1">
      <c r="A3653" s="1">
        <v>9</v>
      </c>
      <c r="B3653" s="1" t="str">
        <f>"موجودي داراييهاي ثابت نزد انبار"</f>
        <v>موجودي داراييهاي ثابت نزد انبار</v>
      </c>
      <c r="C3653" s="1">
        <v>117</v>
      </c>
      <c r="D3653" s="1" t="str">
        <f>"انبار دارايي ثابت اصفهان"</f>
        <v>انبار دارايي ثابت اصفهان</v>
      </c>
      <c r="E3653" s="1" t="str">
        <f>"1301021142"</f>
        <v>1301021142</v>
      </c>
      <c r="F3653" s="1" t="str">
        <f>"نشان دهنده TEC-1610"</f>
        <v>نشان دهنده TEC-1610</v>
      </c>
      <c r="G3653" s="1" t="str">
        <f>"دستگاه"</f>
        <v>دستگاه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O3653" s="1">
        <v>97</v>
      </c>
      <c r="P3653" s="1">
        <f t="shared" si="171"/>
        <v>0</v>
      </c>
      <c r="Q3653" s="1">
        <f t="shared" si="172"/>
        <v>0</v>
      </c>
      <c r="R3653" s="1" t="e">
        <f t="shared" si="173"/>
        <v>#DIV/0!</v>
      </c>
    </row>
    <row r="3654" spans="1:18" hidden="1">
      <c r="A3654" s="1">
        <v>9</v>
      </c>
      <c r="B3654" s="1" t="str">
        <f>"موجودي داراييهاي ثابت نزد انبار"</f>
        <v>موجودي داراييهاي ثابت نزد انبار</v>
      </c>
      <c r="C3654" s="1">
        <v>119</v>
      </c>
      <c r="D3654" s="1" t="str">
        <f>"انبار دارايي ثابت تهران"</f>
        <v>انبار دارايي ثابت تهران</v>
      </c>
      <c r="E3654" s="1" t="str">
        <f>"0000009191"</f>
        <v>0000009191</v>
      </c>
      <c r="F3654" s="1" t="str">
        <f>"نوت بوک اصلي اسموک K451LN17/6/1TB/4G"</f>
        <v>نوت بوک اصلي اسموک K451LN17/6/1TB/4G</v>
      </c>
      <c r="G3654" s="1" t="str">
        <f>"دستگاه"</f>
        <v>دستگاه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O3654" s="1">
        <v>97</v>
      </c>
      <c r="P3654" s="1">
        <f t="shared" si="171"/>
        <v>0</v>
      </c>
      <c r="Q3654" s="1">
        <f t="shared" si="172"/>
        <v>0</v>
      </c>
      <c r="R3654" s="1" t="e">
        <f t="shared" si="173"/>
        <v>#DIV/0!</v>
      </c>
    </row>
    <row r="3655" spans="1:18">
      <c r="A3655" s="1">
        <v>9</v>
      </c>
      <c r="B3655" s="1" t="str">
        <f>"موجودي داراييهاي ثابت نزد انبار"</f>
        <v>موجودي داراييهاي ثابت نزد انبار</v>
      </c>
      <c r="C3655" s="1">
        <v>119</v>
      </c>
      <c r="D3655" s="1" t="str">
        <f>"انبار دارايي ثابت تهران"</f>
        <v>انبار دارايي ثابت تهران</v>
      </c>
      <c r="E3655" s="1" t="str">
        <f>"0000009299"</f>
        <v>0000009299</v>
      </c>
      <c r="F3655" s="1" t="str">
        <f>"گوشي تلفن Panasonic kx-DT333 -  کليد 24"</f>
        <v>گوشي تلفن Panasonic kx-DT333 -  کليد 24</v>
      </c>
      <c r="G3655" s="1" t="str">
        <f>"دستگاه"</f>
        <v>دستگاه</v>
      </c>
      <c r="H3655" s="1">
        <v>2</v>
      </c>
      <c r="I3655" s="1">
        <v>10800000</v>
      </c>
      <c r="J3655" s="1">
        <v>0</v>
      </c>
      <c r="K3655" s="1">
        <v>0</v>
      </c>
      <c r="L3655" s="1">
        <v>1</v>
      </c>
      <c r="M3655" s="1">
        <v>5400000</v>
      </c>
      <c r="O3655" s="1">
        <v>97</v>
      </c>
      <c r="P3655" s="4">
        <f t="shared" si="171"/>
        <v>5400000</v>
      </c>
      <c r="Q3655" s="4">
        <f t="shared" si="172"/>
        <v>1</v>
      </c>
      <c r="R3655" s="4">
        <f t="shared" si="173"/>
        <v>5400000</v>
      </c>
    </row>
    <row r="3656" spans="1:18">
      <c r="A3656" s="1">
        <v>9</v>
      </c>
      <c r="B3656" s="1" t="str">
        <f>"موجودي داراييهاي ثابت نزد انبار"</f>
        <v>موجودي داراييهاي ثابت نزد انبار</v>
      </c>
      <c r="C3656" s="1">
        <v>119</v>
      </c>
      <c r="D3656" s="1" t="str">
        <f>"انبار دارايي ثابت تهران"</f>
        <v>انبار دارايي ثابت تهران</v>
      </c>
      <c r="E3656" s="1" t="str">
        <f>"0000009300"</f>
        <v>0000009300</v>
      </c>
      <c r="F3656" s="1" t="str">
        <f>"گوشي تلفن Panasonic kx-T7665X - 8  کليد"</f>
        <v>گوشي تلفن Panasonic kx-T7665X - 8  کليد</v>
      </c>
      <c r="G3656" s="1" t="str">
        <f>"دستگاه"</f>
        <v>دستگاه</v>
      </c>
      <c r="H3656" s="1">
        <v>0</v>
      </c>
      <c r="I3656" s="1">
        <v>0</v>
      </c>
      <c r="J3656" s="1">
        <v>10</v>
      </c>
      <c r="K3656" s="1">
        <v>37900000</v>
      </c>
      <c r="L3656" s="1">
        <v>4</v>
      </c>
      <c r="M3656" s="1">
        <v>15160000</v>
      </c>
      <c r="O3656" s="1">
        <v>97</v>
      </c>
      <c r="P3656" s="4">
        <f t="shared" si="171"/>
        <v>22740000</v>
      </c>
      <c r="Q3656" s="4">
        <f t="shared" si="172"/>
        <v>6</v>
      </c>
      <c r="R3656" s="4">
        <f t="shared" si="173"/>
        <v>3790000</v>
      </c>
    </row>
    <row r="3657" spans="1:18" hidden="1">
      <c r="A3657" s="1">
        <v>9</v>
      </c>
      <c r="B3657" s="1" t="str">
        <f>"موجودي داراييهاي ثابت نزد انبار"</f>
        <v>موجودي داراييهاي ثابت نزد انبار</v>
      </c>
      <c r="C3657" s="1">
        <v>119</v>
      </c>
      <c r="D3657" s="1" t="str">
        <f>"انبار دارايي ثابت تهران"</f>
        <v>انبار دارايي ثابت تهران</v>
      </c>
      <c r="E3657" s="1" t="str">
        <f>"0000009536"</f>
        <v>0000009536</v>
      </c>
      <c r="F3657" s="1" t="s">
        <v>201</v>
      </c>
      <c r="G3657" s="1" t="str">
        <f>"دستگاه"</f>
        <v>دستگاه</v>
      </c>
      <c r="H3657" s="1">
        <v>5</v>
      </c>
      <c r="I3657" s="1">
        <v>20300000</v>
      </c>
      <c r="J3657" s="1">
        <v>11</v>
      </c>
      <c r="K3657" s="1">
        <v>52200000</v>
      </c>
      <c r="L3657" s="1">
        <v>16</v>
      </c>
      <c r="M3657" s="1">
        <v>72500000</v>
      </c>
      <c r="O3657" s="1">
        <v>97</v>
      </c>
      <c r="P3657" s="1">
        <f t="shared" si="171"/>
        <v>0</v>
      </c>
      <c r="Q3657" s="1">
        <f t="shared" si="172"/>
        <v>0</v>
      </c>
      <c r="R3657" s="1" t="e">
        <f t="shared" si="173"/>
        <v>#DIV/0!</v>
      </c>
    </row>
  </sheetData>
  <autoFilter ref="A1:R3657">
    <filterColumn colId="3">
      <filters>
        <filter val="انبار بوشهر"/>
        <filter val="انبار دارايي ثابت اصفهان"/>
        <filter val="انبار دارايي ثابت بندرعباس"/>
        <filter val="انبار دارايي ثابت تهران"/>
        <filter val="انبار قطعات و لوازم يدكي اصفهان"/>
        <filter val="انبار قطعات و لوازم يدكي بشکه سازي اصفهان"/>
        <filter val="انبار قطعات و لوازم يدكي بندرعباس"/>
        <filter val="انبار قير بندرعباس"/>
        <filter val="انبار قير بندرعباس(مخازن ملي پخش- هرمزگان)"/>
        <filter val="مخازن قير اصفهان"/>
        <filter val="ملزومات اداري اصفهان"/>
      </filters>
    </filterColumn>
    <filterColumn colId="16">
      <customFilters>
        <customFilter operator="greaterThan" val="0"/>
      </customFilters>
    </filterColumn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ريال پايان 97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jahadi</dc:creator>
  <cp:lastModifiedBy>jahadi</cp:lastModifiedBy>
  <dcterms:created xsi:type="dcterms:W3CDTF">2019-07-02T12:48:36Z</dcterms:created>
  <dcterms:modified xsi:type="dcterms:W3CDTF">2019-07-02T12:55:12Z</dcterms:modified>
</cp:coreProperties>
</file>