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FB903694-675C-4230-B794-E6E7000FC151}" xr6:coauthVersionLast="47" xr6:coauthVersionMax="47" xr10:uidLastSave="{00000000-0000-0000-0000-000000000000}"/>
  <bookViews>
    <workbookView xWindow="-120" yWindow="-120" windowWidth="29040" windowHeight="15840" xr2:uid="{B827171D-2695-4373-BAA6-20B79C4650C7}"/>
  </bookViews>
  <sheets>
    <sheet name="1" sheetId="1" r:id="rId1"/>
    <sheet name="Sheet1" sheetId="2" r:id="rId2"/>
  </sheets>
  <definedNames>
    <definedName name="_xlnm._FilterDatabase" localSheetId="0">'1'!$B$1:$P$25</definedName>
    <definedName name="_xlnm._FilterDatabase" localSheetId="1" hidden="1">Sheet1!$A$1:$F$30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1" l="1"/>
  <c r="K26" i="1"/>
  <c r="J26" i="1"/>
  <c r="I26" i="1"/>
  <c r="H26" i="1"/>
  <c r="G26" i="1"/>
  <c r="L2" i="1"/>
  <c r="L23" i="1"/>
  <c r="K11" i="1"/>
  <c r="L11" i="1" s="1"/>
  <c r="K19" i="1"/>
  <c r="L19" i="1" s="1"/>
  <c r="K20" i="1"/>
  <c r="L20" i="1" s="1"/>
  <c r="L25" i="1"/>
  <c r="K21" i="1"/>
  <c r="L21" i="1" s="1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  <c r="K6" i="1"/>
  <c r="L6" i="1" s="1"/>
  <c r="K5" i="1"/>
  <c r="L5" i="1" s="1"/>
  <c r="K9" i="1"/>
  <c r="L9" i="1" s="1"/>
  <c r="K13" i="1"/>
  <c r="L13" i="1" s="1"/>
  <c r="K3" i="1"/>
  <c r="L3" i="1" s="1"/>
  <c r="K18" i="1"/>
  <c r="L18" i="1" s="1"/>
  <c r="L4" i="1"/>
  <c r="L22" i="1"/>
  <c r="K15" i="1"/>
  <c r="L15" i="1" s="1"/>
  <c r="L7" i="1"/>
  <c r="K16" i="1"/>
  <c r="L16" i="1" s="1"/>
  <c r="K24" i="1"/>
  <c r="L24" i="1" s="1"/>
  <c r="K14" i="1" l="1"/>
  <c r="L14" i="1" s="1"/>
  <c r="K17" i="1"/>
  <c r="L17" i="1" s="1"/>
  <c r="L12" i="1"/>
  <c r="K8" i="1"/>
  <c r="L8" i="1" s="1"/>
  <c r="K10" i="1"/>
  <c r="L10" i="1" s="1"/>
  <c r="P24" i="1" l="1"/>
  <c r="O24" i="1"/>
  <c r="N24" i="1"/>
  <c r="M24" i="1"/>
  <c r="A24" i="1"/>
  <c r="C24" i="1"/>
  <c r="E24" i="1"/>
  <c r="P16" i="1"/>
  <c r="O16" i="1"/>
  <c r="N16" i="1"/>
  <c r="M16" i="1"/>
  <c r="A16" i="1"/>
  <c r="C16" i="1"/>
  <c r="E16" i="1"/>
  <c r="P7" i="1"/>
  <c r="O7" i="1"/>
  <c r="N7" i="1"/>
  <c r="M7" i="1"/>
  <c r="A7" i="1"/>
  <c r="C7" i="1"/>
  <c r="E7" i="1"/>
  <c r="P25" i="1"/>
  <c r="O25" i="1"/>
  <c r="N25" i="1"/>
  <c r="M25" i="1"/>
  <c r="A25" i="1"/>
  <c r="C25" i="1"/>
  <c r="E25" i="1"/>
  <c r="P15" i="1"/>
  <c r="O15" i="1"/>
  <c r="N15" i="1"/>
  <c r="M15" i="1"/>
  <c r="A15" i="1"/>
  <c r="C15" i="1"/>
  <c r="E15" i="1"/>
  <c r="P22" i="1"/>
  <c r="O22" i="1"/>
  <c r="N22" i="1"/>
  <c r="M22" i="1"/>
  <c r="A22" i="1"/>
  <c r="C22" i="1"/>
  <c r="E22" i="1"/>
  <c r="P4" i="1"/>
  <c r="O4" i="1"/>
  <c r="N4" i="1"/>
  <c r="M4" i="1"/>
  <c r="A4" i="1"/>
  <c r="C4" i="1"/>
  <c r="E4" i="1"/>
  <c r="P20" i="1"/>
  <c r="O20" i="1"/>
  <c r="N20" i="1"/>
  <c r="M20" i="1"/>
  <c r="A20" i="1"/>
  <c r="C20" i="1"/>
  <c r="E20" i="1"/>
  <c r="P18" i="1"/>
  <c r="O18" i="1"/>
  <c r="N18" i="1"/>
  <c r="M18" i="1"/>
  <c r="A18" i="1"/>
  <c r="C18" i="1"/>
  <c r="E18" i="1"/>
  <c r="P3" i="1"/>
  <c r="O3" i="1"/>
  <c r="N3" i="1"/>
  <c r="M3" i="1"/>
  <c r="A3" i="1"/>
  <c r="C3" i="1"/>
  <c r="E3" i="1"/>
  <c r="P2" i="1"/>
  <c r="O2" i="1"/>
  <c r="N2" i="1"/>
  <c r="M2" i="1"/>
  <c r="A2" i="1"/>
  <c r="C2" i="1"/>
  <c r="E2" i="1"/>
  <c r="P19" i="1"/>
  <c r="O19" i="1"/>
  <c r="N19" i="1"/>
  <c r="M19" i="1"/>
  <c r="A19" i="1"/>
  <c r="C19" i="1"/>
  <c r="E19" i="1"/>
  <c r="P11" i="1"/>
  <c r="O11" i="1"/>
  <c r="N11" i="1"/>
  <c r="M11" i="1"/>
  <c r="A11" i="1"/>
  <c r="C11" i="1"/>
  <c r="E11" i="1"/>
  <c r="P23" i="1"/>
  <c r="O23" i="1"/>
  <c r="N23" i="1"/>
  <c r="M23" i="1"/>
  <c r="A23" i="1"/>
  <c r="C23" i="1"/>
  <c r="E23" i="1"/>
  <c r="P13" i="1"/>
  <c r="O13" i="1"/>
  <c r="N13" i="1"/>
  <c r="M13" i="1"/>
  <c r="A13" i="1"/>
  <c r="C13" i="1"/>
  <c r="E13" i="1"/>
  <c r="P10" i="1"/>
  <c r="O10" i="1"/>
  <c r="N10" i="1"/>
  <c r="M10" i="1"/>
  <c r="A10" i="1"/>
  <c r="C10" i="1"/>
  <c r="E10" i="1"/>
  <c r="P12" i="1"/>
  <c r="O12" i="1"/>
  <c r="N12" i="1"/>
  <c r="M12" i="1"/>
  <c r="A12" i="1"/>
  <c r="C12" i="1"/>
  <c r="E12" i="1"/>
  <c r="P9" i="1"/>
  <c r="O9" i="1"/>
  <c r="N9" i="1"/>
  <c r="M9" i="1"/>
  <c r="A9" i="1"/>
  <c r="C9" i="1"/>
  <c r="E9" i="1"/>
  <c r="P5" i="1"/>
  <c r="O5" i="1"/>
  <c r="N5" i="1"/>
  <c r="M5" i="1"/>
  <c r="A5" i="1"/>
  <c r="C5" i="1"/>
  <c r="E5" i="1"/>
  <c r="P8" i="1"/>
  <c r="O8" i="1"/>
  <c r="N8" i="1"/>
  <c r="M8" i="1"/>
  <c r="A8" i="1"/>
  <c r="C8" i="1"/>
  <c r="E8" i="1"/>
  <c r="P17" i="1"/>
  <c r="O17" i="1"/>
  <c r="N17" i="1"/>
  <c r="M17" i="1"/>
  <c r="A17" i="1"/>
  <c r="C17" i="1"/>
  <c r="E17" i="1"/>
  <c r="P14" i="1"/>
  <c r="O14" i="1"/>
  <c r="N14" i="1"/>
  <c r="M14" i="1"/>
  <c r="A14" i="1"/>
  <c r="C14" i="1"/>
  <c r="E14" i="1"/>
  <c r="P6" i="1"/>
  <c r="O6" i="1"/>
  <c r="N6" i="1"/>
  <c r="M6" i="1"/>
  <c r="A6" i="1"/>
  <c r="C6" i="1"/>
  <c r="E6" i="1"/>
  <c r="P21" i="1"/>
  <c r="O21" i="1"/>
  <c r="N21" i="1"/>
  <c r="M21" i="1"/>
  <c r="A21" i="1"/>
  <c r="C21" i="1"/>
  <c r="E21" i="1"/>
</calcChain>
</file>

<file path=xl/sharedStrings.xml><?xml version="1.0" encoding="utf-8"?>
<sst xmlns="http://schemas.openxmlformats.org/spreadsheetml/2006/main" count="134" uniqueCount="85">
  <si>
    <t>مقدار حواله</t>
  </si>
  <si>
    <t>شماره حواله</t>
  </si>
  <si>
    <t>نرخ قرارداد</t>
  </si>
  <si>
    <t>مقدار تحويل شده</t>
  </si>
  <si>
    <t>مانده تحويل نشده</t>
  </si>
  <si>
    <t>تاريخ حواله</t>
  </si>
  <si>
    <t>نام كالا</t>
  </si>
  <si>
    <t>نام مشتري</t>
  </si>
  <si>
    <t>پيمانکار حمل</t>
  </si>
  <si>
    <t>شماره قرارداد بورسي</t>
  </si>
  <si>
    <t>تاريخ قرارداد</t>
  </si>
  <si>
    <t>وضعيت حواله</t>
  </si>
  <si>
    <t>تاریخ حواله</t>
  </si>
  <si>
    <t>سال حواله</t>
  </si>
  <si>
    <t>مقدار</t>
  </si>
  <si>
    <t>89/04/02</t>
  </si>
  <si>
    <t>88/12/03</t>
  </si>
  <si>
    <t>89/04/09</t>
  </si>
  <si>
    <t>89/08/08</t>
  </si>
  <si>
    <t>89/08/10</t>
  </si>
  <si>
    <t>89/12/01</t>
  </si>
  <si>
    <t>90/01/21</t>
  </si>
  <si>
    <t>89/12/14</t>
  </si>
  <si>
    <t>89-50688</t>
  </si>
  <si>
    <t>89/07/19</t>
  </si>
  <si>
    <t>89-50689</t>
  </si>
  <si>
    <t>89/04/16</t>
  </si>
  <si>
    <t>89/05/20</t>
  </si>
  <si>
    <t>88/12/17</t>
  </si>
  <si>
    <t>89/03/03</t>
  </si>
  <si>
    <t>89-50397</t>
  </si>
  <si>
    <t>89/04/15</t>
  </si>
  <si>
    <t>89/10/25</t>
  </si>
  <si>
    <t>89/11/17</t>
  </si>
  <si>
    <t>89-51364</t>
  </si>
  <si>
    <t>89/08/03</t>
  </si>
  <si>
    <t>89/08/04</t>
  </si>
  <si>
    <t>89/06/29</t>
  </si>
  <si>
    <t>90/03/24</t>
  </si>
  <si>
    <t>90/02/20</t>
  </si>
  <si>
    <t>89/12/24</t>
  </si>
  <si>
    <t>88-50717</t>
  </si>
  <si>
    <t>89-50205</t>
  </si>
  <si>
    <t>89-50323</t>
  </si>
  <si>
    <t>89-50578</t>
  </si>
  <si>
    <t>89-50865</t>
  </si>
  <si>
    <t>89/08/12</t>
  </si>
  <si>
    <t>89/10/14</t>
  </si>
  <si>
    <t>89/11/18</t>
  </si>
  <si>
    <t>89-51480</t>
  </si>
  <si>
    <t>89-51337</t>
  </si>
  <si>
    <t>89/11/06</t>
  </si>
  <si>
    <t>90-50145</t>
  </si>
  <si>
    <t>90-50372</t>
  </si>
  <si>
    <t>90/04/14</t>
  </si>
  <si>
    <t>90-50144</t>
  </si>
  <si>
    <t>89-51410</t>
  </si>
  <si>
    <t>89-50403</t>
  </si>
  <si>
    <t>89-51339</t>
  </si>
  <si>
    <t>89-51344</t>
  </si>
  <si>
    <t>89-50751</t>
  </si>
  <si>
    <t>89-50934</t>
  </si>
  <si>
    <t>89-50752</t>
  </si>
  <si>
    <t>89-51371</t>
  </si>
  <si>
    <t>89-51372</t>
  </si>
  <si>
    <t>89-51338</t>
  </si>
  <si>
    <t>شماره پروانه</t>
  </si>
  <si>
    <t>تاریخ پروانه</t>
  </si>
  <si>
    <t>89/04/01</t>
  </si>
  <si>
    <t>89/08/24</t>
  </si>
  <si>
    <t>90/01/16</t>
  </si>
  <si>
    <t>90/02/10</t>
  </si>
  <si>
    <t>90/02/08</t>
  </si>
  <si>
    <t>90/03/08</t>
  </si>
  <si>
    <t>90/05/30</t>
  </si>
  <si>
    <t>90/06/06</t>
  </si>
  <si>
    <t>89/07/20</t>
  </si>
  <si>
    <t>89/07/29</t>
  </si>
  <si>
    <t>90/02/25</t>
  </si>
  <si>
    <t>90/06/28</t>
  </si>
  <si>
    <t>90/03/05</t>
  </si>
  <si>
    <t>مقدار پروانه موجود</t>
  </si>
  <si>
    <t>مقدار کسری پروانه</t>
  </si>
  <si>
    <t>مبلغ ارزش افزوده کسری پروانه</t>
  </si>
  <si>
    <t>جمع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</si>
</sst>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_-* #,##0.00_-;_-* #,##0.00\-;_-* &quot;-&quot;??_-;_-@_-"/>
    <numFmt numFmtId="167" formatCode="_-* #,##0_-;_-* #,##0\-;_-* &quot;-&quot;??_-;_-@_-"/>
  </numFmts>
  <fonts count="9">
    <font>
      <sz val="11"/>
      <color theme="1"/>
      <name val="Zar"/>
      <family val="2"/>
    </font>
    <font>
      <sz val="11"/>
      <color theme="1"/>
      <name val="Zar"/>
      <family val="2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sz val="11"/>
      <color theme="1"/>
      <name val="B Lotus"/>
      <family val="2"/>
      <charset val="178"/>
    </font>
    <font>
      <sz val="11"/>
      <color theme="1"/>
      <name val="B Lotus"/>
      <family val="2"/>
    </font>
    <font>
      <b/>
      <sz val="11"/>
      <color rgb="FF0000FF"/>
      <name val="B Nazanin"/>
      <charset val="178"/>
    </font>
    <font>
      <b/>
      <sz val="11"/>
      <color theme="1"/>
      <name val="B Nazanin"/>
      <charset val="178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6" fillId="0" borderId="0"/>
    <xf numFmtId="0" fontId="5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167" fontId="2" fillId="0" borderId="1" xfId="1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167" fontId="3" fillId="0" borderId="1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167" fontId="0" fillId="0" borderId="0" xfId="1" applyNumberFormat="1" applyFont="1" applyFill="1" applyProtection="1"/>
    <xf numFmtId="0" fontId="4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4" fillId="0" borderId="0" xfId="0" applyFont="1"/>
    <xf numFmtId="165" fontId="4" fillId="0" borderId="1" xfId="1" applyNumberFormat="1" applyFont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165" fontId="8" fillId="4" borderId="1" xfId="1" applyNumberFormat="1" applyFont="1" applyFill="1" applyBorder="1"/>
    <xf numFmtId="165" fontId="4" fillId="0" borderId="0" xfId="1" applyNumberFormat="1" applyFont="1"/>
    <xf numFmtId="0" fontId="7" fillId="4" borderId="1" xfId="0" applyFont="1" applyFill="1" applyBorder="1" applyAlignment="1">
      <alignment horizontal="center" vertical="center" wrapText="1"/>
    </xf>
    <xf numFmtId="0" fontId="8" fillId="4" borderId="2" xfId="0" applyFont="1" applyFill="1" applyBorder="1"/>
    <xf numFmtId="0" fontId="8" fillId="4" borderId="3" xfId="0" applyFont="1" applyFill="1" applyBorder="1"/>
    <xf numFmtId="0" fontId="8" fillId="4" borderId="4" xfId="0" applyFont="1" applyFill="1" applyBorder="1"/>
    <xf numFmtId="165" fontId="4" fillId="3" borderId="1" xfId="1" applyNumberFormat="1" applyFont="1" applyFill="1" applyBorder="1" applyAlignment="1">
      <alignment horizontal="center" vertical="center"/>
    </xf>
  </cellXfs>
  <cellStyles count="5">
    <cellStyle name="Comma" xfId="1" builtinId="3"/>
    <cellStyle name="Comma 2" xfId="2" xr:uid="{F10B732F-9141-4586-B2AF-F0A8CD91470F}"/>
    <cellStyle name="Normal" xfId="0" builtinId="0"/>
    <cellStyle name="Normal 12" xfId="3" xr:uid="{7B2FB5D4-E48A-4DBF-8C26-4402324D08BF}"/>
    <cellStyle name="Normal 2" xfId="4" xr:uid="{3C18A3B5-B79D-486E-9894-A20CCE95C3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2AA84-BE77-48E1-8B90-C5DE62666E30}">
  <dimension ref="A1:P26"/>
  <sheetViews>
    <sheetView rightToLeft="1" tabSelected="1" workbookViewId="0">
      <selection activeCell="L1" sqref="L1:L1048576"/>
    </sheetView>
  </sheetViews>
  <sheetFormatPr defaultColWidth="10.625" defaultRowHeight="18"/>
  <cols>
    <col min="1" max="1" width="17.625" style="9" customWidth="1"/>
    <col min="2" max="2" width="7.875" style="9" customWidth="1"/>
    <col min="3" max="3" width="21.625" style="9" customWidth="1"/>
    <col min="4" max="4" width="10.625" style="9"/>
    <col min="5" max="5" width="8" style="9" customWidth="1"/>
    <col min="6" max="6" width="10.625" style="9"/>
    <col min="7" max="7" width="10.875" style="13" bestFit="1" customWidth="1"/>
    <col min="8" max="8" width="11.75" style="13" bestFit="1" customWidth="1"/>
    <col min="9" max="9" width="10.875" style="9" customWidth="1"/>
    <col min="10" max="10" width="11.75" style="9" bestFit="1" customWidth="1"/>
    <col min="11" max="11" width="12" style="9" customWidth="1"/>
    <col min="12" max="12" width="15.75" style="13" customWidth="1"/>
    <col min="13" max="13" width="24.5" style="9" customWidth="1"/>
    <col min="14" max="14" width="19.375" style="9" customWidth="1"/>
    <col min="15" max="15" width="8.5" style="9" customWidth="1"/>
    <col min="16" max="16384" width="10.625" style="9"/>
  </cols>
  <sheetData>
    <row r="1" spans="1:16" ht="39">
      <c r="A1" s="14" t="s">
        <v>7</v>
      </c>
      <c r="B1" s="14" t="s">
        <v>1</v>
      </c>
      <c r="C1" s="14" t="s">
        <v>6</v>
      </c>
      <c r="D1" s="14" t="s">
        <v>1</v>
      </c>
      <c r="E1" s="14" t="s">
        <v>5</v>
      </c>
      <c r="F1" s="14" t="s">
        <v>2</v>
      </c>
      <c r="G1" s="14" t="s">
        <v>0</v>
      </c>
      <c r="H1" s="14" t="s">
        <v>3</v>
      </c>
      <c r="I1" s="14" t="s">
        <v>4</v>
      </c>
      <c r="J1" s="14" t="s">
        <v>81</v>
      </c>
      <c r="K1" s="14" t="s">
        <v>82</v>
      </c>
      <c r="L1" s="14" t="s">
        <v>83</v>
      </c>
      <c r="M1" s="14" t="s">
        <v>8</v>
      </c>
      <c r="N1" s="14" t="s">
        <v>9</v>
      </c>
      <c r="O1" s="8" t="s">
        <v>10</v>
      </c>
      <c r="P1" s="14" t="s">
        <v>11</v>
      </c>
    </row>
    <row r="2" spans="1:16">
      <c r="A2" s="7" t="str">
        <f t="shared" ref="A2:A25" si="0">"  مبتکران تجارت آفتاب ص"</f>
        <v xml:space="preserve">  مبتکران تجارت آفتاب ص</v>
      </c>
      <c r="B2" s="7">
        <v>50717</v>
      </c>
      <c r="C2" s="7" t="str">
        <f>"قير 60/70 - بشكه 180 كيلوگرمي"</f>
        <v>قير 60/70 - بشكه 180 كيلوگرمي</v>
      </c>
      <c r="D2" s="7" t="s">
        <v>41</v>
      </c>
      <c r="E2" s="7" t="str">
        <f>"88/12/03"</f>
        <v>88/12/03</v>
      </c>
      <c r="F2" s="7">
        <v>4760</v>
      </c>
      <c r="G2" s="10">
        <v>340000</v>
      </c>
      <c r="H2" s="10">
        <v>339229</v>
      </c>
      <c r="I2" s="10">
        <v>771</v>
      </c>
      <c r="J2" s="10">
        <v>340000</v>
      </c>
      <c r="K2" s="18">
        <v>0</v>
      </c>
      <c r="L2" s="11">
        <f t="shared" ref="L2:L23" si="1">K2*F2*0.03</f>
        <v>0</v>
      </c>
      <c r="M2" s="7" t="str">
        <f>"غلام نجفي سيامك‌‌‌‌‌‌(1881082)"</f>
        <v>غلام نجفي سيامك‌‌‌‌‌‌(1881082)</v>
      </c>
      <c r="N2" s="7" t="str">
        <f>"258/6503/مص/ستاره"</f>
        <v>258/6503/مص/ستاره</v>
      </c>
      <c r="O2" s="7" t="str">
        <f>"88/11/27"</f>
        <v>88/11/27</v>
      </c>
      <c r="P2" s="7" t="str">
        <f t="shared" ref="P2:P25" si="2">"اختتام"</f>
        <v>اختتام</v>
      </c>
    </row>
    <row r="3" spans="1:16">
      <c r="A3" s="7" t="str">
        <f t="shared" si="0"/>
        <v xml:space="preserve">  مبتکران تجارت آفتاب ص</v>
      </c>
      <c r="B3" s="7">
        <v>50205</v>
      </c>
      <c r="C3" s="7" t="str">
        <f>"قير 85/100 - فله"</f>
        <v>قير 85/100 - فله</v>
      </c>
      <c r="D3" s="7" t="s">
        <v>42</v>
      </c>
      <c r="E3" s="7" t="str">
        <f>"89/03/03"</f>
        <v>89/03/03</v>
      </c>
      <c r="F3" s="7">
        <v>3795</v>
      </c>
      <c r="G3" s="10">
        <v>600000</v>
      </c>
      <c r="H3" s="10">
        <v>598920</v>
      </c>
      <c r="I3" s="10">
        <v>1080</v>
      </c>
      <c r="J3" s="10">
        <v>598400</v>
      </c>
      <c r="K3" s="18">
        <f>H3-J3</f>
        <v>520</v>
      </c>
      <c r="L3" s="11">
        <f t="shared" si="1"/>
        <v>59202</v>
      </c>
      <c r="M3" s="7" t="str">
        <f>"قرباني علي(3609)"</f>
        <v>قرباني علي(3609)</v>
      </c>
      <c r="N3" s="7" t="str">
        <f>"258/5584/مص/ستاره"</f>
        <v>258/5584/مص/ستاره</v>
      </c>
      <c r="O3" s="7" t="str">
        <f>"89/02/21"</f>
        <v>89/02/21</v>
      </c>
      <c r="P3" s="7" t="str">
        <f t="shared" si="2"/>
        <v>اختتام</v>
      </c>
    </row>
    <row r="4" spans="1:16">
      <c r="A4" s="7" t="str">
        <f t="shared" si="0"/>
        <v xml:space="preserve">  مبتکران تجارت آفتاب ص</v>
      </c>
      <c r="B4" s="7">
        <v>50323</v>
      </c>
      <c r="C4" s="7" t="str">
        <f>"قير 85/100 - فله"</f>
        <v>قير 85/100 - فله</v>
      </c>
      <c r="D4" s="7" t="s">
        <v>43</v>
      </c>
      <c r="E4" s="7" t="str">
        <f>"89/04/02"</f>
        <v>89/04/02</v>
      </c>
      <c r="F4" s="7">
        <v>3795</v>
      </c>
      <c r="G4" s="10">
        <v>400000</v>
      </c>
      <c r="H4" s="10">
        <v>398580</v>
      </c>
      <c r="I4" s="10">
        <v>1420</v>
      </c>
      <c r="J4" s="10">
        <v>400000</v>
      </c>
      <c r="K4" s="18">
        <v>0</v>
      </c>
      <c r="L4" s="11">
        <f t="shared" si="1"/>
        <v>0</v>
      </c>
      <c r="M4" s="7" t="str">
        <f>"رئيسي حسين(1005ج89)"</f>
        <v>رئيسي حسين(1005ج89)</v>
      </c>
      <c r="N4" s="7" t="str">
        <f>"258/5589/مص/ستاره"</f>
        <v>258/5589/مص/ستاره</v>
      </c>
      <c r="O4" s="7" t="str">
        <f>"89/02/21"</f>
        <v>89/02/21</v>
      </c>
      <c r="P4" s="7" t="str">
        <f t="shared" si="2"/>
        <v>اختتام</v>
      </c>
    </row>
    <row r="5" spans="1:16">
      <c r="A5" s="7" t="str">
        <f t="shared" si="0"/>
        <v xml:space="preserve">  مبتکران تجارت آفتاب ص</v>
      </c>
      <c r="B5" s="7">
        <v>50397</v>
      </c>
      <c r="C5" s="7" t="str">
        <f>"قير 60/70 - فله"</f>
        <v>قير 60/70 - فله</v>
      </c>
      <c r="D5" s="7" t="s">
        <v>30</v>
      </c>
      <c r="E5" s="7" t="str">
        <f>"89/04/16"</f>
        <v>89/04/16</v>
      </c>
      <c r="F5" s="7">
        <v>3845</v>
      </c>
      <c r="G5" s="10">
        <v>500000</v>
      </c>
      <c r="H5" s="10">
        <v>500000</v>
      </c>
      <c r="I5" s="10">
        <v>0</v>
      </c>
      <c r="J5" s="10">
        <v>459000</v>
      </c>
      <c r="K5" s="18">
        <f>H5-J5</f>
        <v>41000</v>
      </c>
      <c r="L5" s="11">
        <f t="shared" si="1"/>
        <v>4729350</v>
      </c>
      <c r="M5" s="7" t="str">
        <f>"قرباني علي(3609)"</f>
        <v>قرباني علي(3609)</v>
      </c>
      <c r="N5" s="7" t="str">
        <f>"258/2913/مص/ستاره"</f>
        <v>258/2913/مص/ستاره</v>
      </c>
      <c r="O5" s="7" t="str">
        <f>"89/04/15"</f>
        <v>89/04/15</v>
      </c>
      <c r="P5" s="7" t="str">
        <f t="shared" si="2"/>
        <v>اختتام</v>
      </c>
    </row>
    <row r="6" spans="1:16">
      <c r="A6" s="7" t="str">
        <f t="shared" si="0"/>
        <v xml:space="preserve">  مبتکران تجارت آفتاب ص</v>
      </c>
      <c r="B6" s="7">
        <v>50403</v>
      </c>
      <c r="C6" s="7" t="str">
        <f>"قير 60/70 - فله"</f>
        <v>قير 60/70 - فله</v>
      </c>
      <c r="D6" s="7" t="s">
        <v>57</v>
      </c>
      <c r="E6" s="7" t="str">
        <f>"89/04/21"</f>
        <v>89/04/21</v>
      </c>
      <c r="F6" s="7">
        <v>3845</v>
      </c>
      <c r="G6" s="10">
        <v>390000</v>
      </c>
      <c r="H6" s="10">
        <v>388810</v>
      </c>
      <c r="I6" s="10">
        <v>1190</v>
      </c>
      <c r="J6" s="10">
        <v>0</v>
      </c>
      <c r="K6" s="18">
        <f>H6-J6</f>
        <v>388810</v>
      </c>
      <c r="L6" s="11">
        <f t="shared" si="1"/>
        <v>44849233.5</v>
      </c>
      <c r="M6" s="7" t="str">
        <f>"قرباني علي(3609)"</f>
        <v>قرباني علي(3609)</v>
      </c>
      <c r="N6" s="7" t="str">
        <f>"258/2913/مص/ستاره"</f>
        <v>258/2913/مص/ستاره</v>
      </c>
      <c r="O6" s="7" t="str">
        <f>"89/04/15"</f>
        <v>89/04/15</v>
      </c>
      <c r="P6" s="7" t="str">
        <f t="shared" si="2"/>
        <v>اختتام</v>
      </c>
    </row>
    <row r="7" spans="1:16">
      <c r="A7" s="7" t="str">
        <f t="shared" si="0"/>
        <v xml:space="preserve">  مبتکران تجارت آفتاب ص</v>
      </c>
      <c r="B7" s="7">
        <v>50578</v>
      </c>
      <c r="C7" s="7" t="str">
        <f>"قير 60/70 - بشكه 180 كيلوگرمي"</f>
        <v>قير 60/70 - بشكه 180 كيلوگرمي</v>
      </c>
      <c r="D7" s="7" t="s">
        <v>44</v>
      </c>
      <c r="E7" s="7" t="str">
        <f>"89/06/29"</f>
        <v>89/06/29</v>
      </c>
      <c r="F7" s="7">
        <v>4491.0200000000004</v>
      </c>
      <c r="G7" s="10">
        <v>500000</v>
      </c>
      <c r="H7" s="10">
        <v>499886</v>
      </c>
      <c r="I7" s="10">
        <v>114</v>
      </c>
      <c r="J7" s="10">
        <v>500000</v>
      </c>
      <c r="K7" s="18">
        <v>0</v>
      </c>
      <c r="L7" s="11">
        <f t="shared" si="1"/>
        <v>0</v>
      </c>
      <c r="M7" s="7" t="str">
        <f>"رئيسي حسين(1005ج89)"</f>
        <v>رئيسي حسين(1005ج89)</v>
      </c>
      <c r="N7" s="7" t="str">
        <f>"258/2987/مص/ستاره"</f>
        <v>258/2987/مص/ستاره</v>
      </c>
      <c r="O7" s="7" t="str">
        <f>"89/06/23"</f>
        <v>89/06/23</v>
      </c>
      <c r="P7" s="7" t="str">
        <f t="shared" si="2"/>
        <v>اختتام</v>
      </c>
    </row>
    <row r="8" spans="1:16">
      <c r="A8" s="7" t="str">
        <f t="shared" si="0"/>
        <v xml:space="preserve">  مبتکران تجارت آفتاب ص</v>
      </c>
      <c r="B8" s="7">
        <v>50689</v>
      </c>
      <c r="C8" s="7" t="str">
        <f t="shared" ref="C8:C15" si="3">"قير 60/70 - فله"</f>
        <v>قير 60/70 - فله</v>
      </c>
      <c r="D8" s="7" t="s">
        <v>25</v>
      </c>
      <c r="E8" s="7" t="str">
        <f>"89/07/19"</f>
        <v>89/07/19</v>
      </c>
      <c r="F8" s="7">
        <v>3799.04</v>
      </c>
      <c r="G8" s="10">
        <v>400000</v>
      </c>
      <c r="H8" s="10">
        <v>399760</v>
      </c>
      <c r="I8" s="10">
        <v>240</v>
      </c>
      <c r="J8" s="10">
        <v>283590</v>
      </c>
      <c r="K8" s="18">
        <f>H8-J8</f>
        <v>116170</v>
      </c>
      <c r="L8" s="11">
        <f t="shared" si="1"/>
        <v>13240034.304</v>
      </c>
      <c r="M8" s="7" t="str">
        <f>"سيفي پور گودرز(1019ج89)"</f>
        <v>سيفي پور گودرز(1019ج89)</v>
      </c>
      <c r="N8" s="7" t="str">
        <f>"258/4727/مص/ستاره"</f>
        <v>258/4727/مص/ستاره</v>
      </c>
      <c r="O8" s="7" t="str">
        <f>"89/07/04"</f>
        <v>89/07/04</v>
      </c>
      <c r="P8" s="7" t="str">
        <f t="shared" si="2"/>
        <v>اختتام</v>
      </c>
    </row>
    <row r="9" spans="1:16">
      <c r="A9" s="7" t="str">
        <f t="shared" si="0"/>
        <v xml:space="preserve">  مبتکران تجارت آفتاب ص</v>
      </c>
      <c r="B9" s="7">
        <v>50688</v>
      </c>
      <c r="C9" s="7" t="str">
        <f t="shared" si="3"/>
        <v>قير 60/70 - فله</v>
      </c>
      <c r="D9" s="7" t="s">
        <v>23</v>
      </c>
      <c r="E9" s="7" t="str">
        <f>"89/07/19"</f>
        <v>89/07/19</v>
      </c>
      <c r="F9" s="7">
        <v>3799.04</v>
      </c>
      <c r="G9" s="10">
        <v>515000</v>
      </c>
      <c r="H9" s="10">
        <v>515000</v>
      </c>
      <c r="I9" s="10">
        <v>0</v>
      </c>
      <c r="J9" s="10">
        <v>515000</v>
      </c>
      <c r="K9" s="18">
        <f>H9-J9</f>
        <v>0</v>
      </c>
      <c r="L9" s="11">
        <f t="shared" si="1"/>
        <v>0</v>
      </c>
      <c r="M9" s="7" t="str">
        <f>"اميري علي(2842011)"</f>
        <v>اميري علي(2842011)</v>
      </c>
      <c r="N9" s="7" t="str">
        <f>"258/4727/مص/ستاره"</f>
        <v>258/4727/مص/ستاره</v>
      </c>
      <c r="O9" s="7" t="str">
        <f>"89/07/04"</f>
        <v>89/07/04</v>
      </c>
      <c r="P9" s="7" t="str">
        <f t="shared" si="2"/>
        <v>اختتام</v>
      </c>
    </row>
    <row r="10" spans="1:16">
      <c r="A10" s="7" t="str">
        <f t="shared" si="0"/>
        <v xml:space="preserve">  مبتکران تجارت آفتاب ص</v>
      </c>
      <c r="B10" s="7">
        <v>50751</v>
      </c>
      <c r="C10" s="7" t="str">
        <f t="shared" si="3"/>
        <v>قير 60/70 - فله</v>
      </c>
      <c r="D10" s="7" t="s">
        <v>60</v>
      </c>
      <c r="E10" s="7" t="str">
        <f>"89/08/01"</f>
        <v>89/08/01</v>
      </c>
      <c r="F10" s="7">
        <v>3799.04</v>
      </c>
      <c r="G10" s="10">
        <v>165000</v>
      </c>
      <c r="H10" s="10">
        <v>159920</v>
      </c>
      <c r="I10" s="10">
        <v>5080</v>
      </c>
      <c r="J10" s="10">
        <v>0</v>
      </c>
      <c r="K10" s="18">
        <f>H10-J10</f>
        <v>159920</v>
      </c>
      <c r="L10" s="11">
        <f t="shared" si="1"/>
        <v>18226274.303999998</v>
      </c>
      <c r="M10" s="7" t="str">
        <f>"رئيسي حسين(1005ج89)"</f>
        <v>رئيسي حسين(1005ج89)</v>
      </c>
      <c r="N10" s="7" t="str">
        <f>"258/4720/مص/ستاره"</f>
        <v>258/4720/مص/ستاره</v>
      </c>
      <c r="O10" s="7" t="str">
        <f>"89/07/04"</f>
        <v>89/07/04</v>
      </c>
      <c r="P10" s="7" t="str">
        <f t="shared" si="2"/>
        <v>اختتام</v>
      </c>
    </row>
    <row r="11" spans="1:16">
      <c r="A11" s="7" t="str">
        <f t="shared" si="0"/>
        <v xml:space="preserve">  مبتکران تجارت آفتاب ص</v>
      </c>
      <c r="B11" s="7">
        <v>50752</v>
      </c>
      <c r="C11" s="7" t="str">
        <f t="shared" si="3"/>
        <v>قير 60/70 - فله</v>
      </c>
      <c r="D11" s="7" t="s">
        <v>62</v>
      </c>
      <c r="E11" s="7" t="str">
        <f>"89/08/01"</f>
        <v>89/08/01</v>
      </c>
      <c r="F11" s="7">
        <v>3908.52</v>
      </c>
      <c r="G11" s="10">
        <v>300000</v>
      </c>
      <c r="H11" s="10">
        <v>297470</v>
      </c>
      <c r="I11" s="10">
        <v>2530</v>
      </c>
      <c r="J11" s="10">
        <v>0</v>
      </c>
      <c r="K11" s="18">
        <f>H11-J11</f>
        <v>297470</v>
      </c>
      <c r="L11" s="11">
        <f t="shared" si="1"/>
        <v>34880023.332000002</v>
      </c>
      <c r="M11" s="7" t="str">
        <f>"اسماعيلي محمد(1030ج89)"</f>
        <v>اسماعيلي محمد(1030ج89)</v>
      </c>
      <c r="N11" s="7" t="str">
        <f>"258/8868/مص/ستاره"</f>
        <v>258/8868/مص/ستاره</v>
      </c>
      <c r="O11" s="7" t="str">
        <f t="shared" ref="O11:O16" si="4">"89/07/27"</f>
        <v>89/07/27</v>
      </c>
      <c r="P11" s="7" t="str">
        <f t="shared" si="2"/>
        <v>اختتام</v>
      </c>
    </row>
    <row r="12" spans="1:16">
      <c r="A12" s="7" t="str">
        <f t="shared" si="0"/>
        <v xml:space="preserve">  مبتکران تجارت آفتاب ص</v>
      </c>
      <c r="B12" s="7">
        <v>50865</v>
      </c>
      <c r="C12" s="7" t="str">
        <f t="shared" si="3"/>
        <v>قير 60/70 - فله</v>
      </c>
      <c r="D12" s="7" t="s">
        <v>45</v>
      </c>
      <c r="E12" s="7" t="str">
        <f>"89/08/12"</f>
        <v>89/08/12</v>
      </c>
      <c r="F12" s="7">
        <v>3939.7049999999999</v>
      </c>
      <c r="G12" s="10">
        <v>500000</v>
      </c>
      <c r="H12" s="10">
        <v>498250</v>
      </c>
      <c r="I12" s="10">
        <v>1750</v>
      </c>
      <c r="J12" s="10">
        <v>500000</v>
      </c>
      <c r="K12" s="18">
        <v>0</v>
      </c>
      <c r="L12" s="11">
        <f t="shared" si="1"/>
        <v>0</v>
      </c>
      <c r="M12" s="7" t="str">
        <f>"اميري علي(2842011)"</f>
        <v>اميري علي(2842011)</v>
      </c>
      <c r="N12" s="7" t="str">
        <f>"258/8864/مص/ستاره"</f>
        <v>258/8864/مص/ستاره</v>
      </c>
      <c r="O12" s="7" t="str">
        <f t="shared" si="4"/>
        <v>89/07/27</v>
      </c>
      <c r="P12" s="7" t="str">
        <f t="shared" si="2"/>
        <v>اختتام</v>
      </c>
    </row>
    <row r="13" spans="1:16">
      <c r="A13" s="7" t="str">
        <f t="shared" si="0"/>
        <v xml:space="preserve">  مبتکران تجارت آفتاب ص</v>
      </c>
      <c r="B13" s="7">
        <v>50934</v>
      </c>
      <c r="C13" s="7" t="str">
        <f t="shared" si="3"/>
        <v>قير 60/70 - فله</v>
      </c>
      <c r="D13" s="7" t="s">
        <v>61</v>
      </c>
      <c r="E13" s="7" t="str">
        <f>"89/08/22"</f>
        <v>89/08/22</v>
      </c>
      <c r="F13" s="7">
        <v>3939.7049999999999</v>
      </c>
      <c r="G13" s="10">
        <v>1000000</v>
      </c>
      <c r="H13" s="10">
        <v>994320</v>
      </c>
      <c r="I13" s="10">
        <v>5680</v>
      </c>
      <c r="J13" s="10">
        <v>0</v>
      </c>
      <c r="K13" s="18">
        <f t="shared" ref="K13:K21" si="5">H13-J13</f>
        <v>994320</v>
      </c>
      <c r="L13" s="11">
        <f t="shared" si="1"/>
        <v>117519824.26799999</v>
      </c>
      <c r="M13" s="7" t="str">
        <f>"قره باغي مجيد(1871065)"</f>
        <v>قره باغي مجيد(1871065)</v>
      </c>
      <c r="N13" s="7" t="str">
        <f>"258/8865/مص/ستاره"</f>
        <v>258/8865/مص/ستاره</v>
      </c>
      <c r="O13" s="7" t="str">
        <f t="shared" si="4"/>
        <v>89/07/27</v>
      </c>
      <c r="P13" s="7" t="str">
        <f t="shared" si="2"/>
        <v>اختتام</v>
      </c>
    </row>
    <row r="14" spans="1:16">
      <c r="A14" s="7" t="str">
        <f t="shared" si="0"/>
        <v xml:space="preserve">  مبتکران تجارت آفتاب ص</v>
      </c>
      <c r="B14" s="7">
        <v>51339</v>
      </c>
      <c r="C14" s="7" t="str">
        <f t="shared" si="3"/>
        <v>قير 60/70 - فله</v>
      </c>
      <c r="D14" s="7" t="s">
        <v>58</v>
      </c>
      <c r="E14" s="7" t="str">
        <f>"89/11/06"</f>
        <v>89/11/06</v>
      </c>
      <c r="F14" s="7">
        <v>4125.66</v>
      </c>
      <c r="G14" s="10">
        <v>200000</v>
      </c>
      <c r="H14" s="10">
        <v>199560</v>
      </c>
      <c r="I14" s="10">
        <v>440</v>
      </c>
      <c r="J14" s="10">
        <v>0</v>
      </c>
      <c r="K14" s="18">
        <f t="shared" si="5"/>
        <v>199560</v>
      </c>
      <c r="L14" s="11">
        <f t="shared" si="1"/>
        <v>24699501.287999999</v>
      </c>
      <c r="M14" s="7" t="str">
        <f>"عظيمي محمد(2842015)"</f>
        <v>عظيمي محمد(2842015)</v>
      </c>
      <c r="N14" s="7" t="str">
        <f>"258/8867/مص/ستاره"</f>
        <v>258/8867/مص/ستاره</v>
      </c>
      <c r="O14" s="7" t="str">
        <f t="shared" si="4"/>
        <v>89/07/27</v>
      </c>
      <c r="P14" s="7" t="str">
        <f t="shared" si="2"/>
        <v>اختتام</v>
      </c>
    </row>
    <row r="15" spans="1:16">
      <c r="A15" s="7" t="str">
        <f t="shared" si="0"/>
        <v xml:space="preserve">  مبتکران تجارت آفتاب ص</v>
      </c>
      <c r="B15" s="7">
        <v>51337</v>
      </c>
      <c r="C15" s="7" t="str">
        <f t="shared" si="3"/>
        <v>قير 60/70 - فله</v>
      </c>
      <c r="D15" s="7" t="s">
        <v>50</v>
      </c>
      <c r="E15" s="7" t="str">
        <f>"89/11/06"</f>
        <v>89/11/06</v>
      </c>
      <c r="F15" s="7">
        <v>4125.66</v>
      </c>
      <c r="G15" s="10">
        <v>500000</v>
      </c>
      <c r="H15" s="10">
        <v>500000</v>
      </c>
      <c r="I15" s="10">
        <v>0</v>
      </c>
      <c r="J15" s="10">
        <v>500000</v>
      </c>
      <c r="K15" s="18">
        <f t="shared" si="5"/>
        <v>0</v>
      </c>
      <c r="L15" s="11">
        <f t="shared" si="1"/>
        <v>0</v>
      </c>
      <c r="M15" s="7" t="str">
        <f>"تعاوني جم گستر (1001 ج 89)"</f>
        <v>تعاوني جم گستر (1001 ج 89)</v>
      </c>
      <c r="N15" s="7" t="str">
        <f>"258/8867/مص/ستاره"</f>
        <v>258/8867/مص/ستاره</v>
      </c>
      <c r="O15" s="7" t="str">
        <f t="shared" si="4"/>
        <v>89/07/27</v>
      </c>
      <c r="P15" s="7" t="str">
        <f t="shared" si="2"/>
        <v>اختتام</v>
      </c>
    </row>
    <row r="16" spans="1:16">
      <c r="A16" s="7" t="str">
        <f t="shared" si="0"/>
        <v xml:space="preserve">  مبتکران تجارت آفتاب ص</v>
      </c>
      <c r="B16" s="7">
        <v>51338</v>
      </c>
      <c r="C16" s="7" t="str">
        <f>"قير 85/100 - فله"</f>
        <v>قير 85/100 - فله</v>
      </c>
      <c r="D16" s="7" t="s">
        <v>65</v>
      </c>
      <c r="E16" s="7" t="str">
        <f>"89/11/06"</f>
        <v>89/11/06</v>
      </c>
      <c r="F16" s="7">
        <v>4125.66</v>
      </c>
      <c r="G16" s="10">
        <v>500000</v>
      </c>
      <c r="H16" s="10">
        <v>499750</v>
      </c>
      <c r="I16" s="10">
        <v>250</v>
      </c>
      <c r="J16" s="10">
        <v>0</v>
      </c>
      <c r="K16" s="18">
        <f t="shared" si="5"/>
        <v>499750</v>
      </c>
      <c r="L16" s="11">
        <f t="shared" si="1"/>
        <v>61853957.549999997</v>
      </c>
      <c r="M16" s="7" t="str">
        <f>"معماريان سعيد(1004ج89)"</f>
        <v>معماريان سعيد(1004ج89)</v>
      </c>
      <c r="N16" s="7" t="str">
        <f>"258/8867/مص/ستاره"</f>
        <v>258/8867/مص/ستاره</v>
      </c>
      <c r="O16" s="7" t="str">
        <f t="shared" si="4"/>
        <v>89/07/27</v>
      </c>
      <c r="P16" s="7" t="str">
        <f t="shared" si="2"/>
        <v>اختتام</v>
      </c>
    </row>
    <row r="17" spans="1:16">
      <c r="A17" s="7" t="str">
        <f t="shared" si="0"/>
        <v xml:space="preserve">  مبتکران تجارت آفتاب ص</v>
      </c>
      <c r="B17" s="7">
        <v>51344</v>
      </c>
      <c r="C17" s="7" t="str">
        <f>"قير 60/70 - فله"</f>
        <v>قير 60/70 - فله</v>
      </c>
      <c r="D17" s="7" t="s">
        <v>59</v>
      </c>
      <c r="E17" s="7" t="str">
        <f>"89/11/10"</f>
        <v>89/11/10</v>
      </c>
      <c r="F17" s="7">
        <v>4125.66</v>
      </c>
      <c r="G17" s="10">
        <v>300000</v>
      </c>
      <c r="H17" s="10">
        <v>300000</v>
      </c>
      <c r="I17" s="10">
        <v>0</v>
      </c>
      <c r="J17" s="10">
        <v>0</v>
      </c>
      <c r="K17" s="18">
        <f t="shared" si="5"/>
        <v>300000</v>
      </c>
      <c r="L17" s="11">
        <f t="shared" si="1"/>
        <v>37130940</v>
      </c>
      <c r="M17" s="7" t="str">
        <f>"تعاوني جم گستر (1001 ج 89)"</f>
        <v>تعاوني جم گستر (1001 ج 89)</v>
      </c>
      <c r="N17" s="7" t="str">
        <f>"258/5088/مص/ستاره"</f>
        <v>258/5088/مص/ستاره</v>
      </c>
      <c r="O17" s="7" t="str">
        <f>"89/11/06"</f>
        <v>89/11/06</v>
      </c>
      <c r="P17" s="7" t="str">
        <f t="shared" si="2"/>
        <v>اختتام</v>
      </c>
    </row>
    <row r="18" spans="1:16">
      <c r="A18" s="7" t="str">
        <f t="shared" si="0"/>
        <v xml:space="preserve">  مبتکران تجارت آفتاب ص</v>
      </c>
      <c r="B18" s="7">
        <v>51364</v>
      </c>
      <c r="C18" s="7" t="str">
        <f>"قير 85/100 - فله"</f>
        <v>قير 85/100 - فله</v>
      </c>
      <c r="D18" s="7" t="s">
        <v>34</v>
      </c>
      <c r="E18" s="7" t="str">
        <f>"89/11/17"</f>
        <v>89/11/17</v>
      </c>
      <c r="F18" s="7">
        <v>4216.68</v>
      </c>
      <c r="G18" s="10">
        <v>500000</v>
      </c>
      <c r="H18" s="10">
        <v>500000</v>
      </c>
      <c r="I18" s="10">
        <v>0</v>
      </c>
      <c r="J18" s="10">
        <v>491500</v>
      </c>
      <c r="K18" s="18">
        <f t="shared" si="5"/>
        <v>8500</v>
      </c>
      <c r="L18" s="11">
        <f t="shared" si="1"/>
        <v>1075253.3999999999</v>
      </c>
      <c r="M18" s="7" t="str">
        <f>"معماريان محمد(1023ج89)"</f>
        <v>معماريان محمد(1023ج89)</v>
      </c>
      <c r="N18" s="7" t="str">
        <f>"258/5731/مص/ستاره"</f>
        <v>258/5731/مص/ستاره</v>
      </c>
      <c r="O18" s="7" t="str">
        <f>"89/11/12"</f>
        <v>89/11/12</v>
      </c>
      <c r="P18" s="7" t="str">
        <f t="shared" si="2"/>
        <v>اختتام</v>
      </c>
    </row>
    <row r="19" spans="1:16">
      <c r="A19" s="7" t="str">
        <f t="shared" si="0"/>
        <v xml:space="preserve">  مبتکران تجارت آفتاب ص</v>
      </c>
      <c r="B19" s="7">
        <v>51371</v>
      </c>
      <c r="C19" s="7" t="str">
        <f>"قير 60/70 - فله"</f>
        <v>قير 60/70 - فله</v>
      </c>
      <c r="D19" s="7" t="s">
        <v>63</v>
      </c>
      <c r="E19" s="7" t="str">
        <f>"89/11/19"</f>
        <v>89/11/19</v>
      </c>
      <c r="F19" s="7">
        <v>4216.68</v>
      </c>
      <c r="G19" s="10">
        <v>230000</v>
      </c>
      <c r="H19" s="10">
        <v>229600</v>
      </c>
      <c r="I19" s="10">
        <v>400</v>
      </c>
      <c r="J19" s="10">
        <v>0</v>
      </c>
      <c r="K19" s="18">
        <f t="shared" si="5"/>
        <v>229600</v>
      </c>
      <c r="L19" s="11">
        <f t="shared" si="1"/>
        <v>29044491.840000004</v>
      </c>
      <c r="M19" s="7" t="str">
        <f>"تعاوني جم گستر (1001 ج 89)"</f>
        <v>تعاوني جم گستر (1001 ج 89)</v>
      </c>
      <c r="N19" s="7" t="str">
        <f>"258/5730/مص/ستاره"</f>
        <v>258/5730/مص/ستاره</v>
      </c>
      <c r="O19" s="7" t="str">
        <f>"89/11/12"</f>
        <v>89/11/12</v>
      </c>
      <c r="P19" s="7" t="str">
        <f t="shared" si="2"/>
        <v>اختتام</v>
      </c>
    </row>
    <row r="20" spans="1:16">
      <c r="A20" s="7" t="str">
        <f t="shared" si="0"/>
        <v xml:space="preserve">  مبتکران تجارت آفتاب ص</v>
      </c>
      <c r="B20" s="7">
        <v>51372</v>
      </c>
      <c r="C20" s="7" t="str">
        <f>"قير 85/100 - فله"</f>
        <v>قير 85/100 - فله</v>
      </c>
      <c r="D20" s="7" t="s">
        <v>64</v>
      </c>
      <c r="E20" s="7" t="str">
        <f>"89/11/19"</f>
        <v>89/11/19</v>
      </c>
      <c r="F20" s="7">
        <v>4216.68</v>
      </c>
      <c r="G20" s="10">
        <v>270000</v>
      </c>
      <c r="H20" s="10">
        <v>270000</v>
      </c>
      <c r="I20" s="10">
        <v>0</v>
      </c>
      <c r="J20" s="10">
        <v>0</v>
      </c>
      <c r="K20" s="18">
        <f t="shared" si="5"/>
        <v>270000</v>
      </c>
      <c r="L20" s="11">
        <f t="shared" si="1"/>
        <v>34155108</v>
      </c>
      <c r="M20" s="7" t="str">
        <f>"معماريان محمد(1023ج89)"</f>
        <v>معماريان محمد(1023ج89)</v>
      </c>
      <c r="N20" s="7" t="str">
        <f>"258/5730/مص/خبرگان"</f>
        <v>258/5730/مص/خبرگان</v>
      </c>
      <c r="O20" s="7" t="str">
        <f>"89/11/12"</f>
        <v>89/11/12</v>
      </c>
      <c r="P20" s="7" t="str">
        <f t="shared" si="2"/>
        <v>اختتام</v>
      </c>
    </row>
    <row r="21" spans="1:16">
      <c r="A21" s="7" t="str">
        <f t="shared" si="0"/>
        <v xml:space="preserve">  مبتکران تجارت آفتاب ص</v>
      </c>
      <c r="B21" s="7">
        <v>51410</v>
      </c>
      <c r="C21" s="7" t="str">
        <f>"قير 60/70 - فله"</f>
        <v>قير 60/70 - فله</v>
      </c>
      <c r="D21" s="7" t="s">
        <v>56</v>
      </c>
      <c r="E21" s="7" t="str">
        <f>"89/11/27"</f>
        <v>89/11/27</v>
      </c>
      <c r="F21" s="7">
        <v>4216.68</v>
      </c>
      <c r="G21" s="10">
        <v>550000</v>
      </c>
      <c r="H21" s="10">
        <v>549920</v>
      </c>
      <c r="I21" s="10">
        <v>80</v>
      </c>
      <c r="J21" s="10">
        <v>0</v>
      </c>
      <c r="K21" s="18">
        <f t="shared" si="5"/>
        <v>549920</v>
      </c>
      <c r="L21" s="11">
        <f t="shared" si="1"/>
        <v>69565099.96800001</v>
      </c>
      <c r="M21" s="7" t="str">
        <f>"سيفي پور گودرز(1019ج89)"</f>
        <v>سيفي پور گودرز(1019ج89)</v>
      </c>
      <c r="N21" s="7" t="str">
        <f>"258/5732/مص/ستاره"</f>
        <v>258/5732/مص/ستاره</v>
      </c>
      <c r="O21" s="7" t="str">
        <f>"89/11/12"</f>
        <v>89/11/12</v>
      </c>
      <c r="P21" s="7" t="str">
        <f t="shared" si="2"/>
        <v>اختتام</v>
      </c>
    </row>
    <row r="22" spans="1:16">
      <c r="A22" s="7" t="str">
        <f t="shared" si="0"/>
        <v xml:space="preserve">  مبتکران تجارت آفتاب ص</v>
      </c>
      <c r="B22" s="7">
        <v>51480</v>
      </c>
      <c r="C22" s="7" t="str">
        <f>"قير 85/100 - فله"</f>
        <v>قير 85/100 - فله</v>
      </c>
      <c r="D22" s="7" t="s">
        <v>49</v>
      </c>
      <c r="E22" s="7" t="str">
        <f>"89/12/14"</f>
        <v>89/12/14</v>
      </c>
      <c r="F22" s="7">
        <v>3978.9749999999999</v>
      </c>
      <c r="G22" s="10">
        <v>300000</v>
      </c>
      <c r="H22" s="10">
        <v>299700</v>
      </c>
      <c r="I22" s="10">
        <v>300</v>
      </c>
      <c r="J22" s="10">
        <v>300000</v>
      </c>
      <c r="K22" s="18">
        <v>0</v>
      </c>
      <c r="L22" s="11">
        <f t="shared" si="1"/>
        <v>0</v>
      </c>
      <c r="M22" s="7" t="str">
        <f>"معماريان محمد(1023ج89)"</f>
        <v>معماريان محمد(1023ج89)</v>
      </c>
      <c r="N22" s="7" t="str">
        <f>"258/5729/مص/ستاره"</f>
        <v>258/5729/مص/ستاره</v>
      </c>
      <c r="O22" s="7" t="str">
        <f>"89/11/12"</f>
        <v>89/11/12</v>
      </c>
      <c r="P22" s="7" t="str">
        <f t="shared" si="2"/>
        <v>اختتام</v>
      </c>
    </row>
    <row r="23" spans="1:16">
      <c r="A23" s="7" t="str">
        <f t="shared" si="0"/>
        <v xml:space="preserve">  مبتکران تجارت آفتاب ص</v>
      </c>
      <c r="B23" s="7">
        <v>50145</v>
      </c>
      <c r="C23" s="7" t="str">
        <f>"قير 60/70 - فله"</f>
        <v>قير 60/70 - فله</v>
      </c>
      <c r="D23" s="7" t="s">
        <v>52</v>
      </c>
      <c r="E23" s="7" t="str">
        <f>"90/02/20"</f>
        <v>90/02/20</v>
      </c>
      <c r="F23" s="7">
        <v>5256350</v>
      </c>
      <c r="G23" s="10">
        <v>450000</v>
      </c>
      <c r="H23" s="10">
        <v>449750</v>
      </c>
      <c r="I23" s="10">
        <v>250</v>
      </c>
      <c r="J23" s="10">
        <v>450000</v>
      </c>
      <c r="K23" s="18">
        <v>0</v>
      </c>
      <c r="L23" s="11">
        <f t="shared" si="1"/>
        <v>0</v>
      </c>
      <c r="M23" s="7" t="str">
        <f>"رئيسي حسين(1005ج89)"</f>
        <v>رئيسي حسين(1005ج89)</v>
      </c>
      <c r="N23" s="7" t="str">
        <f>"مص/2582937/2939"</f>
        <v>مص/2582937/2939</v>
      </c>
      <c r="O23" s="7" t="str">
        <f>"90/01/30"</f>
        <v>90/01/30</v>
      </c>
      <c r="P23" s="7" t="str">
        <f t="shared" si="2"/>
        <v>اختتام</v>
      </c>
    </row>
    <row r="24" spans="1:16">
      <c r="A24" s="7" t="str">
        <f t="shared" si="0"/>
        <v xml:space="preserve">  مبتکران تجارت آفتاب ص</v>
      </c>
      <c r="B24" s="7">
        <v>50144</v>
      </c>
      <c r="C24" s="7" t="str">
        <f>"قير 85/100 - فله"</f>
        <v>قير 85/100 - فله</v>
      </c>
      <c r="D24" s="7" t="s">
        <v>55</v>
      </c>
      <c r="E24" s="7" t="str">
        <f>"90/02/20"</f>
        <v>90/02/20</v>
      </c>
      <c r="F24" s="7">
        <v>5256.35</v>
      </c>
      <c r="G24" s="10">
        <v>400000</v>
      </c>
      <c r="H24" s="10">
        <v>399960</v>
      </c>
      <c r="I24" s="10">
        <v>40</v>
      </c>
      <c r="J24" s="10">
        <v>270000</v>
      </c>
      <c r="K24" s="18">
        <f>H24-J24</f>
        <v>129960</v>
      </c>
      <c r="L24" s="11">
        <f>K24*F24*0.04</f>
        <v>27324609.84</v>
      </c>
      <c r="M24" s="7" t="str">
        <f>"بريانيان ايمان (1027ج89)"</f>
        <v>بريانيان ايمان (1027ج89)</v>
      </c>
      <c r="N24" s="7" t="str">
        <f>"258/2933/2936مص"</f>
        <v>258/2933/2936مص</v>
      </c>
      <c r="O24" s="7" t="str">
        <f>"90/01/30"</f>
        <v>90/01/30</v>
      </c>
      <c r="P24" s="7" t="str">
        <f t="shared" si="2"/>
        <v>اختتام</v>
      </c>
    </row>
    <row r="25" spans="1:16">
      <c r="A25" s="7" t="str">
        <f t="shared" si="0"/>
        <v xml:space="preserve">  مبتکران تجارت آفتاب ص</v>
      </c>
      <c r="B25" s="7">
        <v>50372</v>
      </c>
      <c r="C25" s="7" t="str">
        <f>"قير 60/70 - فله"</f>
        <v>قير 60/70 - فله</v>
      </c>
      <c r="D25" s="7" t="s">
        <v>53</v>
      </c>
      <c r="E25" s="7" t="str">
        <f>"90/04/14"</f>
        <v>90/04/14</v>
      </c>
      <c r="F25" s="7">
        <v>5925.96</v>
      </c>
      <c r="G25" s="10">
        <v>270000</v>
      </c>
      <c r="H25" s="10">
        <v>269750</v>
      </c>
      <c r="I25" s="10">
        <v>250</v>
      </c>
      <c r="J25" s="10">
        <v>270000</v>
      </c>
      <c r="K25" s="18">
        <v>0</v>
      </c>
      <c r="L25" s="11">
        <f>K25*F25*0.03</f>
        <v>0</v>
      </c>
      <c r="M25" s="7" t="str">
        <f>"رئيسي حسين(1005ج89)"</f>
        <v>رئيسي حسين(1005ج89)</v>
      </c>
      <c r="N25" s="7" t="str">
        <f>"258/2034/مص"</f>
        <v>258/2034/مص</v>
      </c>
      <c r="O25" s="7" t="str">
        <f>"90/04/14"</f>
        <v>90/04/14</v>
      </c>
      <c r="P25" s="7" t="str">
        <f t="shared" si="2"/>
        <v>اختتام</v>
      </c>
    </row>
    <row r="26" spans="1:16" ht="19.5">
      <c r="A26" s="15" t="s">
        <v>84</v>
      </c>
      <c r="B26" s="16"/>
      <c r="C26" s="16"/>
      <c r="D26" s="16"/>
      <c r="E26" s="16"/>
      <c r="F26" s="17"/>
      <c r="G26" s="12">
        <f>SUM(G2:G25)</f>
        <v>10080000</v>
      </c>
      <c r="H26" s="12">
        <f t="shared" ref="H26:L26" si="6">SUM(H2:H25)</f>
        <v>10058135</v>
      </c>
      <c r="I26" s="12">
        <f t="shared" si="6"/>
        <v>21865</v>
      </c>
      <c r="J26" s="12">
        <f t="shared" si="6"/>
        <v>5877490</v>
      </c>
      <c r="K26" s="12">
        <f t="shared" si="6"/>
        <v>4185500</v>
      </c>
      <c r="L26" s="12">
        <f t="shared" si="6"/>
        <v>518352903.59399998</v>
      </c>
    </row>
  </sheetData>
  <autoFilter ref="B1:P25" xr:uid="{E240A239-BD68-4C7C-8826-A52C37170F8C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DE75D-98F6-440A-9539-8487FA3950B2}">
  <dimension ref="A1:F30"/>
  <sheetViews>
    <sheetView rightToLeft="1" workbookViewId="0">
      <selection activeCell="F1" sqref="F1:F1048576"/>
    </sheetView>
  </sheetViews>
  <sheetFormatPr defaultRowHeight="14.25"/>
  <cols>
    <col min="1" max="1" width="15.625" style="5" customWidth="1"/>
    <col min="2" max="2" width="9.875" style="5" customWidth="1"/>
    <col min="3" max="3" width="13.875" style="5" customWidth="1"/>
    <col min="4" max="4" width="9.375" style="5" customWidth="1"/>
    <col min="5" max="5" width="9.375" customWidth="1"/>
    <col min="6" max="6" width="13.125" style="6" customWidth="1"/>
  </cols>
  <sheetData>
    <row r="1" spans="1:6" ht="21">
      <c r="A1" s="1" t="s">
        <v>66</v>
      </c>
      <c r="B1" s="1" t="s">
        <v>67</v>
      </c>
      <c r="C1" s="1" t="s">
        <v>1</v>
      </c>
      <c r="D1" s="1" t="s">
        <v>12</v>
      </c>
      <c r="E1" s="1" t="s">
        <v>13</v>
      </c>
      <c r="F1" s="2" t="s">
        <v>14</v>
      </c>
    </row>
    <row r="2" spans="1:6" ht="18.75">
      <c r="A2" s="3">
        <v>2303039</v>
      </c>
      <c r="B2" s="3" t="s">
        <v>20</v>
      </c>
      <c r="C2" s="3" t="s">
        <v>23</v>
      </c>
      <c r="D2" s="3" t="s">
        <v>24</v>
      </c>
      <c r="E2" s="3" t="str">
        <f t="shared" ref="E2:E3" si="0">MID(D2,1,2)</f>
        <v>89</v>
      </c>
      <c r="F2" s="4">
        <v>6000</v>
      </c>
    </row>
    <row r="3" spans="1:6" ht="18.75">
      <c r="A3" s="3">
        <v>2396395</v>
      </c>
      <c r="B3" s="3" t="s">
        <v>21</v>
      </c>
      <c r="C3" s="3" t="s">
        <v>23</v>
      </c>
      <c r="D3" s="3" t="s">
        <v>24</v>
      </c>
      <c r="E3" s="3" t="str">
        <f t="shared" si="0"/>
        <v>89</v>
      </c>
      <c r="F3" s="4">
        <v>4500</v>
      </c>
    </row>
    <row r="4" spans="1:6" ht="18.75">
      <c r="A4" s="3">
        <v>1883859</v>
      </c>
      <c r="B4" s="3" t="s">
        <v>19</v>
      </c>
      <c r="C4" s="3" t="s">
        <v>25</v>
      </c>
      <c r="D4" s="3" t="s">
        <v>24</v>
      </c>
      <c r="E4" s="3" t="str">
        <f t="shared" ref="E4" si="1">MID(D4,1,2)</f>
        <v>89</v>
      </c>
      <c r="F4" s="4">
        <v>87690</v>
      </c>
    </row>
    <row r="5" spans="1:6" ht="18.75">
      <c r="A5" s="3">
        <v>2170366</v>
      </c>
      <c r="B5" s="3" t="s">
        <v>31</v>
      </c>
      <c r="C5" s="3" t="s">
        <v>30</v>
      </c>
      <c r="D5" s="3" t="s">
        <v>26</v>
      </c>
      <c r="E5" s="3" t="str">
        <f t="shared" ref="E5" si="2">MID(D5,1,2)</f>
        <v>89</v>
      </c>
      <c r="F5" s="4">
        <v>90700</v>
      </c>
    </row>
    <row r="6" spans="1:6" ht="18.75">
      <c r="A6" s="3">
        <v>2173916</v>
      </c>
      <c r="B6" s="3" t="s">
        <v>77</v>
      </c>
      <c r="C6" s="3" t="s">
        <v>30</v>
      </c>
      <c r="D6" s="3" t="s">
        <v>26</v>
      </c>
      <c r="E6" s="3" t="str">
        <f t="shared" ref="E6" si="3">MID(D6,1,2)</f>
        <v>89</v>
      </c>
      <c r="F6" s="4">
        <v>28050</v>
      </c>
    </row>
    <row r="7" spans="1:6" ht="18.75">
      <c r="A7" s="3">
        <v>2269285</v>
      </c>
      <c r="B7" s="3" t="s">
        <v>18</v>
      </c>
      <c r="C7" s="3" t="s">
        <v>30</v>
      </c>
      <c r="D7" s="3" t="s">
        <v>26</v>
      </c>
      <c r="E7" s="3" t="str">
        <f t="shared" ref="E7" si="4">MID(D7,1,2)</f>
        <v>89</v>
      </c>
      <c r="F7" s="4">
        <v>21000</v>
      </c>
    </row>
    <row r="8" spans="1:6" ht="18.75">
      <c r="A8" s="3">
        <v>2274464</v>
      </c>
      <c r="B8" s="3" t="s">
        <v>78</v>
      </c>
      <c r="C8" s="3" t="s">
        <v>34</v>
      </c>
      <c r="D8" s="3" t="s">
        <v>33</v>
      </c>
      <c r="E8" s="3" t="str">
        <f t="shared" ref="E8" si="5">MID(D8,1,2)</f>
        <v>89</v>
      </c>
      <c r="F8" s="4">
        <v>22300</v>
      </c>
    </row>
    <row r="9" spans="1:6" ht="18.75">
      <c r="A9" s="3">
        <v>2303812</v>
      </c>
      <c r="B9" s="3" t="s">
        <v>48</v>
      </c>
      <c r="C9" s="3" t="s">
        <v>23</v>
      </c>
      <c r="D9" s="3" t="s">
        <v>24</v>
      </c>
      <c r="E9" s="3" t="str">
        <f t="shared" ref="E9" si="6">MID(D9,1,2)</f>
        <v>89</v>
      </c>
      <c r="F9" s="4">
        <v>50000</v>
      </c>
    </row>
    <row r="10" spans="1:6" ht="18.75">
      <c r="A10" s="3">
        <v>2472460</v>
      </c>
      <c r="B10" s="3" t="s">
        <v>79</v>
      </c>
      <c r="C10" s="3" t="s">
        <v>25</v>
      </c>
      <c r="D10" s="3" t="s">
        <v>24</v>
      </c>
      <c r="E10" s="3" t="str">
        <f t="shared" ref="E10" si="7">MID(D10,1,2)</f>
        <v>89</v>
      </c>
      <c r="F10" s="4">
        <v>76200</v>
      </c>
    </row>
    <row r="11" spans="1:6" ht="18.75">
      <c r="A11" s="3">
        <v>1828861</v>
      </c>
      <c r="B11" s="3" t="s">
        <v>28</v>
      </c>
      <c r="C11" s="3" t="s">
        <v>41</v>
      </c>
      <c r="D11" s="3" t="s">
        <v>16</v>
      </c>
      <c r="E11" s="3" t="str">
        <f t="shared" ref="E11" si="8">MID(D11,1,2)</f>
        <v>88</v>
      </c>
      <c r="F11" s="4">
        <v>340000</v>
      </c>
    </row>
    <row r="12" spans="1:6" ht="18.75">
      <c r="A12" s="3">
        <v>1881352</v>
      </c>
      <c r="B12" s="3" t="s">
        <v>68</v>
      </c>
      <c r="C12" s="3" t="s">
        <v>42</v>
      </c>
      <c r="D12" s="3" t="s">
        <v>29</v>
      </c>
      <c r="E12" s="3" t="str">
        <f t="shared" ref="E12:E13" si="9">MID(D12,1,2)</f>
        <v>89</v>
      </c>
      <c r="F12" s="4">
        <v>598400</v>
      </c>
    </row>
    <row r="13" spans="1:6" ht="18.75">
      <c r="A13" s="3">
        <v>1881843</v>
      </c>
      <c r="B13" s="3" t="s">
        <v>17</v>
      </c>
      <c r="C13" s="3" t="s">
        <v>43</v>
      </c>
      <c r="D13" s="3" t="s">
        <v>15</v>
      </c>
      <c r="E13" s="3" t="str">
        <f t="shared" si="9"/>
        <v>89</v>
      </c>
      <c r="F13" s="4">
        <v>400000</v>
      </c>
    </row>
    <row r="14" spans="1:6" ht="18.75">
      <c r="A14" s="3">
        <v>1883188</v>
      </c>
      <c r="B14" s="3" t="s">
        <v>36</v>
      </c>
      <c r="C14" s="3" t="s">
        <v>23</v>
      </c>
      <c r="D14" s="3" t="s">
        <v>24</v>
      </c>
      <c r="E14" s="3" t="str">
        <f t="shared" ref="E14" si="10">MID(D14,1,2)</f>
        <v>89</v>
      </c>
      <c r="F14" s="4">
        <v>194500</v>
      </c>
    </row>
    <row r="15" spans="1:6" ht="18.75">
      <c r="A15" s="3">
        <v>1888243</v>
      </c>
      <c r="B15" s="3" t="s">
        <v>76</v>
      </c>
      <c r="C15" s="3" t="s">
        <v>44</v>
      </c>
      <c r="D15" s="3" t="s">
        <v>37</v>
      </c>
      <c r="E15" s="3" t="str">
        <f t="shared" ref="E15" si="11">MID(D15,1,2)</f>
        <v>89</v>
      </c>
      <c r="F15" s="4">
        <v>500000</v>
      </c>
    </row>
    <row r="16" spans="1:6" ht="18.75">
      <c r="A16" s="3">
        <v>2171656</v>
      </c>
      <c r="B16" s="3" t="s">
        <v>27</v>
      </c>
      <c r="C16" s="3" t="s">
        <v>30</v>
      </c>
      <c r="D16" s="3" t="s">
        <v>26</v>
      </c>
      <c r="E16" s="3" t="str">
        <f t="shared" ref="E16" si="12">MID(D16,1,2)</f>
        <v>89</v>
      </c>
      <c r="F16" s="4">
        <v>132950</v>
      </c>
    </row>
    <row r="17" spans="1:6" ht="18.75">
      <c r="A17" s="3">
        <v>2232900</v>
      </c>
      <c r="B17" s="3" t="s">
        <v>69</v>
      </c>
      <c r="C17" s="3" t="s">
        <v>45</v>
      </c>
      <c r="D17" s="3" t="s">
        <v>46</v>
      </c>
      <c r="E17" s="3" t="str">
        <f t="shared" ref="E17" si="13">MID(D17,1,2)</f>
        <v>89</v>
      </c>
      <c r="F17" s="4">
        <v>500000</v>
      </c>
    </row>
    <row r="18" spans="1:6" ht="18.75">
      <c r="A18" s="3">
        <v>2236917</v>
      </c>
      <c r="B18" s="3" t="s">
        <v>47</v>
      </c>
      <c r="C18" s="3" t="s">
        <v>23</v>
      </c>
      <c r="D18" s="3" t="s">
        <v>24</v>
      </c>
      <c r="E18" s="3" t="str">
        <f t="shared" ref="E18" si="14">MID(D18,1,2)</f>
        <v>89</v>
      </c>
      <c r="F18" s="4">
        <v>140000</v>
      </c>
    </row>
    <row r="19" spans="1:6" ht="18.75">
      <c r="A19" s="3">
        <v>2269084</v>
      </c>
      <c r="B19" s="3" t="s">
        <v>35</v>
      </c>
      <c r="C19" s="3" t="s">
        <v>30</v>
      </c>
      <c r="D19" s="3" t="s">
        <v>26</v>
      </c>
      <c r="E19" s="3" t="str">
        <f t="shared" ref="E19" si="15">MID(D19,1,2)</f>
        <v>89</v>
      </c>
      <c r="F19" s="4">
        <v>186300</v>
      </c>
    </row>
    <row r="20" spans="1:6" ht="18.75">
      <c r="A20" s="3">
        <v>2273849</v>
      </c>
      <c r="B20" s="3" t="s">
        <v>72</v>
      </c>
      <c r="C20" s="3" t="s">
        <v>34</v>
      </c>
      <c r="D20" s="3" t="s">
        <v>33</v>
      </c>
      <c r="E20" s="3" t="str">
        <f t="shared" ref="E20" si="16">MID(D20,1,2)</f>
        <v>89</v>
      </c>
      <c r="F20" s="4">
        <v>253800</v>
      </c>
    </row>
    <row r="21" spans="1:6" ht="18.75">
      <c r="A21" s="3">
        <v>2273920</v>
      </c>
      <c r="B21" s="3" t="s">
        <v>71</v>
      </c>
      <c r="C21" s="3" t="s">
        <v>34</v>
      </c>
      <c r="D21" s="3" t="s">
        <v>33</v>
      </c>
      <c r="E21" s="3" t="str">
        <f t="shared" ref="E21:E23" si="17">MID(D21,1,2)</f>
        <v>89</v>
      </c>
      <c r="F21" s="4">
        <v>109900</v>
      </c>
    </row>
    <row r="22" spans="1:6" ht="18.75">
      <c r="A22" s="3">
        <v>2273923</v>
      </c>
      <c r="B22" s="3" t="s">
        <v>71</v>
      </c>
      <c r="C22" s="3" t="s">
        <v>34</v>
      </c>
      <c r="D22" s="3" t="s">
        <v>33</v>
      </c>
      <c r="E22" s="3" t="str">
        <f t="shared" si="17"/>
        <v>89</v>
      </c>
      <c r="F22" s="4">
        <v>105500</v>
      </c>
    </row>
    <row r="23" spans="1:6" ht="18.75">
      <c r="A23" s="3">
        <v>2301373</v>
      </c>
      <c r="B23" s="3" t="s">
        <v>32</v>
      </c>
      <c r="C23" s="3" t="s">
        <v>23</v>
      </c>
      <c r="D23" s="3" t="s">
        <v>24</v>
      </c>
      <c r="E23" s="3" t="str">
        <f t="shared" si="17"/>
        <v>89</v>
      </c>
      <c r="F23" s="4">
        <v>120000</v>
      </c>
    </row>
    <row r="24" spans="1:6" ht="18.75">
      <c r="A24" s="3">
        <v>2396186</v>
      </c>
      <c r="B24" s="3" t="s">
        <v>70</v>
      </c>
      <c r="C24" s="3" t="s">
        <v>49</v>
      </c>
      <c r="D24" s="3" t="s">
        <v>22</v>
      </c>
      <c r="E24" s="3" t="str">
        <f t="shared" ref="E24" si="18">MID(D24,1,2)</f>
        <v>89</v>
      </c>
      <c r="F24" s="4">
        <v>300000</v>
      </c>
    </row>
    <row r="25" spans="1:6" ht="18.75">
      <c r="A25" s="3">
        <v>2397482</v>
      </c>
      <c r="B25" s="3" t="s">
        <v>40</v>
      </c>
      <c r="C25" s="3" t="s">
        <v>50</v>
      </c>
      <c r="D25" s="3" t="s">
        <v>51</v>
      </c>
      <c r="E25" s="3" t="str">
        <f t="shared" ref="E25" si="19">MID(D25,1,2)</f>
        <v>89</v>
      </c>
      <c r="F25" s="4">
        <v>500000</v>
      </c>
    </row>
    <row r="26" spans="1:6" ht="18.75">
      <c r="A26" s="3">
        <v>2425503</v>
      </c>
      <c r="B26" s="3" t="s">
        <v>38</v>
      </c>
      <c r="C26" s="3" t="s">
        <v>25</v>
      </c>
      <c r="D26" s="3" t="s">
        <v>24</v>
      </c>
      <c r="E26" s="3" t="str">
        <f t="shared" ref="E26" si="20">MID(D26,1,2)</f>
        <v>89</v>
      </c>
      <c r="F26" s="4">
        <v>119700</v>
      </c>
    </row>
    <row r="27" spans="1:6" ht="18.75">
      <c r="A27" s="3">
        <v>2445885</v>
      </c>
      <c r="B27" s="3" t="s">
        <v>80</v>
      </c>
      <c r="C27" s="3" t="s">
        <v>52</v>
      </c>
      <c r="D27" s="3" t="s">
        <v>39</v>
      </c>
      <c r="E27" s="3" t="str">
        <f t="shared" ref="E27:E28" si="21">MID(D27,1,2)</f>
        <v>90</v>
      </c>
      <c r="F27" s="4">
        <v>200000</v>
      </c>
    </row>
    <row r="28" spans="1:6" ht="18.75">
      <c r="A28" s="3">
        <v>2446247</v>
      </c>
      <c r="B28" s="3" t="s">
        <v>73</v>
      </c>
      <c r="C28" s="3" t="s">
        <v>52</v>
      </c>
      <c r="D28" s="3" t="s">
        <v>39</v>
      </c>
      <c r="E28" s="3" t="str">
        <f t="shared" si="21"/>
        <v>90</v>
      </c>
      <c r="F28" s="4">
        <v>250000</v>
      </c>
    </row>
    <row r="29" spans="1:6" ht="18.75">
      <c r="A29" s="3">
        <v>2558775</v>
      </c>
      <c r="B29" s="3" t="s">
        <v>74</v>
      </c>
      <c r="C29" s="3" t="s">
        <v>53</v>
      </c>
      <c r="D29" s="3" t="s">
        <v>54</v>
      </c>
      <c r="E29" s="3" t="str">
        <f t="shared" ref="E29:E30" si="22">MID(D29,1,2)</f>
        <v>90</v>
      </c>
      <c r="F29" s="4">
        <v>270000</v>
      </c>
    </row>
    <row r="30" spans="1:6" ht="18.75">
      <c r="A30" s="3">
        <v>2558998</v>
      </c>
      <c r="B30" s="3" t="s">
        <v>75</v>
      </c>
      <c r="C30" s="3" t="s">
        <v>55</v>
      </c>
      <c r="D30" s="3" t="s">
        <v>39</v>
      </c>
      <c r="E30" s="3" t="str">
        <f t="shared" si="22"/>
        <v>90</v>
      </c>
      <c r="F30" s="4">
        <v>270000</v>
      </c>
    </row>
  </sheetData>
  <autoFilter ref="A1:F30" xr:uid="{C45DE75D-98F6-440A-9539-8487FA3950B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</vt:lpstr>
      <vt:lpstr>Sheet1</vt:lpstr>
      <vt:lpstr>'1'!_FilterDatabase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Abdorrahman Soheili</cp:lastModifiedBy>
  <dcterms:created xsi:type="dcterms:W3CDTF">2024-11-19T09:34:16Z</dcterms:created>
  <dcterms:modified xsi:type="dcterms:W3CDTF">2024-12-08T10:50:01Z</dcterms:modified>
</cp:coreProperties>
</file>