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xr:revisionPtr revIDLastSave="0" documentId="13_ncr:1_{B59053AA-51CD-4E5F-924F-A2FFCEF0D163}" xr6:coauthVersionLast="45" xr6:coauthVersionMax="47" xr10:uidLastSave="{00000000-0000-0000-0000-000000000000}"/>
  <bookViews>
    <workbookView xWindow="0" yWindow="744" windowWidth="19200" windowHeight="10056" xr2:uid="{00000000-000D-0000-FFFF-FFFF00000000}"/>
  </bookViews>
  <sheets>
    <sheet name="1402" sheetId="1" r:id="rId1"/>
  </sheets>
  <definedNames>
    <definedName name="_xlnm._FilterDatabase" localSheetId="0" hidden="1">'1402'!$A$1:$H$115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112" i="1" l="1"/>
  <c r="E124" i="1" l="1"/>
  <c r="G124" i="1" l="1"/>
  <c r="G123" i="1" l="1"/>
  <c r="E119" i="1" l="1"/>
  <c r="G119" i="1" s="1"/>
  <c r="E118" i="1" l="1"/>
  <c r="G118" i="1" s="1"/>
  <c r="E122" i="1" l="1"/>
  <c r="G122" i="1" s="1"/>
  <c r="G121" i="1"/>
  <c r="G120" i="1" l="1"/>
  <c r="E117" i="1" l="1"/>
  <c r="G117" i="1" s="1"/>
  <c r="E116" i="1" l="1"/>
  <c r="G116" i="1" s="1"/>
  <c r="E115" i="1" l="1"/>
  <c r="G115" i="1" s="1"/>
  <c r="H99" i="1" l="1"/>
  <c r="G111" i="1"/>
  <c r="E114" i="1" l="1"/>
  <c r="G114" i="1" s="1"/>
  <c r="E113" i="1" l="1"/>
  <c r="G113" i="1" s="1"/>
  <c r="E112" i="1" l="1"/>
  <c r="G112" i="1" s="1"/>
  <c r="E110" i="1"/>
  <c r="G110" i="1" s="1"/>
  <c r="E109" i="1"/>
  <c r="G109" i="1" s="1"/>
  <c r="G106" i="1" l="1"/>
  <c r="E104" i="1" l="1"/>
  <c r="G104" i="1" s="1"/>
  <c r="E108" i="1" l="1"/>
  <c r="G108" i="1" s="1"/>
  <c r="E107" i="1" l="1"/>
  <c r="G107" i="1" s="1"/>
  <c r="E105" i="1" l="1"/>
  <c r="G105" i="1" s="1"/>
  <c r="E103" i="1" l="1"/>
  <c r="G103" i="1" s="1"/>
  <c r="G101" i="1" l="1"/>
  <c r="E102" i="1" l="1"/>
  <c r="G102" i="1" s="1"/>
  <c r="E100" i="1" l="1"/>
  <c r="G100" i="1" s="1"/>
  <c r="E99" i="1"/>
  <c r="G99" i="1" s="1"/>
  <c r="G98" i="1" l="1"/>
  <c r="E97" i="1" l="1"/>
  <c r="G97" i="1" s="1"/>
  <c r="E96" i="1"/>
  <c r="G96" i="1" s="1"/>
  <c r="G93" i="1" l="1"/>
  <c r="G90" i="1" l="1"/>
  <c r="E95" i="1" l="1"/>
  <c r="G95" i="1" s="1"/>
  <c r="E94" i="1"/>
  <c r="G94" i="1" s="1"/>
  <c r="E92" i="1" l="1"/>
  <c r="G92" i="1" s="1"/>
  <c r="E91" i="1" l="1"/>
  <c r="G91" i="1" s="1"/>
  <c r="E89" i="1" l="1"/>
  <c r="G89" i="1" s="1"/>
  <c r="G87" i="1" l="1"/>
  <c r="G85" i="1"/>
  <c r="G84" i="1"/>
  <c r="F88" i="1"/>
  <c r="H83" i="1" s="1"/>
  <c r="E86" i="1"/>
  <c r="G86" i="1" s="1"/>
  <c r="E88" i="1" l="1"/>
  <c r="G88" i="1" s="1"/>
  <c r="E83" i="1"/>
  <c r="G83" i="1" s="1"/>
  <c r="G82" i="1" l="1"/>
  <c r="F80" i="1"/>
  <c r="H63" i="1" s="1"/>
  <c r="E81" i="1" l="1"/>
  <c r="G81" i="1" s="1"/>
  <c r="E80" i="1"/>
  <c r="G80" i="1" s="1"/>
  <c r="G79" i="1" l="1"/>
  <c r="G72" i="1" l="1"/>
  <c r="G74" i="1"/>
  <c r="E78" i="1"/>
  <c r="G78" i="1" s="1"/>
  <c r="E77" i="1"/>
  <c r="G77" i="1" s="1"/>
  <c r="E76" i="1"/>
  <c r="G76" i="1" s="1"/>
  <c r="E75" i="1" l="1"/>
  <c r="G75" i="1" s="1"/>
  <c r="E73" i="1" l="1"/>
  <c r="G73" i="1" s="1"/>
  <c r="E71" i="1" l="1"/>
  <c r="G71" i="1" s="1"/>
  <c r="G66" i="1" l="1"/>
  <c r="G70" i="1"/>
  <c r="E69" i="1" l="1"/>
  <c r="G69" i="1" s="1"/>
  <c r="E68" i="1"/>
  <c r="G68" i="1" s="1"/>
  <c r="E67" i="1"/>
  <c r="G67" i="1" s="1"/>
  <c r="G65" i="1" l="1"/>
  <c r="E61" i="1" l="1"/>
  <c r="G61" i="1" s="1"/>
  <c r="E63" i="1"/>
  <c r="G63" i="1" s="1"/>
  <c r="E64" i="1"/>
  <c r="G64" i="1" s="1"/>
  <c r="H53" i="1"/>
  <c r="E60" i="1"/>
  <c r="G60" i="1" s="1"/>
  <c r="E62" i="1" l="1"/>
  <c r="G62" i="1" s="1"/>
  <c r="G59" i="1" l="1"/>
  <c r="E58" i="1" l="1"/>
  <c r="G58" i="1" s="1"/>
  <c r="E57" i="1" l="1"/>
  <c r="G57" i="1" s="1"/>
  <c r="E56" i="1"/>
  <c r="G56" i="1" s="1"/>
  <c r="E55" i="1"/>
  <c r="G55" i="1" s="1"/>
  <c r="E54" i="1" l="1"/>
  <c r="G54" i="1" s="1"/>
  <c r="E53" i="1" l="1"/>
  <c r="G53" i="1" s="1"/>
  <c r="F50" i="1" l="1"/>
  <c r="H47" i="1" s="1"/>
  <c r="G50" i="1" l="1"/>
  <c r="E52" i="1"/>
  <c r="G52" i="1" s="1"/>
  <c r="E51" i="1"/>
  <c r="G51" i="1" s="1"/>
  <c r="E49" i="1" l="1"/>
  <c r="G49" i="1" s="1"/>
  <c r="E48" i="1"/>
  <c r="G48" i="1" s="1"/>
  <c r="E47" i="1"/>
  <c r="G47" i="1" s="1"/>
  <c r="E46" i="1" l="1"/>
  <c r="G46" i="1" s="1"/>
  <c r="H41" i="1"/>
  <c r="E43" i="1" l="1"/>
  <c r="G43" i="1" s="1"/>
  <c r="E45" i="1" l="1"/>
  <c r="G45" i="1" s="1"/>
  <c r="E44" i="1"/>
  <c r="G44" i="1" s="1"/>
  <c r="E42" i="1" l="1"/>
  <c r="G42" i="1" s="1"/>
  <c r="E41" i="1"/>
  <c r="G41" i="1" s="1"/>
  <c r="G39" i="1" l="1"/>
  <c r="F38" i="1" l="1"/>
  <c r="G37" i="1" l="1"/>
  <c r="F36" i="1"/>
  <c r="H30" i="1" l="1"/>
  <c r="E40" i="1"/>
  <c r="G40" i="1" s="1"/>
  <c r="E38" i="1" l="1"/>
  <c r="G38" i="1" s="1"/>
  <c r="E36" i="1" l="1"/>
  <c r="G36" i="1" s="1"/>
  <c r="E35" i="1" l="1"/>
  <c r="G35" i="1" s="1"/>
  <c r="E34" i="1" l="1"/>
  <c r="G34" i="1" s="1"/>
  <c r="E33" i="1" l="1"/>
  <c r="G33" i="1" s="1"/>
  <c r="G31" i="1" l="1"/>
  <c r="E32" i="1" l="1"/>
  <c r="G32" i="1" s="1"/>
  <c r="F28" i="1" l="1"/>
  <c r="G28" i="1" l="1"/>
  <c r="H23" i="1"/>
  <c r="E30" i="1" l="1"/>
  <c r="G30" i="1" s="1"/>
  <c r="E29" i="1"/>
  <c r="G29" i="1" s="1"/>
  <c r="G25" i="1" l="1"/>
  <c r="E27" i="1" l="1"/>
  <c r="G27" i="1" s="1"/>
  <c r="H2" i="1" l="1"/>
  <c r="E26" i="1"/>
  <c r="G26" i="1" s="1"/>
  <c r="H15" i="1" l="1"/>
  <c r="E24" i="1" l="1"/>
  <c r="G24" i="1" s="1"/>
  <c r="E23" i="1"/>
  <c r="G23" i="1" s="1"/>
  <c r="G19" i="1" l="1"/>
  <c r="G18" i="1"/>
  <c r="E7" i="1"/>
  <c r="E21" i="1" l="1"/>
  <c r="G21" i="1" s="1"/>
  <c r="E20" i="1" l="1"/>
  <c r="G20" i="1" s="1"/>
  <c r="E17" i="1" l="1"/>
  <c r="G17" i="1" s="1"/>
  <c r="E16" i="1"/>
  <c r="G16" i="1" s="1"/>
  <c r="E15" i="1"/>
  <c r="G15" i="1" s="1"/>
  <c r="E14" i="1"/>
  <c r="G14" i="1" s="1"/>
  <c r="E22" i="1"/>
  <c r="G22" i="1" s="1"/>
  <c r="H6" i="1" l="1"/>
  <c r="G13" i="1" l="1"/>
  <c r="G12" i="1"/>
  <c r="G11" i="1" l="1"/>
  <c r="G10" i="1"/>
  <c r="E9" i="1" l="1"/>
  <c r="G9" i="1" s="1"/>
  <c r="E8" i="1" l="1"/>
  <c r="G8" i="1" s="1"/>
  <c r="G5" i="1" l="1"/>
  <c r="G7" i="1" l="1"/>
  <c r="E2" i="1" l="1"/>
  <c r="E6" i="1" l="1"/>
  <c r="G6" i="1" s="1"/>
  <c r="E4" i="1" l="1"/>
  <c r="G4" i="1" s="1"/>
  <c r="G2" i="1" l="1"/>
  <c r="E3" i="1" l="1"/>
  <c r="G3"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2" authorId="0" shapeId="0" xr:uid="{0F2B6A13-C937-4563-A216-C6A81D376B93}">
      <text>
        <r>
          <rPr>
            <b/>
            <sz val="9"/>
            <color indexed="81"/>
            <rFont val="Tahoma"/>
            <family val="2"/>
          </rPr>
          <t>Author:</t>
        </r>
        <r>
          <rPr>
            <sz val="9"/>
            <color indexed="81"/>
            <rFont val="Tahoma"/>
            <family val="2"/>
          </rPr>
          <t xml:space="preserve">
مقدار 608.665 تن از 10 هزار تن استفاده نشد
که 10 تن از 3800 تن برگشت از فروش خورد
و 598.665 تن از 6000 تن به کشتی بعدی منتقل شد (هم حواله هم فاکتور هم ثامن هم قبض انبار)</t>
        </r>
      </text>
    </comment>
    <comment ref="C4" authorId="0" shapeId="0" xr:uid="{1249E267-1D87-4AA3-96DD-7A3D56665E54}">
      <text>
        <r>
          <rPr>
            <b/>
            <sz val="9"/>
            <color indexed="81"/>
            <rFont val="Tahoma"/>
            <family val="2"/>
          </rPr>
          <t>Author:</t>
        </r>
        <r>
          <rPr>
            <sz val="9"/>
            <color indexed="81"/>
            <rFont val="Tahoma"/>
            <family val="2"/>
          </rPr>
          <t xml:space="preserve">
مقدار 598.665 تن از کشتی قبلی در این کشتی استفاده شد (هم حواله هم فاکتور هم ثامن هم قبض انبار)</t>
        </r>
      </text>
    </comment>
    <comment ref="D4" authorId="0" shapeId="0" xr:uid="{1F0F383F-A1F2-4FAB-90CA-2261291ABE77}">
      <text>
        <r>
          <rPr>
            <b/>
            <sz val="9"/>
            <color indexed="81"/>
            <rFont val="Tahoma"/>
            <family val="2"/>
          </rPr>
          <t>Author:</t>
        </r>
        <r>
          <rPr>
            <sz val="9"/>
            <color indexed="81"/>
            <rFont val="Tahoma"/>
            <family val="2"/>
          </rPr>
          <t xml:space="preserve">
ویسکوزیته بالای 4.000</t>
        </r>
      </text>
    </comment>
    <comment ref="D5" authorId="0" shapeId="0" xr:uid="{E2C53F6C-610A-4146-91D6-316DC3DEB617}">
      <text>
        <r>
          <rPr>
            <b/>
            <sz val="9"/>
            <color indexed="81"/>
            <rFont val="Tahoma"/>
            <family val="2"/>
          </rPr>
          <t>Author:</t>
        </r>
        <r>
          <rPr>
            <sz val="9"/>
            <color indexed="81"/>
            <rFont val="Tahoma"/>
            <family val="2"/>
          </rPr>
          <t xml:space="preserve">
ویسکوزیته بالای 4.000</t>
        </r>
      </text>
    </comment>
    <comment ref="C7" authorId="0" shapeId="0" xr:uid="{FA857AF9-6803-4C91-A92E-58401790CC36}">
      <text>
        <r>
          <rPr>
            <b/>
            <sz val="9"/>
            <color indexed="81"/>
            <rFont val="Tahoma"/>
            <family val="2"/>
          </rPr>
          <t>Author:</t>
        </r>
        <r>
          <rPr>
            <sz val="9"/>
            <color indexed="81"/>
            <rFont val="Tahoma"/>
            <family val="2"/>
          </rPr>
          <t xml:space="preserve">
مقدار 297.506 تن استفاده نشد
به کشتی بعدی منتقل شد (هم حواله هم فاکتور هم ثامن هم قبض انبار)</t>
        </r>
      </text>
    </comment>
    <comment ref="C18" authorId="0" shapeId="0" xr:uid="{60834EBF-38D6-4CE0-87ED-44280AD83A98}">
      <text>
        <r>
          <rPr>
            <b/>
            <sz val="9"/>
            <color indexed="81"/>
            <rFont val="Tahoma"/>
            <family val="2"/>
          </rPr>
          <t>Author:</t>
        </r>
        <r>
          <rPr>
            <sz val="9"/>
            <color indexed="81"/>
            <rFont val="Tahoma"/>
            <family val="2"/>
          </rPr>
          <t xml:space="preserve">
مقدار 297.506 تن از کشتی قبلی در این کشتی استفاده شد (هم حواله هم فاکتور هم ثامن هم قبض انبار)</t>
        </r>
      </text>
    </comment>
    <comment ref="D18" authorId="0" shapeId="0" xr:uid="{66DBC644-DB0A-4A5F-ADAA-B1079AEA198C}">
      <text>
        <r>
          <rPr>
            <b/>
            <sz val="9"/>
            <color indexed="81"/>
            <rFont val="Tahoma"/>
            <family val="2"/>
          </rPr>
          <t>Author:</t>
        </r>
        <r>
          <rPr>
            <sz val="9"/>
            <color indexed="81"/>
            <rFont val="Tahoma"/>
            <family val="2"/>
          </rPr>
          <t xml:space="preserve">
همه کارهایش برای وی جی 40 انجام شد
اما بار تحویلی 60/70 است و درخواست بازرسی هم 60/70 است
گزارش اطلس هم 60/70 است</t>
        </r>
      </text>
    </comment>
    <comment ref="C22" authorId="0" shapeId="0" xr:uid="{80659390-6121-4263-A23A-67259E58D615}">
      <text>
        <r>
          <rPr>
            <b/>
            <sz val="9"/>
            <color indexed="81"/>
            <rFont val="Tahoma"/>
            <family val="2"/>
          </rPr>
          <t>Author:</t>
        </r>
        <r>
          <rPr>
            <sz val="9"/>
            <color indexed="81"/>
            <rFont val="Tahoma"/>
            <family val="2"/>
          </rPr>
          <t xml:space="preserve">
در اردیبهشت همه کارهایش انجام شد
کشتی خراب شد و بارگیری نکرد
در خرداد برگشت از فروش خورد</t>
        </r>
      </text>
    </comment>
    <comment ref="F24" authorId="0" shapeId="0" xr:uid="{36589CF6-D258-4CBB-83DE-9036A31EC2F6}">
      <text>
        <r>
          <rPr>
            <b/>
            <sz val="9"/>
            <color indexed="81"/>
            <rFont val="Tahoma"/>
            <family val="2"/>
          </rPr>
          <t>Author:</t>
        </r>
        <r>
          <rPr>
            <sz val="9"/>
            <color indexed="81"/>
            <rFont val="Tahoma"/>
            <family val="2"/>
          </rPr>
          <t xml:space="preserve">
 گفت آقای پرورش اول 1449975 بعد گفت 1449957
بارنامه هم اول با 144975 صادر شد بعد اصلاح شد به 1449957</t>
        </r>
      </text>
    </comment>
    <comment ref="D25" authorId="0" shapeId="0" xr:uid="{7914F0FA-E899-4CA0-B22B-2965B068C4CB}">
      <text>
        <r>
          <rPr>
            <b/>
            <sz val="9"/>
            <color indexed="81"/>
            <rFont val="Tahoma"/>
            <family val="2"/>
          </rPr>
          <t>Author:</t>
        </r>
        <r>
          <rPr>
            <sz val="9"/>
            <color indexed="81"/>
            <rFont val="Tahoma"/>
            <family val="2"/>
          </rPr>
          <t xml:space="preserve">
ویسکوزیته بالا؟؟؟؟؟؟</t>
        </r>
      </text>
    </comment>
    <comment ref="D26" authorId="0" shapeId="0" xr:uid="{05BBC5D6-A859-4FFA-8AE4-279CEE593181}">
      <text>
        <r>
          <rPr>
            <b/>
            <sz val="9"/>
            <color indexed="81"/>
            <rFont val="Tahoma"/>
            <family val="2"/>
          </rPr>
          <t>Author:</t>
        </r>
        <r>
          <rPr>
            <sz val="9"/>
            <color indexed="81"/>
            <rFont val="Tahoma"/>
            <family val="2"/>
          </rPr>
          <t xml:space="preserve">
ویسکوزیته بالا؟؟؟؟؟؟</t>
        </r>
      </text>
    </comment>
    <comment ref="C30" authorId="0" shapeId="0" xr:uid="{8A647C22-E29B-410E-A3F7-EEED47446CFD}">
      <text>
        <r>
          <rPr>
            <b/>
            <sz val="9"/>
            <color indexed="81"/>
            <rFont val="Tahoma"/>
            <family val="2"/>
          </rPr>
          <t>Author:</t>
        </r>
        <r>
          <rPr>
            <sz val="9"/>
            <color indexed="81"/>
            <rFont val="Tahoma"/>
            <family val="2"/>
          </rPr>
          <t xml:space="preserve">
تمام کارهاش در تیر ماه انجام شد و بارگیری در مرداد انجام شد</t>
        </r>
      </text>
    </comment>
    <comment ref="C31" authorId="0" shapeId="0" xr:uid="{BA467C85-9F0A-4C26-8685-126B2A276C43}">
      <text>
        <r>
          <rPr>
            <b/>
            <sz val="9"/>
            <color indexed="81"/>
            <rFont val="Tahoma"/>
            <family val="2"/>
          </rPr>
          <t>Author:</t>
        </r>
        <r>
          <rPr>
            <sz val="9"/>
            <color indexed="81"/>
            <rFont val="Tahoma"/>
            <family val="2"/>
          </rPr>
          <t xml:space="preserve">
تمام کارهاش در تیر ماه انجام شد و بارگیری در مرداد انجام شد</t>
        </r>
      </text>
    </comment>
    <comment ref="C32" authorId="0" shapeId="0" xr:uid="{345C2D3B-A0A5-4F55-B0B3-307809C1209D}">
      <text>
        <r>
          <rPr>
            <b/>
            <sz val="9"/>
            <color indexed="81"/>
            <rFont val="Tahoma"/>
            <family val="2"/>
          </rPr>
          <t>Author:</t>
        </r>
        <r>
          <rPr>
            <sz val="9"/>
            <color indexed="81"/>
            <rFont val="Tahoma"/>
            <family val="2"/>
          </rPr>
          <t xml:space="preserve">
تمام کارهاش در تیر ماه انجام شد و بارگیری در مرداد انجام شد</t>
        </r>
      </text>
    </comment>
    <comment ref="D32" authorId="0" shapeId="0" xr:uid="{16182A13-5A98-4BC9-972D-5E4DF27D00D3}">
      <text>
        <r>
          <rPr>
            <b/>
            <sz val="9"/>
            <color indexed="81"/>
            <rFont val="Tahoma"/>
            <family val="2"/>
          </rPr>
          <t>Author:</t>
        </r>
        <r>
          <rPr>
            <sz val="9"/>
            <color indexed="81"/>
            <rFont val="Tahoma"/>
            <family val="2"/>
          </rPr>
          <t xml:space="preserve">
بازرسی وی جی 40 خورد</t>
        </r>
      </text>
    </comment>
    <comment ref="D36" authorId="0" shapeId="0" xr:uid="{6AF01304-0388-4AEC-A903-DDA5BFAD7B06}">
      <text>
        <r>
          <rPr>
            <b/>
            <sz val="9"/>
            <color indexed="81"/>
            <rFont val="Tahoma"/>
            <family val="2"/>
          </rPr>
          <t>Author:</t>
        </r>
        <r>
          <rPr>
            <sz val="9"/>
            <color indexed="81"/>
            <rFont val="Tahoma"/>
            <family val="2"/>
          </rPr>
          <t xml:space="preserve">
ویسکوزیته بالای 4.000</t>
        </r>
      </text>
    </comment>
    <comment ref="D37" authorId="0" shapeId="0" xr:uid="{6D28A7ED-4197-42E8-BF23-083FF0CE5604}">
      <text>
        <r>
          <rPr>
            <b/>
            <sz val="9"/>
            <color indexed="81"/>
            <rFont val="Tahoma"/>
            <family val="2"/>
          </rPr>
          <t>Author:</t>
        </r>
        <r>
          <rPr>
            <sz val="9"/>
            <color indexed="81"/>
            <rFont val="Tahoma"/>
            <family val="2"/>
          </rPr>
          <t xml:space="preserve">
ویسکوزیته بالای 4.000</t>
        </r>
      </text>
    </comment>
    <comment ref="F38" authorId="0" shapeId="0" xr:uid="{54707A5E-8C53-4FCE-8DB1-F025474D719B}">
      <text>
        <r>
          <rPr>
            <b/>
            <sz val="9"/>
            <color indexed="81"/>
            <rFont val="Tahoma"/>
            <family val="2"/>
          </rPr>
          <t>Author:</t>
        </r>
        <r>
          <rPr>
            <sz val="9"/>
            <color indexed="81"/>
            <rFont val="Tahoma"/>
            <family val="2"/>
          </rPr>
          <t xml:space="preserve">
به علت دمای پایین کشتی بارگیری را متوقف کرد و دوباره بارگیری کرد</t>
        </r>
      </text>
    </comment>
    <comment ref="C48" authorId="0" shapeId="0" xr:uid="{709DE3BC-7632-4F4E-9964-0D88A4CB330A}">
      <text>
        <r>
          <rPr>
            <b/>
            <sz val="9"/>
            <color indexed="81"/>
            <rFont val="Tahoma"/>
            <family val="2"/>
          </rPr>
          <t>Author:</t>
        </r>
        <r>
          <rPr>
            <sz val="9"/>
            <color indexed="81"/>
            <rFont val="Tahoma"/>
            <family val="2"/>
          </rPr>
          <t xml:space="preserve">
اول قرار بود کشتی چاندراما بیاد بعد سیسامو اومد</t>
        </r>
      </text>
    </comment>
    <comment ref="C49" authorId="0" shapeId="0" xr:uid="{40528CD2-6626-433C-A1D4-CB096B4F2DAC}">
      <text>
        <r>
          <rPr>
            <b/>
            <sz val="9"/>
            <color indexed="81"/>
            <rFont val="Tahoma"/>
            <family val="2"/>
          </rPr>
          <t>Author:</t>
        </r>
        <r>
          <rPr>
            <sz val="9"/>
            <color indexed="81"/>
            <rFont val="Tahoma"/>
            <family val="2"/>
          </rPr>
          <t xml:space="preserve">
اول قرار بود کشتی چاندراما بیاد بعد سیسامو اومد</t>
        </r>
      </text>
    </comment>
    <comment ref="D53" authorId="0" shapeId="0" xr:uid="{F83ADAF7-20D0-446B-A9D2-36F943824BAB}">
      <text>
        <r>
          <rPr>
            <b/>
            <sz val="9"/>
            <color indexed="81"/>
            <rFont val="Tahoma"/>
            <family val="2"/>
          </rPr>
          <t>Author:</t>
        </r>
        <r>
          <rPr>
            <sz val="9"/>
            <color indexed="81"/>
            <rFont val="Tahoma"/>
            <family val="2"/>
          </rPr>
          <t xml:space="preserve">
ویسکوزیته بالای 4.000</t>
        </r>
      </text>
    </comment>
    <comment ref="C61" authorId="0" shapeId="0" xr:uid="{4CB3CDCF-6896-4E75-8E2B-1655BA577A7D}">
      <text>
        <r>
          <rPr>
            <b/>
            <sz val="9"/>
            <color indexed="81"/>
            <rFont val="Tahoma"/>
            <family val="2"/>
          </rPr>
          <t>Author:</t>
        </r>
        <r>
          <rPr>
            <sz val="9"/>
            <color indexed="81"/>
            <rFont val="Tahoma"/>
            <family val="2"/>
          </rPr>
          <t xml:space="preserve">
اول برای کشتی کایلاش بود
 کشتی نیامد و بارگیری انجام نشد
کلا برگشت خورد</t>
        </r>
      </text>
    </comment>
    <comment ref="C63" authorId="0" shapeId="0" xr:uid="{B8C94C9E-2640-4F48-B7D0-E2F26E2830A3}">
      <text>
        <r>
          <rPr>
            <b/>
            <sz val="9"/>
            <color indexed="81"/>
            <rFont val="Tahoma"/>
            <family val="2"/>
          </rPr>
          <t>Author:</t>
        </r>
        <r>
          <rPr>
            <sz val="9"/>
            <color indexed="81"/>
            <rFont val="Tahoma"/>
            <family val="2"/>
          </rPr>
          <t xml:space="preserve">
به جز 50 تن بقیه اش اول برای کشتی کایلاش بود
که منتقل شد به بلک مایا 
مقدار 50 تن هم بعدا بهش اضافه شد
تمام کارهاش در آبان انجام شد
اما در آذر بارگیری کرد</t>
        </r>
      </text>
    </comment>
    <comment ref="D64" authorId="0" shapeId="0" xr:uid="{22075E87-041A-4632-BE84-C60F82D9BB90}">
      <text>
        <r>
          <rPr>
            <b/>
            <sz val="9"/>
            <color indexed="81"/>
            <rFont val="Tahoma"/>
            <family val="2"/>
          </rPr>
          <t>Author:</t>
        </r>
        <r>
          <rPr>
            <sz val="9"/>
            <color indexed="81"/>
            <rFont val="Tahoma"/>
            <family val="2"/>
          </rPr>
          <t xml:space="preserve">
ویسکوزیته بالای 4.000</t>
        </r>
      </text>
    </comment>
    <comment ref="D65" authorId="0" shapeId="0" xr:uid="{7C993F3B-9E5E-4377-9EA1-B488848D58AF}">
      <text>
        <r>
          <rPr>
            <b/>
            <sz val="9"/>
            <color indexed="81"/>
            <rFont val="Tahoma"/>
            <family val="2"/>
          </rPr>
          <t>Author:</t>
        </r>
        <r>
          <rPr>
            <sz val="9"/>
            <color indexed="81"/>
            <rFont val="Tahoma"/>
            <family val="2"/>
          </rPr>
          <t xml:space="preserve">
ویسکوزیته بالای 4.000</t>
        </r>
      </text>
    </comment>
    <comment ref="D67" authorId="0" shapeId="0" xr:uid="{2FC6446B-37E3-495E-B60B-7424EB4E5681}">
      <text>
        <r>
          <rPr>
            <b/>
            <sz val="9"/>
            <color indexed="81"/>
            <rFont val="Tahoma"/>
            <family val="2"/>
          </rPr>
          <t>Author:</t>
        </r>
        <r>
          <rPr>
            <sz val="9"/>
            <color indexed="81"/>
            <rFont val="Tahoma"/>
            <family val="2"/>
          </rPr>
          <t xml:space="preserve">
ویسکوزیته بالای 4.000</t>
        </r>
      </text>
    </comment>
    <comment ref="D68" authorId="0" shapeId="0" xr:uid="{84E461B5-0DC1-4D59-A7C2-D389956C18DA}">
      <text>
        <r>
          <rPr>
            <b/>
            <sz val="9"/>
            <color indexed="81"/>
            <rFont val="Tahoma"/>
            <family val="2"/>
          </rPr>
          <t>Author:</t>
        </r>
        <r>
          <rPr>
            <sz val="9"/>
            <color indexed="81"/>
            <rFont val="Tahoma"/>
            <family val="2"/>
          </rPr>
          <t xml:space="preserve">
ویسکوزیته بالای 4.000</t>
        </r>
      </text>
    </comment>
    <comment ref="D69" authorId="0" shapeId="0" xr:uid="{80D3EB45-35AB-4C7B-B836-5EB5745443F6}">
      <text>
        <r>
          <rPr>
            <b/>
            <sz val="9"/>
            <color indexed="81"/>
            <rFont val="Tahoma"/>
            <family val="2"/>
          </rPr>
          <t>Author:</t>
        </r>
        <r>
          <rPr>
            <sz val="9"/>
            <color indexed="81"/>
            <rFont val="Tahoma"/>
            <family val="2"/>
          </rPr>
          <t xml:space="preserve">
ویسکوزیته بالای 4.000</t>
        </r>
      </text>
    </comment>
    <comment ref="D70" authorId="0" shapeId="0" xr:uid="{7BB54FCA-9C5B-4284-8798-52DBCBBFA763}">
      <text>
        <r>
          <rPr>
            <b/>
            <sz val="9"/>
            <color indexed="81"/>
            <rFont val="Tahoma"/>
            <family val="2"/>
          </rPr>
          <t>Author:</t>
        </r>
        <r>
          <rPr>
            <sz val="9"/>
            <color indexed="81"/>
            <rFont val="Tahoma"/>
            <family val="2"/>
          </rPr>
          <t xml:space="preserve">
ویسکوزیته بالای 4.000</t>
        </r>
      </text>
    </comment>
    <comment ref="D71" authorId="0" shapeId="0" xr:uid="{ED0AF2F7-0218-4A0C-A333-BC9690D19752}">
      <text>
        <r>
          <rPr>
            <b/>
            <sz val="9"/>
            <color indexed="81"/>
            <rFont val="Tahoma"/>
            <family val="2"/>
          </rPr>
          <t>Author:</t>
        </r>
        <r>
          <rPr>
            <sz val="9"/>
            <color indexed="81"/>
            <rFont val="Tahoma"/>
            <family val="2"/>
          </rPr>
          <t xml:space="preserve">
ویسکوزیته بالای 4.000</t>
        </r>
      </text>
    </comment>
    <comment ref="D72" authorId="0" shapeId="0" xr:uid="{E5B884C9-8C2F-4419-9DD2-596D1EBB3BDC}">
      <text>
        <r>
          <rPr>
            <b/>
            <sz val="9"/>
            <color indexed="81"/>
            <rFont val="Tahoma"/>
            <family val="2"/>
          </rPr>
          <t>Author:</t>
        </r>
        <r>
          <rPr>
            <sz val="9"/>
            <color indexed="81"/>
            <rFont val="Tahoma"/>
            <family val="2"/>
          </rPr>
          <t xml:space="preserve">
ویسکوزیته بالای 4.000</t>
        </r>
      </text>
    </comment>
    <comment ref="D78" authorId="0" shapeId="0" xr:uid="{5FC88769-DD3C-4532-8EC4-54B648527C23}">
      <text>
        <r>
          <rPr>
            <b/>
            <sz val="9"/>
            <color indexed="81"/>
            <rFont val="Tahoma"/>
            <family val="2"/>
          </rPr>
          <t>Author:</t>
        </r>
        <r>
          <rPr>
            <sz val="9"/>
            <color indexed="81"/>
            <rFont val="Tahoma"/>
            <family val="2"/>
          </rPr>
          <t xml:space="preserve">
ویسکوزیته بالای 4.000</t>
        </r>
      </text>
    </comment>
    <comment ref="D79" authorId="0" shapeId="0" xr:uid="{D56E0242-303A-4C05-86EF-CC2FE8E3F810}">
      <text>
        <r>
          <rPr>
            <b/>
            <sz val="9"/>
            <color indexed="81"/>
            <rFont val="Tahoma"/>
            <family val="2"/>
          </rPr>
          <t>Author:</t>
        </r>
        <r>
          <rPr>
            <sz val="9"/>
            <color indexed="81"/>
            <rFont val="Tahoma"/>
            <family val="2"/>
          </rPr>
          <t xml:space="preserve">
ویسکوزیته بالای 4.000</t>
        </r>
      </text>
    </comment>
    <comment ref="D80" authorId="0" shapeId="0" xr:uid="{5426DD12-37CA-4811-AA25-534817299C2D}">
      <text>
        <r>
          <rPr>
            <b/>
            <sz val="9"/>
            <color indexed="81"/>
            <rFont val="Tahoma"/>
            <family val="2"/>
          </rPr>
          <t>Author:</t>
        </r>
        <r>
          <rPr>
            <sz val="9"/>
            <color indexed="81"/>
            <rFont val="Tahoma"/>
            <family val="2"/>
          </rPr>
          <t xml:space="preserve">
ویسکوزیته بالای 4.000</t>
        </r>
      </text>
    </comment>
    <comment ref="D81" authorId="0" shapeId="0" xr:uid="{8D9E60A9-6943-44F8-A625-0C586BDAB721}">
      <text>
        <r>
          <rPr>
            <b/>
            <sz val="9"/>
            <color indexed="81"/>
            <rFont val="Tahoma"/>
            <family val="2"/>
          </rPr>
          <t>Author:</t>
        </r>
        <r>
          <rPr>
            <sz val="9"/>
            <color indexed="81"/>
            <rFont val="Tahoma"/>
            <family val="2"/>
          </rPr>
          <t xml:space="preserve">
ویسکوزیته بالای 4.000</t>
        </r>
      </text>
    </comment>
    <comment ref="D82" authorId="0" shapeId="0" xr:uid="{D54AAEBD-71C9-407C-93F3-A19148837355}">
      <text>
        <r>
          <rPr>
            <b/>
            <sz val="9"/>
            <color indexed="81"/>
            <rFont val="Tahoma"/>
            <family val="2"/>
          </rPr>
          <t>Author:</t>
        </r>
        <r>
          <rPr>
            <sz val="9"/>
            <color indexed="81"/>
            <rFont val="Tahoma"/>
            <family val="2"/>
          </rPr>
          <t xml:space="preserve">
ویسکوزیته بالای 4.000</t>
        </r>
      </text>
    </comment>
    <comment ref="D83" authorId="0" shapeId="0" xr:uid="{E032CEB4-BED9-4C07-AAA0-6D10511DBDC9}">
      <text>
        <r>
          <rPr>
            <b/>
            <sz val="9"/>
            <color indexed="81"/>
            <rFont val="Tahoma"/>
            <family val="2"/>
          </rPr>
          <t>Author:</t>
        </r>
        <r>
          <rPr>
            <sz val="9"/>
            <color indexed="81"/>
            <rFont val="Tahoma"/>
            <family val="2"/>
          </rPr>
          <t xml:space="preserve">
ویسکوزیته بالای 4.000</t>
        </r>
      </text>
    </comment>
    <comment ref="D84" authorId="0" shapeId="0" xr:uid="{1AEF35F7-3E44-47D6-8861-59A5C96024C3}">
      <text>
        <r>
          <rPr>
            <b/>
            <sz val="9"/>
            <color indexed="81"/>
            <rFont val="Tahoma"/>
            <family val="2"/>
          </rPr>
          <t>Author:</t>
        </r>
        <r>
          <rPr>
            <sz val="9"/>
            <color indexed="81"/>
            <rFont val="Tahoma"/>
            <family val="2"/>
          </rPr>
          <t xml:space="preserve">
ویسکوزیته بالای 4.000</t>
        </r>
      </text>
    </comment>
    <comment ref="D85" authorId="0" shapeId="0" xr:uid="{66023B90-8004-4F63-B3D7-5EC3FA5BFB04}">
      <text>
        <r>
          <rPr>
            <b/>
            <sz val="9"/>
            <color indexed="81"/>
            <rFont val="Tahoma"/>
            <family val="2"/>
          </rPr>
          <t>Author:</t>
        </r>
        <r>
          <rPr>
            <sz val="9"/>
            <color indexed="81"/>
            <rFont val="Tahoma"/>
            <family val="2"/>
          </rPr>
          <t xml:space="preserve">
ویسکوزیته بالای 4.000</t>
        </r>
      </text>
    </comment>
    <comment ref="D86" authorId="0" shapeId="0" xr:uid="{F15D03DE-5E10-4F61-B003-55AB38D8DF99}">
      <text>
        <r>
          <rPr>
            <b/>
            <sz val="9"/>
            <color indexed="81"/>
            <rFont val="Tahoma"/>
            <family val="2"/>
          </rPr>
          <t>Author:</t>
        </r>
        <r>
          <rPr>
            <sz val="9"/>
            <color indexed="81"/>
            <rFont val="Tahoma"/>
            <family val="2"/>
          </rPr>
          <t xml:space="preserve">
ویسکوزیته بالای 4.000</t>
        </r>
      </text>
    </comment>
    <comment ref="D87" authorId="0" shapeId="0" xr:uid="{429A5C13-C5D8-4294-AC04-A3B0797CD989}">
      <text>
        <r>
          <rPr>
            <b/>
            <sz val="9"/>
            <color indexed="81"/>
            <rFont val="Tahoma"/>
            <family val="2"/>
          </rPr>
          <t>Author:</t>
        </r>
        <r>
          <rPr>
            <sz val="9"/>
            <color indexed="81"/>
            <rFont val="Tahoma"/>
            <family val="2"/>
          </rPr>
          <t xml:space="preserve">
ویسکوزیته بالای 4.000</t>
        </r>
      </text>
    </comment>
    <comment ref="D88" authorId="0" shapeId="0" xr:uid="{21916D0F-4EFB-4D43-BB8D-C360A22C5FBA}">
      <text>
        <r>
          <rPr>
            <b/>
            <sz val="9"/>
            <color indexed="81"/>
            <rFont val="Tahoma"/>
            <family val="2"/>
          </rPr>
          <t>Author:</t>
        </r>
        <r>
          <rPr>
            <sz val="9"/>
            <color indexed="81"/>
            <rFont val="Tahoma"/>
            <family val="2"/>
          </rPr>
          <t xml:space="preserve">
ویسکوزیته بالای 4.000</t>
        </r>
      </text>
    </comment>
    <comment ref="D90" authorId="0" shapeId="0" xr:uid="{D4F35419-268E-4516-85EF-A5711BC7F9A9}">
      <text>
        <r>
          <rPr>
            <b/>
            <sz val="9"/>
            <color indexed="81"/>
            <rFont val="Tahoma"/>
            <family val="2"/>
          </rPr>
          <t>Author:</t>
        </r>
        <r>
          <rPr>
            <sz val="9"/>
            <color indexed="81"/>
            <rFont val="Tahoma"/>
            <family val="2"/>
          </rPr>
          <t xml:space="preserve">
ویسکوزیته بالای 4.000</t>
        </r>
      </text>
    </comment>
    <comment ref="D91" authorId="0" shapeId="0" xr:uid="{94EB8F78-8C94-4591-B278-C698610809FF}">
      <text>
        <r>
          <rPr>
            <b/>
            <sz val="9"/>
            <color indexed="81"/>
            <rFont val="Tahoma"/>
            <family val="2"/>
          </rPr>
          <t>Author:</t>
        </r>
        <r>
          <rPr>
            <sz val="9"/>
            <color indexed="81"/>
            <rFont val="Tahoma"/>
            <family val="2"/>
          </rPr>
          <t xml:space="preserve">
ویسکوزیته بالای 4.000</t>
        </r>
      </text>
    </comment>
    <comment ref="D94" authorId="0" shapeId="0" xr:uid="{781FD23B-2C7F-4E91-92C8-37905D5BF478}">
      <text>
        <r>
          <rPr>
            <b/>
            <sz val="9"/>
            <color indexed="81"/>
            <rFont val="Tahoma"/>
            <family val="2"/>
          </rPr>
          <t>Author:</t>
        </r>
        <r>
          <rPr>
            <sz val="9"/>
            <color indexed="81"/>
            <rFont val="Tahoma"/>
            <family val="2"/>
          </rPr>
          <t xml:space="preserve">
ویسکوزیته بالای 4.000 ؟؟؟</t>
        </r>
      </text>
    </comment>
    <comment ref="D95" authorId="0" shapeId="0" xr:uid="{D0A92629-4C11-4F84-AD32-90A348769F2B}">
      <text>
        <r>
          <rPr>
            <b/>
            <sz val="9"/>
            <color indexed="81"/>
            <rFont val="Tahoma"/>
            <family val="2"/>
          </rPr>
          <t>Author:</t>
        </r>
        <r>
          <rPr>
            <sz val="9"/>
            <color indexed="81"/>
            <rFont val="Tahoma"/>
            <family val="2"/>
          </rPr>
          <t xml:space="preserve">
ویسکوزیته بالای 4.000 ؟؟؟</t>
        </r>
      </text>
    </comment>
    <comment ref="D96" authorId="0" shapeId="0" xr:uid="{92A07C9C-D6A0-44F7-9641-746CE880AD50}">
      <text>
        <r>
          <rPr>
            <b/>
            <sz val="9"/>
            <color indexed="81"/>
            <rFont val="Tahoma"/>
            <family val="2"/>
          </rPr>
          <t>Author:</t>
        </r>
        <r>
          <rPr>
            <sz val="9"/>
            <color indexed="81"/>
            <rFont val="Tahoma"/>
            <family val="2"/>
          </rPr>
          <t xml:space="preserve">
ویسکوزیته بالای 4.000 ؟؟؟</t>
        </r>
      </text>
    </comment>
    <comment ref="D98" authorId="0" shapeId="0" xr:uid="{CB7F8499-E7CD-44B0-A0DE-967A3D877919}">
      <text>
        <r>
          <rPr>
            <b/>
            <sz val="9"/>
            <color indexed="81"/>
            <rFont val="Tahoma"/>
            <family val="2"/>
          </rPr>
          <t>Author:</t>
        </r>
        <r>
          <rPr>
            <sz val="9"/>
            <color indexed="81"/>
            <rFont val="Tahoma"/>
            <family val="2"/>
          </rPr>
          <t xml:space="preserve">
ویسکوزیته بالای 4.000 ؟؟؟</t>
        </r>
      </text>
    </comment>
    <comment ref="C104" authorId="0" shapeId="0" xr:uid="{670FCAAA-5333-4E78-8AB7-3835B0BD37E6}">
      <text>
        <r>
          <rPr>
            <b/>
            <sz val="9"/>
            <color indexed="81"/>
            <rFont val="Tahoma"/>
            <family val="2"/>
          </rPr>
          <t>Author:</t>
        </r>
        <r>
          <rPr>
            <sz val="9"/>
            <color indexed="81"/>
            <rFont val="Tahoma"/>
            <family val="2"/>
          </rPr>
          <t xml:space="preserve">
ابتدا قرار بود کشتی گلوبال جنسیس بیاید بعدا عوض شد</t>
        </r>
      </text>
    </comment>
    <comment ref="D104" authorId="0" shapeId="0" xr:uid="{0CA1C9F6-1704-43CE-B95F-F3B4FC83AE9B}">
      <text>
        <r>
          <rPr>
            <b/>
            <sz val="9"/>
            <color indexed="81"/>
            <rFont val="Tahoma"/>
            <family val="2"/>
          </rPr>
          <t>Author:</t>
        </r>
        <r>
          <rPr>
            <sz val="9"/>
            <color indexed="81"/>
            <rFont val="Tahoma"/>
            <family val="2"/>
          </rPr>
          <t xml:space="preserve">
ویسکوزیته بالای 4.000 ؟؟؟</t>
        </r>
      </text>
    </comment>
    <comment ref="D105" authorId="0" shapeId="0" xr:uid="{9BA7899C-16E9-44FF-AB2B-763459E92FC2}">
      <text>
        <r>
          <rPr>
            <b/>
            <sz val="9"/>
            <color indexed="81"/>
            <rFont val="Tahoma"/>
            <family val="2"/>
          </rPr>
          <t>Author:</t>
        </r>
        <r>
          <rPr>
            <sz val="9"/>
            <color indexed="81"/>
            <rFont val="Tahoma"/>
            <family val="2"/>
          </rPr>
          <t xml:space="preserve">
ویسکوزیته بالای 4.000 ؟؟؟</t>
        </r>
      </text>
    </comment>
  </commentList>
</comments>
</file>

<file path=xl/sharedStrings.xml><?xml version="1.0" encoding="utf-8"?>
<sst xmlns="http://schemas.openxmlformats.org/spreadsheetml/2006/main" count="389" uniqueCount="92">
  <si>
    <t>شرکت</t>
  </si>
  <si>
    <t>کشتی</t>
  </si>
  <si>
    <t>قیر</t>
  </si>
  <si>
    <t>مقدار بارگیری 
(کیلوگرم)</t>
  </si>
  <si>
    <t>فروردین</t>
  </si>
  <si>
    <t xml:space="preserve">ماه </t>
  </si>
  <si>
    <t>مجموع بارگیری
(کیلوگرم)</t>
  </si>
  <si>
    <t>مقدار فاکتور
(کیلوگرم)</t>
  </si>
  <si>
    <t>VG 40</t>
  </si>
  <si>
    <t>برگشت از فروش
(کیلوگرم)</t>
  </si>
  <si>
    <t>در سلف</t>
  </si>
  <si>
    <t>اسکدار</t>
  </si>
  <si>
    <t>MIB I</t>
  </si>
  <si>
    <t>60/70</t>
  </si>
  <si>
    <t>Global Harmony</t>
  </si>
  <si>
    <t>Courage VII</t>
  </si>
  <si>
    <t>اردیبهشت</t>
  </si>
  <si>
    <t>اسپادانا</t>
  </si>
  <si>
    <t>Bitu Ocean</t>
  </si>
  <si>
    <t>آریا</t>
  </si>
  <si>
    <t>Selenia</t>
  </si>
  <si>
    <t>پورنر</t>
  </si>
  <si>
    <t>Blue Hawk</t>
  </si>
  <si>
    <t>Sharda</t>
  </si>
  <si>
    <t>AC 40</t>
  </si>
  <si>
    <t>هرمز</t>
  </si>
  <si>
    <t>R Ocean</t>
  </si>
  <si>
    <t>85/100</t>
  </si>
  <si>
    <t>مانا</t>
  </si>
  <si>
    <t>خرداد</t>
  </si>
  <si>
    <t>میربلوکی</t>
  </si>
  <si>
    <t>پارس پردیس</t>
  </si>
  <si>
    <t>جهان پیشگام</t>
  </si>
  <si>
    <t>Chandrama</t>
  </si>
  <si>
    <t>Sonas</t>
  </si>
  <si>
    <t>کاریزما</t>
  </si>
  <si>
    <t>Global Crest</t>
  </si>
  <si>
    <t>Aljaber X</t>
  </si>
  <si>
    <t>تیر</t>
  </si>
  <si>
    <t>A Star</t>
  </si>
  <si>
    <t>Black Maya</t>
  </si>
  <si>
    <t>Global Queen</t>
  </si>
  <si>
    <t>کانی کارو</t>
  </si>
  <si>
    <t>بیتوتینر</t>
  </si>
  <si>
    <t>Noble I</t>
  </si>
  <si>
    <t>MMA</t>
  </si>
  <si>
    <t>مرداد</t>
  </si>
  <si>
    <t>اکسین (مانا)</t>
  </si>
  <si>
    <t>Global Eagle</t>
  </si>
  <si>
    <t>طلای سفید</t>
  </si>
  <si>
    <t>طوسا</t>
  </si>
  <si>
    <t>Kailash</t>
  </si>
  <si>
    <t>Raj Tilak</t>
  </si>
  <si>
    <t>شهریور</t>
  </si>
  <si>
    <t>Simran</t>
  </si>
  <si>
    <t>مهر</t>
  </si>
  <si>
    <t>Sisamo X</t>
  </si>
  <si>
    <t>ستاره</t>
  </si>
  <si>
    <t>فولاد فلز</t>
  </si>
  <si>
    <t>Bitumen Star</t>
  </si>
  <si>
    <t>طلوع</t>
  </si>
  <si>
    <t>Rudra</t>
  </si>
  <si>
    <t>آبان</t>
  </si>
  <si>
    <t>کارن پارس</t>
  </si>
  <si>
    <t>Global Maharani</t>
  </si>
  <si>
    <t>AC40</t>
  </si>
  <si>
    <t>پادرا</t>
  </si>
  <si>
    <t>آذر</t>
  </si>
  <si>
    <t>Hemera</t>
  </si>
  <si>
    <t>ابتکار کیان</t>
  </si>
  <si>
    <t>Bitumen Princess</t>
  </si>
  <si>
    <t>کهن پارسیان</t>
  </si>
  <si>
    <t>رادمان</t>
  </si>
  <si>
    <t>Aarvi</t>
  </si>
  <si>
    <t>نیکان آمیتیس</t>
  </si>
  <si>
    <t>SMA</t>
  </si>
  <si>
    <t>آوادیس ماهان</t>
  </si>
  <si>
    <t>Sarveshwar</t>
  </si>
  <si>
    <t>دی</t>
  </si>
  <si>
    <t>گارمنت</t>
  </si>
  <si>
    <t>Agrasen</t>
  </si>
  <si>
    <t>Serna</t>
  </si>
  <si>
    <t>سپاهان</t>
  </si>
  <si>
    <t>بهمن</t>
  </si>
  <si>
    <t>کاسپین</t>
  </si>
  <si>
    <t>نیک مهر</t>
  </si>
  <si>
    <t>Global Everest</t>
  </si>
  <si>
    <t>Bitumen Princess II</t>
  </si>
  <si>
    <t>Maria</t>
  </si>
  <si>
    <t>Argo Maris</t>
  </si>
  <si>
    <t>اسفند</t>
  </si>
  <si>
    <t>Global Angle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</si>
</sst>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_ ;_ * #,##0.00\-_ ;_ * &quot;-&quot;??_-_ ;_ @_ "/>
  </numFmts>
  <fonts count="8" x14ac:knownFonts="1">
    <font>
      <sz val="11"/>
      <color theme="1"/>
      <name val="Arial"/>
      <family val="2"/>
      <scheme val="minor"/>
    </font>
    <font>
      <b/>
      <sz val="12"/>
      <color theme="1"/>
      <name val="B Nazanin"/>
      <charset val="178"/>
    </font>
    <font>
      <b/>
      <sz val="11"/>
      <color theme="1"/>
      <name val="Sitka Text"/>
    </font>
    <font>
      <sz val="8"/>
      <name val="Arial"/>
      <family val="2"/>
      <scheme val="minor"/>
    </font>
    <font>
      <b/>
      <sz val="11"/>
      <color theme="1"/>
      <name val="Segoe UI Symbol"/>
      <family val="2"/>
    </font>
    <font>
      <sz val="9"/>
      <color indexed="81"/>
      <name val="Tahoma"/>
      <family val="2"/>
    </font>
    <font>
      <b/>
      <sz val="9"/>
      <color indexed="81"/>
      <name val="Tahoma"/>
      <family val="2"/>
    </font>
    <font>
      <sz val="11"/>
      <color theme="1"/>
      <name val="Arial"/>
      <family val="2"/>
      <scheme val="minor"/>
    </font>
  </fonts>
  <fills count="3">
    <fill>
      <patternFill patternType="none"/>
    </fill>
    <fill>
      <patternFill patternType="gray125"/>
    </fill>
    <fill>
      <patternFill patternType="solid">
        <fgColor theme="9" tint="0.59999389629810485"/>
        <bgColor indexed="64"/>
      </patternFill>
    </fill>
  </fills>
  <borders count="23">
    <border>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s>
  <cellStyleXfs count="2">
    <xf numFmtId="0" fontId="0" fillId="0" borderId="0"/>
    <xf numFmtId="43" fontId="7" fillId="0" borderId="0" applyFont="0" applyFill="0" applyBorder="0" applyAlignment="0" applyProtection="0"/>
  </cellStyleXfs>
  <cellXfs count="53">
    <xf numFmtId="0" fontId="0" fillId="0" borderId="0" xfId="0"/>
    <xf numFmtId="0" fontId="1" fillId="0" borderId="0" xfId="0" applyFont="1" applyAlignment="1">
      <alignment horizontal="center" vertical="center"/>
    </xf>
    <xf numFmtId="3" fontId="1" fillId="0" borderId="0" xfId="0" applyNumberFormat="1" applyFont="1" applyAlignment="1">
      <alignment horizontal="center" vertical="center"/>
    </xf>
    <xf numFmtId="0" fontId="2" fillId="0" borderId="0" xfId="0" applyFont="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3" fontId="1" fillId="2" borderId="3" xfId="0" applyNumberFormat="1" applyFont="1" applyFill="1" applyBorder="1" applyAlignment="1">
      <alignment horizontal="center" vertical="center" wrapText="1"/>
    </xf>
    <xf numFmtId="3" fontId="1" fillId="2" borderId="4" xfId="0" applyNumberFormat="1" applyFont="1" applyFill="1" applyBorder="1" applyAlignment="1">
      <alignment horizontal="center" vertical="center" wrapText="1"/>
    </xf>
    <xf numFmtId="0" fontId="4" fillId="0" borderId="1" xfId="0" applyFont="1" applyBorder="1" applyAlignment="1">
      <alignment horizontal="center" vertical="center"/>
    </xf>
    <xf numFmtId="3" fontId="1" fillId="0" borderId="1" xfId="0" applyNumberFormat="1" applyFont="1" applyBorder="1" applyAlignment="1">
      <alignment horizontal="center" vertical="center"/>
    </xf>
    <xf numFmtId="0" fontId="4" fillId="0" borderId="5" xfId="0" applyFont="1" applyBorder="1" applyAlignment="1">
      <alignment horizontal="center" vertical="center"/>
    </xf>
    <xf numFmtId="0" fontId="1" fillId="0" borderId="5" xfId="0" applyFont="1" applyBorder="1" applyAlignment="1">
      <alignment horizontal="center" vertical="center"/>
    </xf>
    <xf numFmtId="3" fontId="1" fillId="0" borderId="5" xfId="0" applyNumberFormat="1" applyFont="1" applyBorder="1" applyAlignment="1">
      <alignment horizontal="center" vertical="center"/>
    </xf>
    <xf numFmtId="0" fontId="2" fillId="0" borderId="5"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3" fontId="1" fillId="0" borderId="6" xfId="0" applyNumberFormat="1" applyFont="1" applyBorder="1" applyAlignment="1">
      <alignment horizontal="center" vertical="center"/>
    </xf>
    <xf numFmtId="3" fontId="1" fillId="0" borderId="7" xfId="0" applyNumberFormat="1" applyFont="1" applyBorder="1" applyAlignment="1">
      <alignment horizontal="center" vertical="center"/>
    </xf>
    <xf numFmtId="0" fontId="1" fillId="0" borderId="13" xfId="0" applyFont="1" applyBorder="1" applyAlignment="1">
      <alignment horizontal="center" vertical="center"/>
    </xf>
    <xf numFmtId="0" fontId="2" fillId="0" borderId="14" xfId="0" applyFont="1" applyBorder="1" applyAlignment="1">
      <alignment horizontal="center" vertical="center"/>
    </xf>
    <xf numFmtId="0" fontId="4" fillId="0" borderId="14" xfId="0" applyFont="1" applyBorder="1" applyAlignment="1">
      <alignment horizontal="center" vertical="center"/>
    </xf>
    <xf numFmtId="3" fontId="1" fillId="0" borderId="14" xfId="0" applyNumberFormat="1" applyFont="1" applyBorder="1" applyAlignment="1">
      <alignment horizontal="center" vertical="center"/>
    </xf>
    <xf numFmtId="3" fontId="1" fillId="0" borderId="15" xfId="0" applyNumberFormat="1" applyFont="1" applyBorder="1" applyAlignment="1">
      <alignment horizontal="center" vertical="center"/>
    </xf>
    <xf numFmtId="3" fontId="1" fillId="0" borderId="16" xfId="0" applyNumberFormat="1" applyFont="1" applyBorder="1" applyAlignment="1">
      <alignment horizontal="center" vertical="center"/>
    </xf>
    <xf numFmtId="0" fontId="1" fillId="0" borderId="14" xfId="0" applyFont="1" applyBorder="1" applyAlignment="1">
      <alignment horizontal="center" vertical="center"/>
    </xf>
    <xf numFmtId="43" fontId="1" fillId="0" borderId="11" xfId="1" applyFont="1" applyBorder="1" applyAlignment="1">
      <alignment horizontal="center" vertical="center"/>
    </xf>
    <xf numFmtId="3" fontId="1" fillId="0" borderId="1" xfId="0" applyNumberFormat="1" applyFont="1" applyBorder="1" applyAlignment="1">
      <alignment horizontal="center"/>
    </xf>
    <xf numFmtId="3" fontId="1" fillId="0" borderId="5" xfId="0" applyNumberFormat="1" applyFont="1" applyBorder="1" applyAlignment="1">
      <alignment horizontal="center"/>
    </xf>
    <xf numFmtId="3" fontId="1" fillId="0" borderId="7" xfId="0" applyNumberFormat="1" applyFont="1" applyFill="1" applyBorder="1" applyAlignment="1">
      <alignment horizontal="center" vertical="center"/>
    </xf>
    <xf numFmtId="3" fontId="1" fillId="0" borderId="16" xfId="0" applyNumberFormat="1" applyFont="1" applyFill="1" applyBorder="1" applyAlignment="1">
      <alignment horizontal="center" vertical="center"/>
    </xf>
    <xf numFmtId="3" fontId="1" fillId="0" borderId="5" xfId="0" applyNumberFormat="1" applyFont="1" applyFill="1" applyBorder="1" applyAlignment="1">
      <alignment horizontal="center" vertical="center"/>
    </xf>
    <xf numFmtId="3" fontId="1" fillId="0" borderId="14" xfId="0" applyNumberFormat="1" applyFont="1" applyFill="1" applyBorder="1" applyAlignment="1">
      <alignment horizontal="center" vertical="center"/>
    </xf>
    <xf numFmtId="3" fontId="1" fillId="0" borderId="1" xfId="0" applyNumberFormat="1" applyFont="1" applyFill="1" applyBorder="1" applyAlignment="1">
      <alignment horizontal="center" vertical="center"/>
    </xf>
    <xf numFmtId="0" fontId="1" fillId="0" borderId="20" xfId="0" applyFont="1" applyBorder="1" applyAlignment="1">
      <alignment horizontal="center" vertical="center"/>
    </xf>
    <xf numFmtId="0" fontId="2" fillId="0" borderId="21" xfId="0" applyFont="1" applyFill="1" applyBorder="1" applyAlignment="1">
      <alignment horizontal="center" vertical="center"/>
    </xf>
    <xf numFmtId="0" fontId="4" fillId="0" borderId="21" xfId="0" applyFont="1" applyBorder="1" applyAlignment="1">
      <alignment horizontal="center" vertical="center"/>
    </xf>
    <xf numFmtId="3" fontId="1" fillId="0" borderId="21" xfId="0" applyNumberFormat="1" applyFont="1" applyFill="1" applyBorder="1" applyAlignment="1">
      <alignment horizontal="center" vertical="center"/>
    </xf>
    <xf numFmtId="3" fontId="1" fillId="0" borderId="6" xfId="0" applyNumberFormat="1" applyFont="1" applyFill="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2" xfId="0" applyFont="1" applyBorder="1" applyAlignment="1">
      <alignment horizontal="center" vertical="center"/>
    </xf>
    <xf numFmtId="3" fontId="1" fillId="0" borderId="8" xfId="0" applyNumberFormat="1" applyFont="1" applyBorder="1" applyAlignment="1">
      <alignment horizontal="center" vertical="center"/>
    </xf>
    <xf numFmtId="3" fontId="1" fillId="0" borderId="9" xfId="0" applyNumberFormat="1" applyFont="1" applyBorder="1" applyAlignment="1">
      <alignment horizontal="center" vertical="center"/>
    </xf>
    <xf numFmtId="3" fontId="1" fillId="0" borderId="12" xfId="0" applyNumberFormat="1"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3" fontId="1" fillId="0" borderId="17" xfId="0" applyNumberFormat="1" applyFont="1" applyBorder="1" applyAlignment="1">
      <alignment horizontal="center" vertical="center"/>
    </xf>
    <xf numFmtId="3" fontId="1" fillId="0" borderId="18" xfId="0" applyNumberFormat="1" applyFont="1" applyBorder="1" applyAlignment="1">
      <alignment horizontal="center" vertical="center"/>
    </xf>
    <xf numFmtId="3" fontId="1" fillId="0" borderId="19" xfId="0" applyNumberFormat="1" applyFont="1" applyBorder="1" applyAlignment="1">
      <alignment horizontal="center" vertical="center"/>
    </xf>
    <xf numFmtId="3" fontId="1" fillId="0" borderId="22" xfId="0" applyNumberFormat="1" applyFont="1" applyFill="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colors>
    <mruColors>
      <color rgb="FFFFFF99"/>
      <color rgb="FFDD3023"/>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24"/>
  <sheetViews>
    <sheetView rightToLeft="1" tabSelected="1" zoomScaleNormal="100" workbookViewId="0">
      <pane ySplit="1" topLeftCell="A111" activePane="bottomLeft" state="frozen"/>
      <selection pane="bottomLeft" activeCell="A112" sqref="A112:A124"/>
    </sheetView>
  </sheetViews>
  <sheetFormatPr defaultColWidth="10.44140625" defaultRowHeight="20.399999999999999" x14ac:dyDescent="0.25"/>
  <cols>
    <col min="1" max="1" width="10.44140625" style="1" customWidth="1"/>
    <col min="2" max="2" width="11.33203125" style="1" bestFit="1" customWidth="1"/>
    <col min="3" max="3" width="25.44140625" style="3" customWidth="1"/>
    <col min="4" max="4" width="9.109375" style="1" customWidth="1"/>
    <col min="5" max="5" width="13.44140625" style="2" customWidth="1"/>
    <col min="6" max="6" width="14.44140625" style="2" customWidth="1"/>
    <col min="7" max="7" width="16.33203125" style="2" customWidth="1"/>
    <col min="8" max="8" width="15.109375" style="2" customWidth="1"/>
    <col min="9" max="9" width="10.44140625" style="1"/>
    <col min="10" max="10" width="12" style="1" bestFit="1" customWidth="1"/>
    <col min="11" max="11" width="10.44140625" style="1" customWidth="1"/>
    <col min="12" max="12" width="10.44140625" style="1"/>
    <col min="13" max="13" width="11.44140625" style="1" bestFit="1" customWidth="1"/>
    <col min="14" max="16384" width="10.44140625" style="1"/>
  </cols>
  <sheetData>
    <row r="1" spans="1:8" ht="60.6" customHeight="1" thickBot="1" x14ac:dyDescent="0.3">
      <c r="A1" s="4" t="s">
        <v>5</v>
      </c>
      <c r="B1" s="5" t="s">
        <v>0</v>
      </c>
      <c r="C1" s="5" t="s">
        <v>1</v>
      </c>
      <c r="D1" s="5" t="s">
        <v>2</v>
      </c>
      <c r="E1" s="6" t="s">
        <v>7</v>
      </c>
      <c r="F1" s="6" t="s">
        <v>3</v>
      </c>
      <c r="G1" s="6" t="s">
        <v>9</v>
      </c>
      <c r="H1" s="7" t="s">
        <v>6</v>
      </c>
    </row>
    <row r="2" spans="1:8" x14ac:dyDescent="0.25">
      <c r="A2" s="40" t="s">
        <v>4</v>
      </c>
      <c r="B2" s="14" t="s">
        <v>10</v>
      </c>
      <c r="C2" s="16" t="s">
        <v>14</v>
      </c>
      <c r="D2" s="8" t="s">
        <v>8</v>
      </c>
      <c r="E2" s="9">
        <f>200000+3800000+6000000-598665</f>
        <v>9401335</v>
      </c>
      <c r="F2" s="9">
        <v>9391335</v>
      </c>
      <c r="G2" s="18">
        <f t="shared" ref="G2:G8" si="0">E2-F2</f>
        <v>10000</v>
      </c>
      <c r="H2" s="43">
        <f>SUM(F2:F5)</f>
        <v>13384120</v>
      </c>
    </row>
    <row r="3" spans="1:8" x14ac:dyDescent="0.25">
      <c r="A3" s="41"/>
      <c r="B3" s="15" t="s">
        <v>11</v>
      </c>
      <c r="C3" s="13" t="s">
        <v>12</v>
      </c>
      <c r="D3" s="11" t="s">
        <v>13</v>
      </c>
      <c r="E3" s="12">
        <f>125000+175000+610000</f>
        <v>910000</v>
      </c>
      <c r="F3" s="12">
        <v>907480</v>
      </c>
      <c r="G3" s="19">
        <f t="shared" si="0"/>
        <v>2520</v>
      </c>
      <c r="H3" s="44"/>
    </row>
    <row r="4" spans="1:8" x14ac:dyDescent="0.25">
      <c r="A4" s="41"/>
      <c r="B4" s="15" t="s">
        <v>10</v>
      </c>
      <c r="C4" s="13" t="s">
        <v>15</v>
      </c>
      <c r="D4" s="10" t="s">
        <v>8</v>
      </c>
      <c r="E4" s="12">
        <f>598665+150000</f>
        <v>748665</v>
      </c>
      <c r="F4" s="12">
        <v>735305</v>
      </c>
      <c r="G4" s="19">
        <f t="shared" si="0"/>
        <v>13360</v>
      </c>
      <c r="H4" s="44"/>
    </row>
    <row r="5" spans="1:8" ht="21" thickBot="1" x14ac:dyDescent="0.3">
      <c r="A5" s="42"/>
      <c r="B5" s="20" t="s">
        <v>19</v>
      </c>
      <c r="C5" s="21" t="s">
        <v>15</v>
      </c>
      <c r="D5" s="22" t="s">
        <v>8</v>
      </c>
      <c r="E5" s="23">
        <v>2350000</v>
      </c>
      <c r="F5" s="24">
        <v>2350000</v>
      </c>
      <c r="G5" s="25">
        <f t="shared" si="0"/>
        <v>0</v>
      </c>
      <c r="H5" s="45"/>
    </row>
    <row r="6" spans="1:8" x14ac:dyDescent="0.25">
      <c r="A6" s="46" t="s">
        <v>16</v>
      </c>
      <c r="B6" s="14" t="s">
        <v>17</v>
      </c>
      <c r="C6" s="16" t="s">
        <v>18</v>
      </c>
      <c r="D6" s="17" t="s">
        <v>13</v>
      </c>
      <c r="E6" s="9">
        <f>1440316+1070000</f>
        <v>2510316</v>
      </c>
      <c r="F6" s="9">
        <v>2489860</v>
      </c>
      <c r="G6" s="18">
        <f t="shared" si="0"/>
        <v>20456</v>
      </c>
      <c r="H6" s="43">
        <f>SUM(F6:F14)</f>
        <v>23537680</v>
      </c>
    </row>
    <row r="7" spans="1:8" x14ac:dyDescent="0.25">
      <c r="A7" s="47"/>
      <c r="B7" s="15" t="s">
        <v>19</v>
      </c>
      <c r="C7" s="13" t="s">
        <v>20</v>
      </c>
      <c r="D7" s="10" t="s">
        <v>8</v>
      </c>
      <c r="E7" s="12">
        <f>4000000+980000-297506</f>
        <v>4682494</v>
      </c>
      <c r="F7" s="12">
        <v>4682494</v>
      </c>
      <c r="G7" s="19">
        <f t="shared" si="0"/>
        <v>0</v>
      </c>
      <c r="H7" s="44"/>
    </row>
    <row r="8" spans="1:8" x14ac:dyDescent="0.25">
      <c r="A8" s="47"/>
      <c r="B8" s="15" t="s">
        <v>21</v>
      </c>
      <c r="C8" s="13" t="s">
        <v>22</v>
      </c>
      <c r="D8" s="11" t="s">
        <v>13</v>
      </c>
      <c r="E8" s="12">
        <f>3350000+500000</f>
        <v>3850000</v>
      </c>
      <c r="F8" s="12">
        <v>3848697</v>
      </c>
      <c r="G8" s="19">
        <f t="shared" si="0"/>
        <v>1303</v>
      </c>
      <c r="H8" s="44"/>
    </row>
    <row r="9" spans="1:8" x14ac:dyDescent="0.25">
      <c r="A9" s="47"/>
      <c r="B9" s="15" t="s">
        <v>25</v>
      </c>
      <c r="C9" s="13" t="s">
        <v>15</v>
      </c>
      <c r="D9" s="11" t="s">
        <v>13</v>
      </c>
      <c r="E9" s="12">
        <f>2100000+1000000</f>
        <v>3100000</v>
      </c>
      <c r="F9" s="12">
        <v>3094978</v>
      </c>
      <c r="G9" s="19">
        <f t="shared" ref="G9:G14" si="1">E9-F9</f>
        <v>5022</v>
      </c>
      <c r="H9" s="44"/>
    </row>
    <row r="10" spans="1:8" x14ac:dyDescent="0.25">
      <c r="A10" s="47"/>
      <c r="B10" s="15" t="s">
        <v>25</v>
      </c>
      <c r="C10" s="13" t="s">
        <v>22</v>
      </c>
      <c r="D10" s="11" t="s">
        <v>13</v>
      </c>
      <c r="E10" s="12">
        <v>2900000</v>
      </c>
      <c r="F10" s="12">
        <v>2890633</v>
      </c>
      <c r="G10" s="19">
        <f t="shared" si="1"/>
        <v>9367</v>
      </c>
      <c r="H10" s="44"/>
    </row>
    <row r="11" spans="1:8" x14ac:dyDescent="0.25">
      <c r="A11" s="47"/>
      <c r="B11" s="15" t="s">
        <v>11</v>
      </c>
      <c r="C11" s="13" t="s">
        <v>22</v>
      </c>
      <c r="D11" s="11" t="s">
        <v>13</v>
      </c>
      <c r="E11" s="12">
        <v>950000</v>
      </c>
      <c r="F11" s="12">
        <v>950000</v>
      </c>
      <c r="G11" s="19">
        <f t="shared" si="1"/>
        <v>0</v>
      </c>
      <c r="H11" s="44"/>
    </row>
    <row r="12" spans="1:8" x14ac:dyDescent="0.25">
      <c r="A12" s="47"/>
      <c r="B12" s="15" t="s">
        <v>11</v>
      </c>
      <c r="C12" s="13" t="s">
        <v>26</v>
      </c>
      <c r="D12" s="11" t="s">
        <v>13</v>
      </c>
      <c r="E12" s="12">
        <v>1500000</v>
      </c>
      <c r="F12" s="12">
        <v>1497571</v>
      </c>
      <c r="G12" s="19">
        <f t="shared" si="1"/>
        <v>2429</v>
      </c>
      <c r="H12" s="44"/>
    </row>
    <row r="13" spans="1:8" x14ac:dyDescent="0.25">
      <c r="A13" s="47"/>
      <c r="B13" s="15" t="s">
        <v>11</v>
      </c>
      <c r="C13" s="13" t="s">
        <v>26</v>
      </c>
      <c r="D13" s="11" t="s">
        <v>27</v>
      </c>
      <c r="E13" s="12">
        <v>1600000</v>
      </c>
      <c r="F13" s="12">
        <v>1599207</v>
      </c>
      <c r="G13" s="19">
        <f t="shared" si="1"/>
        <v>793</v>
      </c>
      <c r="H13" s="44"/>
    </row>
    <row r="14" spans="1:8" ht="21" thickBot="1" x14ac:dyDescent="0.3">
      <c r="A14" s="47"/>
      <c r="B14" s="20" t="s">
        <v>28</v>
      </c>
      <c r="C14" s="21" t="s">
        <v>37</v>
      </c>
      <c r="D14" s="26" t="s">
        <v>13</v>
      </c>
      <c r="E14" s="23">
        <f>125000+2375000</f>
        <v>2500000</v>
      </c>
      <c r="F14" s="23">
        <v>2484240</v>
      </c>
      <c r="G14" s="25">
        <f t="shared" si="1"/>
        <v>15760</v>
      </c>
      <c r="H14" s="45"/>
    </row>
    <row r="15" spans="1:8" x14ac:dyDescent="0.25">
      <c r="A15" s="40" t="s">
        <v>29</v>
      </c>
      <c r="B15" s="14" t="s">
        <v>30</v>
      </c>
      <c r="C15" s="16" t="s">
        <v>33</v>
      </c>
      <c r="D15" s="17" t="s">
        <v>13</v>
      </c>
      <c r="E15" s="9">
        <f>237500+12500</f>
        <v>250000</v>
      </c>
      <c r="F15" s="9">
        <v>250000</v>
      </c>
      <c r="G15" s="18">
        <f>E15-F15</f>
        <v>0</v>
      </c>
      <c r="H15" s="43">
        <f>SUM(F15:F22)</f>
        <v>15699311</v>
      </c>
    </row>
    <row r="16" spans="1:8" x14ac:dyDescent="0.25">
      <c r="A16" s="41"/>
      <c r="B16" s="15" t="s">
        <v>32</v>
      </c>
      <c r="C16" s="13" t="s">
        <v>33</v>
      </c>
      <c r="D16" s="11" t="s">
        <v>13</v>
      </c>
      <c r="E16" s="12">
        <f>494500+560000+988000+107500</f>
        <v>2150000</v>
      </c>
      <c r="F16" s="12">
        <v>2116109</v>
      </c>
      <c r="G16" s="19">
        <f t="shared" ref="G16:G17" si="2">E16-F16</f>
        <v>33891</v>
      </c>
      <c r="H16" s="44"/>
    </row>
    <row r="17" spans="1:8" x14ac:dyDescent="0.25">
      <c r="A17" s="41"/>
      <c r="B17" s="15" t="s">
        <v>31</v>
      </c>
      <c r="C17" s="13" t="s">
        <v>33</v>
      </c>
      <c r="D17" s="11" t="s">
        <v>13</v>
      </c>
      <c r="E17" s="12">
        <f>1600000+100000</f>
        <v>1700000</v>
      </c>
      <c r="F17" s="12">
        <v>1700000</v>
      </c>
      <c r="G17" s="19">
        <f t="shared" si="2"/>
        <v>0</v>
      </c>
      <c r="H17" s="44"/>
    </row>
    <row r="18" spans="1:8" x14ac:dyDescent="0.25">
      <c r="A18" s="41"/>
      <c r="B18" s="15" t="s">
        <v>19</v>
      </c>
      <c r="C18" s="13" t="s">
        <v>34</v>
      </c>
      <c r="D18" s="10" t="s">
        <v>8</v>
      </c>
      <c r="E18" s="12">
        <v>297506</v>
      </c>
      <c r="F18" s="12">
        <v>297415</v>
      </c>
      <c r="G18" s="19">
        <f>E18-F18</f>
        <v>91</v>
      </c>
      <c r="H18" s="44"/>
    </row>
    <row r="19" spans="1:8" x14ac:dyDescent="0.25">
      <c r="A19" s="41"/>
      <c r="B19" s="15" t="s">
        <v>19</v>
      </c>
      <c r="C19" s="13" t="s">
        <v>34</v>
      </c>
      <c r="D19" s="11" t="s">
        <v>13</v>
      </c>
      <c r="E19" s="12">
        <v>500000</v>
      </c>
      <c r="F19" s="12">
        <v>500000</v>
      </c>
      <c r="G19" s="19">
        <f t="shared" ref="G19:G23" si="3">E19-F19</f>
        <v>0</v>
      </c>
      <c r="H19" s="44"/>
    </row>
    <row r="20" spans="1:8" x14ac:dyDescent="0.25">
      <c r="A20" s="41"/>
      <c r="B20" s="15" t="s">
        <v>11</v>
      </c>
      <c r="C20" s="13" t="s">
        <v>34</v>
      </c>
      <c r="D20" s="11" t="s">
        <v>13</v>
      </c>
      <c r="E20" s="12">
        <f>150000+300000+450000</f>
        <v>900000</v>
      </c>
      <c r="F20" s="12">
        <v>889195</v>
      </c>
      <c r="G20" s="19">
        <f t="shared" si="3"/>
        <v>10805</v>
      </c>
      <c r="H20" s="44"/>
    </row>
    <row r="21" spans="1:8" x14ac:dyDescent="0.25">
      <c r="A21" s="41"/>
      <c r="B21" s="15" t="s">
        <v>35</v>
      </c>
      <c r="C21" s="13" t="s">
        <v>36</v>
      </c>
      <c r="D21" s="11" t="s">
        <v>13</v>
      </c>
      <c r="E21" s="12">
        <f>9500000+500000</f>
        <v>10000000</v>
      </c>
      <c r="F21" s="12">
        <v>9946592</v>
      </c>
      <c r="G21" s="19">
        <f t="shared" si="3"/>
        <v>53408</v>
      </c>
      <c r="H21" s="44"/>
    </row>
    <row r="22" spans="1:8" ht="21" thickBot="1" x14ac:dyDescent="0.3">
      <c r="A22" s="42"/>
      <c r="B22" s="20" t="s">
        <v>21</v>
      </c>
      <c r="C22" s="21" t="s">
        <v>23</v>
      </c>
      <c r="D22" s="22" t="s">
        <v>24</v>
      </c>
      <c r="E22" s="23">
        <f>300000+5000000</f>
        <v>5300000</v>
      </c>
      <c r="F22" s="23">
        <v>0</v>
      </c>
      <c r="G22" s="25">
        <f t="shared" si="3"/>
        <v>5300000</v>
      </c>
      <c r="H22" s="45"/>
    </row>
    <row r="23" spans="1:8" x14ac:dyDescent="0.25">
      <c r="A23" s="40" t="s">
        <v>38</v>
      </c>
      <c r="B23" s="14" t="s">
        <v>25</v>
      </c>
      <c r="C23" s="16" t="s">
        <v>39</v>
      </c>
      <c r="D23" s="17" t="s">
        <v>13</v>
      </c>
      <c r="E23" s="9">
        <f>5000000+3000000+1100000</f>
        <v>9100000</v>
      </c>
      <c r="F23" s="9">
        <v>9099742</v>
      </c>
      <c r="G23" s="18">
        <f t="shared" si="3"/>
        <v>258</v>
      </c>
      <c r="H23" s="43">
        <f>SUM(F23:F29)</f>
        <v>20996619</v>
      </c>
    </row>
    <row r="24" spans="1:8" x14ac:dyDescent="0.25">
      <c r="A24" s="41"/>
      <c r="B24" s="15" t="s">
        <v>32</v>
      </c>
      <c r="C24" s="13" t="s">
        <v>40</v>
      </c>
      <c r="D24" s="11" t="s">
        <v>13</v>
      </c>
      <c r="E24" s="12">
        <f>1140000+60000+250000</f>
        <v>1450000</v>
      </c>
      <c r="F24" s="12">
        <v>1449957</v>
      </c>
      <c r="G24" s="19">
        <f>E24-F24</f>
        <v>43</v>
      </c>
      <c r="H24" s="44"/>
    </row>
    <row r="25" spans="1:8" x14ac:dyDescent="0.25">
      <c r="A25" s="41"/>
      <c r="B25" s="15" t="s">
        <v>25</v>
      </c>
      <c r="C25" s="13" t="s">
        <v>15</v>
      </c>
      <c r="D25" s="10" t="s">
        <v>8</v>
      </c>
      <c r="E25" s="12">
        <v>900000</v>
      </c>
      <c r="F25" s="12">
        <v>894783</v>
      </c>
      <c r="G25" s="19">
        <f t="shared" ref="G25:G27" si="4">E25-F25</f>
        <v>5217</v>
      </c>
      <c r="H25" s="44"/>
    </row>
    <row r="26" spans="1:8" x14ac:dyDescent="0.25">
      <c r="A26" s="41"/>
      <c r="B26" s="15" t="s">
        <v>11</v>
      </c>
      <c r="C26" s="13" t="s">
        <v>15</v>
      </c>
      <c r="D26" s="10" t="s">
        <v>8</v>
      </c>
      <c r="E26" s="12">
        <f>1210000+147000+843000</f>
        <v>2200000</v>
      </c>
      <c r="F26" s="12">
        <v>2200000</v>
      </c>
      <c r="G26" s="19">
        <f t="shared" si="4"/>
        <v>0</v>
      </c>
      <c r="H26" s="44"/>
    </row>
    <row r="27" spans="1:8" x14ac:dyDescent="0.25">
      <c r="A27" s="41"/>
      <c r="B27" s="15" t="s">
        <v>11</v>
      </c>
      <c r="C27" s="13" t="s">
        <v>41</v>
      </c>
      <c r="D27" s="10" t="s">
        <v>8</v>
      </c>
      <c r="E27" s="12">
        <f>950000+50000+2850000+150000</f>
        <v>4000000</v>
      </c>
      <c r="F27" s="12">
        <v>3703227</v>
      </c>
      <c r="G27" s="19">
        <f t="shared" si="4"/>
        <v>296773</v>
      </c>
      <c r="H27" s="44"/>
    </row>
    <row r="28" spans="1:8" x14ac:dyDescent="0.25">
      <c r="A28" s="41"/>
      <c r="B28" s="27" t="s">
        <v>42</v>
      </c>
      <c r="C28" s="11" t="s">
        <v>43</v>
      </c>
      <c r="D28" s="11" t="s">
        <v>13</v>
      </c>
      <c r="E28" s="12">
        <v>999040</v>
      </c>
      <c r="F28" s="12">
        <f>42470+319640+281610+355320</f>
        <v>999040</v>
      </c>
      <c r="G28" s="19">
        <f t="shared" ref="G28:G44" si="5">E28-F28</f>
        <v>0</v>
      </c>
      <c r="H28" s="44"/>
    </row>
    <row r="29" spans="1:8" ht="21" thickBot="1" x14ac:dyDescent="0.3">
      <c r="A29" s="42"/>
      <c r="B29" s="20" t="s">
        <v>21</v>
      </c>
      <c r="C29" s="21" t="s">
        <v>44</v>
      </c>
      <c r="D29" s="26" t="s">
        <v>13</v>
      </c>
      <c r="E29" s="23">
        <f>150000+2500000</f>
        <v>2650000</v>
      </c>
      <c r="F29" s="23">
        <v>2649870</v>
      </c>
      <c r="G29" s="25">
        <f t="shared" si="5"/>
        <v>130</v>
      </c>
      <c r="H29" s="45"/>
    </row>
    <row r="30" spans="1:8" x14ac:dyDescent="0.25">
      <c r="A30" s="40" t="s">
        <v>46</v>
      </c>
      <c r="B30" s="14" t="s">
        <v>21</v>
      </c>
      <c r="C30" s="16" t="s">
        <v>26</v>
      </c>
      <c r="D30" s="17" t="s">
        <v>13</v>
      </c>
      <c r="E30" s="9">
        <f>250000+750000</f>
        <v>1000000</v>
      </c>
      <c r="F30" s="9">
        <v>971059</v>
      </c>
      <c r="G30" s="18">
        <f t="shared" si="5"/>
        <v>28941</v>
      </c>
      <c r="H30" s="43">
        <f>SUM(F30:F40)</f>
        <v>26594574</v>
      </c>
    </row>
    <row r="31" spans="1:8" x14ac:dyDescent="0.25">
      <c r="A31" s="41"/>
      <c r="B31" s="15" t="s">
        <v>21</v>
      </c>
      <c r="C31" s="13" t="s">
        <v>26</v>
      </c>
      <c r="D31" s="11" t="s">
        <v>27</v>
      </c>
      <c r="E31" s="12">
        <v>2100000</v>
      </c>
      <c r="F31" s="12">
        <v>2099581</v>
      </c>
      <c r="G31" s="19">
        <f t="shared" si="5"/>
        <v>419</v>
      </c>
      <c r="H31" s="44"/>
    </row>
    <row r="32" spans="1:8" x14ac:dyDescent="0.25">
      <c r="A32" s="41"/>
      <c r="B32" s="15" t="s">
        <v>21</v>
      </c>
      <c r="C32" s="13" t="s">
        <v>45</v>
      </c>
      <c r="D32" s="10" t="s">
        <v>24</v>
      </c>
      <c r="E32" s="12">
        <f>750000+150000+1500000+1500000</f>
        <v>3900000</v>
      </c>
      <c r="F32" s="12">
        <v>3823853</v>
      </c>
      <c r="G32" s="19">
        <f t="shared" si="5"/>
        <v>76147</v>
      </c>
      <c r="H32" s="44"/>
    </row>
    <row r="33" spans="1:10" x14ac:dyDescent="0.25">
      <c r="A33" s="41"/>
      <c r="B33" s="15" t="s">
        <v>25</v>
      </c>
      <c r="C33" s="13" t="s">
        <v>15</v>
      </c>
      <c r="D33" s="10" t="s">
        <v>8</v>
      </c>
      <c r="E33" s="12">
        <f>1500000+100000+1500000</f>
        <v>3100000</v>
      </c>
      <c r="F33" s="12">
        <v>3096131</v>
      </c>
      <c r="G33" s="19">
        <f t="shared" si="5"/>
        <v>3869</v>
      </c>
      <c r="H33" s="44"/>
    </row>
    <row r="34" spans="1:10" x14ac:dyDescent="0.25">
      <c r="A34" s="41"/>
      <c r="B34" s="15" t="s">
        <v>47</v>
      </c>
      <c r="C34" s="13" t="s">
        <v>48</v>
      </c>
      <c r="D34" s="11" t="s">
        <v>13</v>
      </c>
      <c r="E34" s="12">
        <f>2375000+125000+2375000+125000</f>
        <v>5000000</v>
      </c>
      <c r="F34" s="12">
        <v>5000000</v>
      </c>
      <c r="G34" s="19">
        <f t="shared" si="5"/>
        <v>0</v>
      </c>
      <c r="H34" s="44"/>
    </row>
    <row r="35" spans="1:10" x14ac:dyDescent="0.25">
      <c r="A35" s="41"/>
      <c r="B35" s="15" t="s">
        <v>49</v>
      </c>
      <c r="C35" s="13" t="s">
        <v>48</v>
      </c>
      <c r="D35" s="11" t="s">
        <v>13</v>
      </c>
      <c r="E35" s="12">
        <f>100000+1210000+90000+1900000</f>
        <v>3300000</v>
      </c>
      <c r="F35" s="12">
        <v>3281335</v>
      </c>
      <c r="G35" s="19">
        <f t="shared" si="5"/>
        <v>18665</v>
      </c>
      <c r="H35" s="44"/>
    </row>
    <row r="36" spans="1:10" x14ac:dyDescent="0.25">
      <c r="A36" s="41"/>
      <c r="B36" s="15" t="s">
        <v>32</v>
      </c>
      <c r="C36" s="13" t="s">
        <v>51</v>
      </c>
      <c r="D36" s="10" t="s">
        <v>8</v>
      </c>
      <c r="E36" s="12">
        <f>100000+953000+947000</f>
        <v>2000000</v>
      </c>
      <c r="F36" s="12">
        <f>946700+947000+100000</f>
        <v>1993700</v>
      </c>
      <c r="G36" s="19">
        <f t="shared" si="5"/>
        <v>6300</v>
      </c>
      <c r="H36" s="44"/>
    </row>
    <row r="37" spans="1:10" x14ac:dyDescent="0.25">
      <c r="A37" s="41"/>
      <c r="B37" s="15" t="s">
        <v>50</v>
      </c>
      <c r="C37" s="13" t="s">
        <v>51</v>
      </c>
      <c r="D37" s="10" t="s">
        <v>8</v>
      </c>
      <c r="E37" s="12">
        <v>130000</v>
      </c>
      <c r="F37" s="12">
        <v>130000</v>
      </c>
      <c r="G37" s="19">
        <f t="shared" si="5"/>
        <v>0</v>
      </c>
      <c r="H37" s="44"/>
    </row>
    <row r="38" spans="1:10" x14ac:dyDescent="0.25">
      <c r="A38" s="41"/>
      <c r="B38" s="15" t="s">
        <v>49</v>
      </c>
      <c r="C38" s="13" t="s">
        <v>12</v>
      </c>
      <c r="D38" s="11" t="s">
        <v>13</v>
      </c>
      <c r="E38" s="12">
        <f>427500+22500+500000</f>
        <v>950000</v>
      </c>
      <c r="F38" s="12">
        <f>544431+374981</f>
        <v>919412</v>
      </c>
      <c r="G38" s="19">
        <f t="shared" si="5"/>
        <v>30588</v>
      </c>
      <c r="H38" s="44"/>
      <c r="J38" s="2"/>
    </row>
    <row r="39" spans="1:10" x14ac:dyDescent="0.25">
      <c r="A39" s="41"/>
      <c r="B39" s="15" t="s">
        <v>50</v>
      </c>
      <c r="C39" s="13" t="s">
        <v>52</v>
      </c>
      <c r="D39" s="10" t="s">
        <v>8</v>
      </c>
      <c r="E39" s="12">
        <v>280000</v>
      </c>
      <c r="F39" s="12">
        <v>279503</v>
      </c>
      <c r="G39" s="19">
        <f t="shared" si="5"/>
        <v>497</v>
      </c>
      <c r="H39" s="44"/>
    </row>
    <row r="40" spans="1:10" ht="21" thickBot="1" x14ac:dyDescent="0.3">
      <c r="A40" s="42"/>
      <c r="B40" s="20" t="s">
        <v>11</v>
      </c>
      <c r="C40" s="21" t="s">
        <v>52</v>
      </c>
      <c r="D40" s="22" t="s">
        <v>8</v>
      </c>
      <c r="E40" s="23">
        <f>1900000+100000+1900000+100000+950000+50000</f>
        <v>5000000</v>
      </c>
      <c r="F40" s="23">
        <v>5000000</v>
      </c>
      <c r="G40" s="25">
        <f t="shared" si="5"/>
        <v>0</v>
      </c>
      <c r="H40" s="45"/>
    </row>
    <row r="41" spans="1:10" x14ac:dyDescent="0.65">
      <c r="A41" s="40" t="s">
        <v>53</v>
      </c>
      <c r="B41" s="14" t="s">
        <v>32</v>
      </c>
      <c r="C41" s="16" t="s">
        <v>23</v>
      </c>
      <c r="D41" s="8" t="s">
        <v>8</v>
      </c>
      <c r="E41" s="9">
        <f>1900000+100000</f>
        <v>2000000</v>
      </c>
      <c r="F41" s="28">
        <v>2000000</v>
      </c>
      <c r="G41" s="18">
        <f t="shared" si="5"/>
        <v>0</v>
      </c>
      <c r="H41" s="49">
        <f>SUM(F41:F46)</f>
        <v>14913556</v>
      </c>
    </row>
    <row r="42" spans="1:10" x14ac:dyDescent="0.65">
      <c r="A42" s="41"/>
      <c r="B42" s="15" t="s">
        <v>50</v>
      </c>
      <c r="C42" s="13" t="s">
        <v>23</v>
      </c>
      <c r="D42" s="10" t="s">
        <v>8</v>
      </c>
      <c r="E42" s="12">
        <f>50000+660000+540000</f>
        <v>1250000</v>
      </c>
      <c r="F42" s="29">
        <v>1209713</v>
      </c>
      <c r="G42" s="19">
        <f t="shared" si="5"/>
        <v>40287</v>
      </c>
      <c r="H42" s="50"/>
    </row>
    <row r="43" spans="1:10" x14ac:dyDescent="0.65">
      <c r="A43" s="41"/>
      <c r="B43" s="15" t="s">
        <v>31</v>
      </c>
      <c r="C43" s="13" t="s">
        <v>23</v>
      </c>
      <c r="D43" s="10" t="s">
        <v>8</v>
      </c>
      <c r="E43" s="12">
        <f>997500+52500+755000+195000+50000</f>
        <v>2050000</v>
      </c>
      <c r="F43" s="29">
        <v>2050000</v>
      </c>
      <c r="G43" s="19">
        <f t="shared" si="5"/>
        <v>0</v>
      </c>
      <c r="H43" s="50"/>
    </row>
    <row r="44" spans="1:10" x14ac:dyDescent="0.25">
      <c r="A44" s="41"/>
      <c r="B44" s="15" t="s">
        <v>47</v>
      </c>
      <c r="C44" s="13" t="s">
        <v>54</v>
      </c>
      <c r="D44" s="11" t="s">
        <v>13</v>
      </c>
      <c r="E44" s="12">
        <f>950000+50000</f>
        <v>1000000</v>
      </c>
      <c r="F44" s="12">
        <v>918119</v>
      </c>
      <c r="G44" s="19">
        <f t="shared" si="5"/>
        <v>81881</v>
      </c>
      <c r="H44" s="50"/>
    </row>
    <row r="45" spans="1:10" x14ac:dyDescent="0.25">
      <c r="A45" s="41"/>
      <c r="B45" s="15" t="s">
        <v>47</v>
      </c>
      <c r="C45" s="13" t="s">
        <v>41</v>
      </c>
      <c r="D45" s="10" t="s">
        <v>8</v>
      </c>
      <c r="E45" s="12">
        <f>1900000+100000+617500+32500+1250000</f>
        <v>3900000</v>
      </c>
      <c r="F45" s="12">
        <v>3736391</v>
      </c>
      <c r="G45" s="19">
        <f>E45-F45</f>
        <v>163609</v>
      </c>
      <c r="H45" s="50"/>
    </row>
    <row r="46" spans="1:10" ht="21" thickBot="1" x14ac:dyDescent="0.3">
      <c r="A46" s="42"/>
      <c r="B46" s="20" t="s">
        <v>47</v>
      </c>
      <c r="C46" s="21" t="s">
        <v>51</v>
      </c>
      <c r="D46" s="22" t="s">
        <v>8</v>
      </c>
      <c r="E46" s="23">
        <f>2375000+125000+475000+25000+1900000+100000</f>
        <v>5000000</v>
      </c>
      <c r="F46" s="23">
        <v>4999333</v>
      </c>
      <c r="G46" s="25">
        <f>E46-F46</f>
        <v>667</v>
      </c>
      <c r="H46" s="50"/>
    </row>
    <row r="47" spans="1:10" x14ac:dyDescent="0.25">
      <c r="A47" s="46" t="s">
        <v>55</v>
      </c>
      <c r="B47" s="14" t="s">
        <v>25</v>
      </c>
      <c r="C47" s="16" t="s">
        <v>22</v>
      </c>
      <c r="D47" s="17" t="s">
        <v>13</v>
      </c>
      <c r="E47" s="9">
        <f>1550000+2350000+100000</f>
        <v>4000000</v>
      </c>
      <c r="F47" s="9">
        <v>3995689</v>
      </c>
      <c r="G47" s="18">
        <f>E47-F47</f>
        <v>4311</v>
      </c>
      <c r="H47" s="49">
        <f>SUM(F47:F52)</f>
        <v>11529092</v>
      </c>
    </row>
    <row r="48" spans="1:10" x14ac:dyDescent="0.25">
      <c r="A48" s="47"/>
      <c r="B48" s="15" t="s">
        <v>31</v>
      </c>
      <c r="C48" s="13" t="s">
        <v>56</v>
      </c>
      <c r="D48" s="10" t="s">
        <v>8</v>
      </c>
      <c r="E48" s="12">
        <f>1900000+100000</f>
        <v>2000000</v>
      </c>
      <c r="F48" s="12">
        <v>1999003</v>
      </c>
      <c r="G48" s="19">
        <f t="shared" ref="G48:G49" si="6">E48-F48</f>
        <v>997</v>
      </c>
      <c r="H48" s="50"/>
    </row>
    <row r="49" spans="1:8" x14ac:dyDescent="0.25">
      <c r="A49" s="47"/>
      <c r="B49" s="15" t="s">
        <v>50</v>
      </c>
      <c r="C49" s="13" t="s">
        <v>56</v>
      </c>
      <c r="D49" s="10" t="s">
        <v>8</v>
      </c>
      <c r="E49" s="12">
        <f>290000+50000</f>
        <v>340000</v>
      </c>
      <c r="F49" s="12">
        <v>340000</v>
      </c>
      <c r="G49" s="19">
        <f t="shared" si="6"/>
        <v>0</v>
      </c>
      <c r="H49" s="50"/>
    </row>
    <row r="50" spans="1:8" x14ac:dyDescent="0.25">
      <c r="A50" s="47"/>
      <c r="B50" s="15" t="s">
        <v>57</v>
      </c>
      <c r="C50" s="11" t="s">
        <v>43</v>
      </c>
      <c r="D50" s="11" t="s">
        <v>13</v>
      </c>
      <c r="E50" s="12">
        <v>971370</v>
      </c>
      <c r="F50" s="12">
        <f>228000+370050+373320</f>
        <v>971370</v>
      </c>
      <c r="G50" s="19">
        <f t="shared" ref="G50:G58" si="7">E50-F50</f>
        <v>0</v>
      </c>
      <c r="H50" s="50"/>
    </row>
    <row r="51" spans="1:8" x14ac:dyDescent="0.25">
      <c r="A51" s="47"/>
      <c r="B51" s="15" t="s">
        <v>11</v>
      </c>
      <c r="C51" s="13" t="s">
        <v>59</v>
      </c>
      <c r="D51" s="10" t="s">
        <v>8</v>
      </c>
      <c r="E51" s="12">
        <f>100000+690000</f>
        <v>790000</v>
      </c>
      <c r="F51" s="12">
        <v>773030</v>
      </c>
      <c r="G51" s="19">
        <f t="shared" si="7"/>
        <v>16970</v>
      </c>
      <c r="H51" s="50"/>
    </row>
    <row r="52" spans="1:8" ht="21" thickBot="1" x14ac:dyDescent="0.3">
      <c r="A52" s="47"/>
      <c r="B52" s="20" t="s">
        <v>58</v>
      </c>
      <c r="C52" s="21" t="s">
        <v>59</v>
      </c>
      <c r="D52" s="22" t="s">
        <v>8</v>
      </c>
      <c r="E52" s="23">
        <f>2700000+300000+450000</f>
        <v>3450000</v>
      </c>
      <c r="F52" s="23">
        <v>3450000</v>
      </c>
      <c r="G52" s="25">
        <f t="shared" si="7"/>
        <v>0</v>
      </c>
      <c r="H52" s="50"/>
    </row>
    <row r="53" spans="1:8" x14ac:dyDescent="0.25">
      <c r="A53" s="40" t="s">
        <v>62</v>
      </c>
      <c r="B53" s="14" t="s">
        <v>60</v>
      </c>
      <c r="C53" s="16" t="s">
        <v>61</v>
      </c>
      <c r="D53" s="8" t="s">
        <v>8</v>
      </c>
      <c r="E53" s="9">
        <f>2755000+145000+1900000+100000</f>
        <v>4900000</v>
      </c>
      <c r="F53" s="9">
        <v>4897825</v>
      </c>
      <c r="G53" s="18">
        <f t="shared" si="7"/>
        <v>2175</v>
      </c>
      <c r="H53" s="43">
        <f>SUM(F53:F62)</f>
        <v>27182986</v>
      </c>
    </row>
    <row r="54" spans="1:8" x14ac:dyDescent="0.25">
      <c r="A54" s="41"/>
      <c r="B54" s="15" t="s">
        <v>60</v>
      </c>
      <c r="C54" s="13" t="s">
        <v>51</v>
      </c>
      <c r="D54" s="11" t="s">
        <v>13</v>
      </c>
      <c r="E54" s="12">
        <f>2700000+300000+1800000+200000</f>
        <v>5000000</v>
      </c>
      <c r="F54" s="12">
        <v>4999360</v>
      </c>
      <c r="G54" s="19">
        <f t="shared" si="7"/>
        <v>640</v>
      </c>
      <c r="H54" s="44"/>
    </row>
    <row r="55" spans="1:8" x14ac:dyDescent="0.25">
      <c r="A55" s="41"/>
      <c r="B55" s="15" t="s">
        <v>11</v>
      </c>
      <c r="C55" s="13" t="s">
        <v>23</v>
      </c>
      <c r="D55" s="10" t="s">
        <v>8</v>
      </c>
      <c r="E55" s="12">
        <f>950000+50000+950000+50000</f>
        <v>2000000</v>
      </c>
      <c r="F55" s="12">
        <v>2000000</v>
      </c>
      <c r="G55" s="19">
        <f t="shared" si="7"/>
        <v>0</v>
      </c>
      <c r="H55" s="44"/>
    </row>
    <row r="56" spans="1:8" x14ac:dyDescent="0.25">
      <c r="A56" s="41"/>
      <c r="B56" s="15" t="s">
        <v>58</v>
      </c>
      <c r="C56" s="13" t="s">
        <v>23</v>
      </c>
      <c r="D56" s="10" t="s">
        <v>8</v>
      </c>
      <c r="E56" s="12">
        <f>450000+100000+450000+50000+1350000+150000</f>
        <v>2550000</v>
      </c>
      <c r="F56" s="12">
        <v>2546740</v>
      </c>
      <c r="G56" s="19">
        <f t="shared" si="7"/>
        <v>3260</v>
      </c>
      <c r="H56" s="44"/>
    </row>
    <row r="57" spans="1:8" x14ac:dyDescent="0.25">
      <c r="A57" s="41"/>
      <c r="B57" s="15" t="s">
        <v>60</v>
      </c>
      <c r="C57" s="13" t="s">
        <v>54</v>
      </c>
      <c r="D57" s="11" t="s">
        <v>13</v>
      </c>
      <c r="E57" s="12">
        <f>900000+100000</f>
        <v>1000000</v>
      </c>
      <c r="F57" s="12">
        <v>912164</v>
      </c>
      <c r="G57" s="19">
        <f t="shared" si="7"/>
        <v>87836</v>
      </c>
      <c r="H57" s="44"/>
    </row>
    <row r="58" spans="1:8" x14ac:dyDescent="0.25">
      <c r="A58" s="41"/>
      <c r="B58" s="15" t="s">
        <v>60</v>
      </c>
      <c r="C58" s="13" t="s">
        <v>64</v>
      </c>
      <c r="D58" s="11" t="s">
        <v>13</v>
      </c>
      <c r="E58" s="12">
        <f>2700000+300000+1000000+800000+200000</f>
        <v>5000000</v>
      </c>
      <c r="F58" s="12">
        <v>4998637</v>
      </c>
      <c r="G58" s="19">
        <f t="shared" si="7"/>
        <v>1363</v>
      </c>
      <c r="H58" s="44"/>
    </row>
    <row r="59" spans="1:8" x14ac:dyDescent="0.25">
      <c r="A59" s="41"/>
      <c r="B59" s="15" t="s">
        <v>63</v>
      </c>
      <c r="C59" s="13" t="s">
        <v>59</v>
      </c>
      <c r="D59" s="10" t="s">
        <v>65</v>
      </c>
      <c r="E59" s="12">
        <v>4250000</v>
      </c>
      <c r="F59" s="12">
        <v>4218497</v>
      </c>
      <c r="G59" s="19">
        <f t="shared" ref="G59:G64" si="8">E59-F59</f>
        <v>31503</v>
      </c>
      <c r="H59" s="44"/>
    </row>
    <row r="60" spans="1:8" x14ac:dyDescent="0.25">
      <c r="A60" s="41"/>
      <c r="B60" s="15" t="s">
        <v>57</v>
      </c>
      <c r="C60" s="11" t="s">
        <v>43</v>
      </c>
      <c r="D60" s="11" t="s">
        <v>13</v>
      </c>
      <c r="E60" s="12">
        <f>55000+73630-128630</f>
        <v>0</v>
      </c>
      <c r="F60" s="12">
        <v>0</v>
      </c>
      <c r="G60" s="19">
        <f t="shared" si="8"/>
        <v>0</v>
      </c>
      <c r="H60" s="44"/>
    </row>
    <row r="61" spans="1:8" x14ac:dyDescent="0.25">
      <c r="A61" s="41"/>
      <c r="B61" s="15" t="s">
        <v>47</v>
      </c>
      <c r="C61" s="13" t="s">
        <v>51</v>
      </c>
      <c r="D61" s="11" t="s">
        <v>13</v>
      </c>
      <c r="E61" s="12">
        <f>2250000+1350000</f>
        <v>3600000</v>
      </c>
      <c r="F61" s="12">
        <v>0</v>
      </c>
      <c r="G61" s="19">
        <f t="shared" si="8"/>
        <v>3600000</v>
      </c>
      <c r="H61" s="44"/>
    </row>
    <row r="62" spans="1:8" ht="21" thickBot="1" x14ac:dyDescent="0.3">
      <c r="A62" s="42"/>
      <c r="B62" s="20" t="s">
        <v>66</v>
      </c>
      <c r="C62" s="21" t="s">
        <v>44</v>
      </c>
      <c r="D62" s="22" t="s">
        <v>8</v>
      </c>
      <c r="E62" s="23">
        <f>650000+200000+1800000</f>
        <v>2650000</v>
      </c>
      <c r="F62" s="23">
        <v>2609763</v>
      </c>
      <c r="G62" s="25">
        <f t="shared" si="8"/>
        <v>40237</v>
      </c>
      <c r="H62" s="45"/>
    </row>
    <row r="63" spans="1:8" x14ac:dyDescent="0.25">
      <c r="A63" s="40" t="s">
        <v>67</v>
      </c>
      <c r="B63" s="14" t="s">
        <v>47</v>
      </c>
      <c r="C63" s="16" t="s">
        <v>40</v>
      </c>
      <c r="D63" s="17" t="s">
        <v>13</v>
      </c>
      <c r="E63" s="9">
        <f>900000+100000+150000+250000+50000</f>
        <v>1450000</v>
      </c>
      <c r="F63" s="9">
        <v>1434238</v>
      </c>
      <c r="G63" s="18">
        <f t="shared" si="8"/>
        <v>15762</v>
      </c>
      <c r="H63" s="43">
        <f>SUM(F63:F82)</f>
        <v>39503058</v>
      </c>
    </row>
    <row r="64" spans="1:8" x14ac:dyDescent="0.25">
      <c r="A64" s="41"/>
      <c r="B64" s="15" t="s">
        <v>69</v>
      </c>
      <c r="C64" s="13" t="s">
        <v>68</v>
      </c>
      <c r="D64" s="10" t="s">
        <v>8</v>
      </c>
      <c r="E64" s="12">
        <f>5310000+590000</f>
        <v>5900000</v>
      </c>
      <c r="F64" s="12">
        <v>5888542</v>
      </c>
      <c r="G64" s="19">
        <f t="shared" si="8"/>
        <v>11458</v>
      </c>
      <c r="H64" s="44"/>
    </row>
    <row r="65" spans="1:8" x14ac:dyDescent="0.25">
      <c r="A65" s="41"/>
      <c r="B65" s="15" t="s">
        <v>58</v>
      </c>
      <c r="C65" s="13" t="s">
        <v>59</v>
      </c>
      <c r="D65" s="10" t="s">
        <v>8</v>
      </c>
      <c r="E65" s="12">
        <v>4225000</v>
      </c>
      <c r="F65" s="12">
        <v>4200408</v>
      </c>
      <c r="G65" s="19">
        <f t="shared" ref="G65:G70" si="9">E65-F65</f>
        <v>24592</v>
      </c>
      <c r="H65" s="44"/>
    </row>
    <row r="66" spans="1:8" x14ac:dyDescent="0.25">
      <c r="A66" s="41"/>
      <c r="B66" s="15" t="s">
        <v>58</v>
      </c>
      <c r="C66" s="13" t="s">
        <v>12</v>
      </c>
      <c r="D66" s="11" t="s">
        <v>13</v>
      </c>
      <c r="E66" s="12">
        <v>920000</v>
      </c>
      <c r="F66" s="12">
        <v>904148</v>
      </c>
      <c r="G66" s="19">
        <f t="shared" si="9"/>
        <v>15852</v>
      </c>
      <c r="H66" s="44"/>
    </row>
    <row r="67" spans="1:8" x14ac:dyDescent="0.25">
      <c r="A67" s="41"/>
      <c r="B67" s="15" t="s">
        <v>66</v>
      </c>
      <c r="C67" s="13" t="s">
        <v>70</v>
      </c>
      <c r="D67" s="10" t="s">
        <v>8</v>
      </c>
      <c r="E67" s="12">
        <f>2950000+400000+40000</f>
        <v>3390000</v>
      </c>
      <c r="F67" s="12">
        <v>3388440</v>
      </c>
      <c r="G67" s="19">
        <f t="shared" si="9"/>
        <v>1560</v>
      </c>
      <c r="H67" s="44"/>
    </row>
    <row r="68" spans="1:8" x14ac:dyDescent="0.25">
      <c r="A68" s="41"/>
      <c r="B68" s="15" t="s">
        <v>58</v>
      </c>
      <c r="C68" s="13" t="s">
        <v>70</v>
      </c>
      <c r="D68" s="10" t="s">
        <v>8</v>
      </c>
      <c r="E68" s="12">
        <f>600000+255000</f>
        <v>855000</v>
      </c>
      <c r="F68" s="12">
        <v>855000</v>
      </c>
      <c r="G68" s="19">
        <f t="shared" si="9"/>
        <v>0</v>
      </c>
      <c r="H68" s="44"/>
    </row>
    <row r="69" spans="1:8" x14ac:dyDescent="0.25">
      <c r="A69" s="41"/>
      <c r="B69" s="15" t="s">
        <v>71</v>
      </c>
      <c r="C69" s="13" t="s">
        <v>70</v>
      </c>
      <c r="D69" s="10" t="s">
        <v>8</v>
      </c>
      <c r="E69" s="12">
        <f>70000+30000</f>
        <v>100000</v>
      </c>
      <c r="F69" s="12">
        <v>100000</v>
      </c>
      <c r="G69" s="19">
        <f t="shared" si="9"/>
        <v>0</v>
      </c>
      <c r="H69" s="44"/>
    </row>
    <row r="70" spans="1:8" x14ac:dyDescent="0.25">
      <c r="A70" s="41"/>
      <c r="B70" s="15" t="s">
        <v>72</v>
      </c>
      <c r="C70" s="13" t="s">
        <v>70</v>
      </c>
      <c r="D70" s="10" t="s">
        <v>8</v>
      </c>
      <c r="E70" s="12">
        <v>100000</v>
      </c>
      <c r="F70" s="12">
        <v>100000</v>
      </c>
      <c r="G70" s="19">
        <f t="shared" si="9"/>
        <v>0</v>
      </c>
      <c r="H70" s="44"/>
    </row>
    <row r="71" spans="1:8" x14ac:dyDescent="0.25">
      <c r="A71" s="41"/>
      <c r="B71" s="15" t="s">
        <v>47</v>
      </c>
      <c r="C71" s="13" t="s">
        <v>22</v>
      </c>
      <c r="D71" s="10" t="s">
        <v>8</v>
      </c>
      <c r="E71" s="12">
        <f>75000+125000+1350000+2250000</f>
        <v>3800000</v>
      </c>
      <c r="F71" s="12">
        <v>3800000</v>
      </c>
      <c r="G71" s="19">
        <f>E71-F71</f>
        <v>0</v>
      </c>
      <c r="H71" s="44"/>
    </row>
    <row r="72" spans="1:8" x14ac:dyDescent="0.25">
      <c r="A72" s="41"/>
      <c r="B72" s="15" t="s">
        <v>71</v>
      </c>
      <c r="C72" s="13" t="s">
        <v>22</v>
      </c>
      <c r="D72" s="10" t="s">
        <v>8</v>
      </c>
      <c r="E72" s="12">
        <v>200000</v>
      </c>
      <c r="F72" s="12">
        <v>194796</v>
      </c>
      <c r="G72" s="19">
        <f t="shared" ref="G72:G78" si="10">E72-F72</f>
        <v>5204</v>
      </c>
      <c r="H72" s="44"/>
    </row>
    <row r="73" spans="1:8" x14ac:dyDescent="0.25">
      <c r="A73" s="41"/>
      <c r="B73" s="15" t="s">
        <v>57</v>
      </c>
      <c r="C73" s="11" t="s">
        <v>43</v>
      </c>
      <c r="D73" s="11" t="s">
        <v>13</v>
      </c>
      <c r="E73" s="12">
        <f>55000+73630-128630</f>
        <v>0</v>
      </c>
      <c r="F73" s="12">
        <v>0</v>
      </c>
      <c r="G73" s="19">
        <f t="shared" si="10"/>
        <v>0</v>
      </c>
      <c r="H73" s="44"/>
    </row>
    <row r="74" spans="1:8" x14ac:dyDescent="0.25">
      <c r="A74" s="41"/>
      <c r="B74" s="15" t="s">
        <v>74</v>
      </c>
      <c r="C74" s="13" t="s">
        <v>73</v>
      </c>
      <c r="D74" s="11" t="s">
        <v>13</v>
      </c>
      <c r="E74" s="12">
        <v>850000</v>
      </c>
      <c r="F74" s="12">
        <v>818418</v>
      </c>
      <c r="G74" s="19">
        <f t="shared" si="10"/>
        <v>31582</v>
      </c>
      <c r="H74" s="44"/>
    </row>
    <row r="75" spans="1:8" x14ac:dyDescent="0.25">
      <c r="A75" s="41"/>
      <c r="B75" s="15" t="s">
        <v>58</v>
      </c>
      <c r="C75" s="13" t="s">
        <v>73</v>
      </c>
      <c r="D75" s="11" t="s">
        <v>13</v>
      </c>
      <c r="E75" s="12">
        <f>750000+200000</f>
        <v>950000</v>
      </c>
      <c r="F75" s="12">
        <v>930000</v>
      </c>
      <c r="G75" s="19">
        <f t="shared" si="10"/>
        <v>20000</v>
      </c>
      <c r="H75" s="44"/>
    </row>
    <row r="76" spans="1:8" x14ac:dyDescent="0.25">
      <c r="A76" s="41"/>
      <c r="B76" s="15" t="s">
        <v>72</v>
      </c>
      <c r="C76" s="13" t="s">
        <v>75</v>
      </c>
      <c r="D76" s="11" t="s">
        <v>13</v>
      </c>
      <c r="E76" s="12">
        <f>310000+3690000</f>
        <v>4000000</v>
      </c>
      <c r="F76" s="12">
        <v>3999851</v>
      </c>
      <c r="G76" s="19">
        <f t="shared" si="10"/>
        <v>149</v>
      </c>
      <c r="H76" s="44"/>
    </row>
    <row r="77" spans="1:8" x14ac:dyDescent="0.25">
      <c r="A77" s="41"/>
      <c r="B77" s="15" t="s">
        <v>71</v>
      </c>
      <c r="C77" s="13" t="s">
        <v>75</v>
      </c>
      <c r="D77" s="11" t="s">
        <v>13</v>
      </c>
      <c r="E77" s="12">
        <f>1035000+965000</f>
        <v>2000000</v>
      </c>
      <c r="F77" s="12">
        <v>2000000</v>
      </c>
      <c r="G77" s="19">
        <f t="shared" si="10"/>
        <v>0</v>
      </c>
      <c r="H77" s="44"/>
    </row>
    <row r="78" spans="1:8" x14ac:dyDescent="0.25">
      <c r="A78" s="41"/>
      <c r="B78" s="15" t="s">
        <v>11</v>
      </c>
      <c r="C78" s="13" t="s">
        <v>56</v>
      </c>
      <c r="D78" s="10" t="s">
        <v>8</v>
      </c>
      <c r="E78" s="12">
        <f>1800000+200000+1800000+200000</f>
        <v>4000000</v>
      </c>
      <c r="F78" s="12">
        <v>3989729</v>
      </c>
      <c r="G78" s="19">
        <f t="shared" si="10"/>
        <v>10271</v>
      </c>
      <c r="H78" s="44"/>
    </row>
    <row r="79" spans="1:8" x14ac:dyDescent="0.25">
      <c r="A79" s="41"/>
      <c r="B79" s="15" t="s">
        <v>58</v>
      </c>
      <c r="C79" s="13" t="s">
        <v>56</v>
      </c>
      <c r="D79" s="10" t="s">
        <v>8</v>
      </c>
      <c r="E79" s="12">
        <v>1050000</v>
      </c>
      <c r="F79" s="12">
        <v>1050000</v>
      </c>
      <c r="G79" s="19">
        <f>E79-F79</f>
        <v>0</v>
      </c>
      <c r="H79" s="44"/>
    </row>
    <row r="80" spans="1:8" x14ac:dyDescent="0.25">
      <c r="A80" s="41"/>
      <c r="B80" s="15" t="s">
        <v>50</v>
      </c>
      <c r="C80" s="13" t="s">
        <v>77</v>
      </c>
      <c r="D80" s="10" t="s">
        <v>8</v>
      </c>
      <c r="E80" s="12">
        <f>400000+3600000</f>
        <v>4000000</v>
      </c>
      <c r="F80" s="12">
        <f>399488+3600000</f>
        <v>3999488</v>
      </c>
      <c r="G80" s="19">
        <f>E80-F80</f>
        <v>512</v>
      </c>
      <c r="H80" s="44"/>
    </row>
    <row r="81" spans="1:8" x14ac:dyDescent="0.25">
      <c r="A81" s="41"/>
      <c r="B81" s="15" t="s">
        <v>76</v>
      </c>
      <c r="C81" s="13" t="s">
        <v>77</v>
      </c>
      <c r="D81" s="10" t="s">
        <v>8</v>
      </c>
      <c r="E81" s="12">
        <f>100000+900000</f>
        <v>1000000</v>
      </c>
      <c r="F81" s="12">
        <v>1000000</v>
      </c>
      <c r="G81" s="19">
        <f t="shared" ref="G81:G98" si="11">E81-F81</f>
        <v>0</v>
      </c>
      <c r="H81" s="44"/>
    </row>
    <row r="82" spans="1:8" ht="21" thickBot="1" x14ac:dyDescent="0.3">
      <c r="A82" s="42"/>
      <c r="B82" s="20" t="s">
        <v>21</v>
      </c>
      <c r="C82" s="21" t="s">
        <v>77</v>
      </c>
      <c r="D82" s="22" t="s">
        <v>8</v>
      </c>
      <c r="E82" s="23">
        <v>850000</v>
      </c>
      <c r="F82" s="23">
        <v>850000</v>
      </c>
      <c r="G82" s="25">
        <f t="shared" si="11"/>
        <v>0</v>
      </c>
      <c r="H82" s="45"/>
    </row>
    <row r="83" spans="1:8" x14ac:dyDescent="0.25">
      <c r="A83" s="40" t="s">
        <v>78</v>
      </c>
      <c r="B83" s="14" t="s">
        <v>11</v>
      </c>
      <c r="C83" s="16" t="s">
        <v>59</v>
      </c>
      <c r="D83" s="8" t="s">
        <v>8</v>
      </c>
      <c r="E83" s="9">
        <f>169000+332000</f>
        <v>501000</v>
      </c>
      <c r="F83" s="9">
        <v>501000</v>
      </c>
      <c r="G83" s="18">
        <f t="shared" si="11"/>
        <v>0</v>
      </c>
      <c r="H83" s="43">
        <f>SUM(F83:F98)</f>
        <v>37460460</v>
      </c>
    </row>
    <row r="84" spans="1:8" x14ac:dyDescent="0.25">
      <c r="A84" s="41"/>
      <c r="B84" s="15" t="s">
        <v>58</v>
      </c>
      <c r="C84" s="13" t="s">
        <v>59</v>
      </c>
      <c r="D84" s="10" t="s">
        <v>8</v>
      </c>
      <c r="E84" s="12">
        <v>24000</v>
      </c>
      <c r="F84" s="12">
        <v>24000</v>
      </c>
      <c r="G84" s="19">
        <f t="shared" si="11"/>
        <v>0</v>
      </c>
      <c r="H84" s="44"/>
    </row>
    <row r="85" spans="1:8" x14ac:dyDescent="0.25">
      <c r="A85" s="41"/>
      <c r="B85" s="15" t="s">
        <v>25</v>
      </c>
      <c r="C85" s="13" t="s">
        <v>59</v>
      </c>
      <c r="D85" s="10" t="s">
        <v>8</v>
      </c>
      <c r="E85" s="12">
        <v>150000</v>
      </c>
      <c r="F85" s="12">
        <v>150000</v>
      </c>
      <c r="G85" s="19">
        <f t="shared" si="11"/>
        <v>0</v>
      </c>
      <c r="H85" s="44"/>
    </row>
    <row r="86" spans="1:8" x14ac:dyDescent="0.25">
      <c r="A86" s="41"/>
      <c r="B86" s="15" t="s">
        <v>74</v>
      </c>
      <c r="C86" s="13" t="s">
        <v>59</v>
      </c>
      <c r="D86" s="10" t="s">
        <v>8</v>
      </c>
      <c r="E86" s="12">
        <f>400000+2750000+31000</f>
        <v>3181000</v>
      </c>
      <c r="F86" s="12">
        <v>3181000</v>
      </c>
      <c r="G86" s="19">
        <f t="shared" si="11"/>
        <v>0</v>
      </c>
      <c r="H86" s="44"/>
    </row>
    <row r="87" spans="1:8" x14ac:dyDescent="0.25">
      <c r="A87" s="41"/>
      <c r="B87" s="15" t="s">
        <v>60</v>
      </c>
      <c r="C87" s="13" t="s">
        <v>59</v>
      </c>
      <c r="D87" s="10" t="s">
        <v>8</v>
      </c>
      <c r="E87" s="12">
        <v>87836</v>
      </c>
      <c r="F87" s="12">
        <v>87836</v>
      </c>
      <c r="G87" s="19">
        <f t="shared" si="11"/>
        <v>0</v>
      </c>
      <c r="H87" s="44"/>
    </row>
    <row r="88" spans="1:8" x14ac:dyDescent="0.25">
      <c r="A88" s="41"/>
      <c r="B88" s="15" t="s">
        <v>47</v>
      </c>
      <c r="C88" s="13" t="s">
        <v>59</v>
      </c>
      <c r="D88" s="10" t="s">
        <v>8</v>
      </c>
      <c r="E88" s="12">
        <f>15762+81881+163609</f>
        <v>261252</v>
      </c>
      <c r="F88" s="12">
        <f>15027+81881+163609</f>
        <v>260517</v>
      </c>
      <c r="G88" s="19">
        <f t="shared" si="11"/>
        <v>735</v>
      </c>
      <c r="H88" s="44"/>
    </row>
    <row r="89" spans="1:8" x14ac:dyDescent="0.25">
      <c r="A89" s="41"/>
      <c r="B89" s="15" t="s">
        <v>49</v>
      </c>
      <c r="C89" s="13" t="s">
        <v>41</v>
      </c>
      <c r="D89" s="11" t="s">
        <v>13</v>
      </c>
      <c r="E89" s="12">
        <f>2160000+240000</f>
        <v>2400000</v>
      </c>
      <c r="F89" s="12">
        <v>2399902</v>
      </c>
      <c r="G89" s="19">
        <f t="shared" si="11"/>
        <v>98</v>
      </c>
      <c r="H89" s="44"/>
    </row>
    <row r="90" spans="1:8" x14ac:dyDescent="0.25">
      <c r="A90" s="41"/>
      <c r="B90" s="15" t="s">
        <v>79</v>
      </c>
      <c r="C90" s="13" t="s">
        <v>70</v>
      </c>
      <c r="D90" s="10" t="s">
        <v>8</v>
      </c>
      <c r="E90" s="12">
        <v>4500000</v>
      </c>
      <c r="F90" s="12">
        <v>4499311</v>
      </c>
      <c r="G90" s="19">
        <f t="shared" si="11"/>
        <v>689</v>
      </c>
      <c r="H90" s="44"/>
    </row>
    <row r="91" spans="1:8" x14ac:dyDescent="0.25">
      <c r="A91" s="41"/>
      <c r="B91" s="15" t="s">
        <v>79</v>
      </c>
      <c r="C91" s="13" t="s">
        <v>80</v>
      </c>
      <c r="D91" s="10" t="s">
        <v>8</v>
      </c>
      <c r="E91" s="12">
        <f>1500000+600000+900000</f>
        <v>3000000</v>
      </c>
      <c r="F91" s="32">
        <v>2998809</v>
      </c>
      <c r="G91" s="19">
        <f t="shared" si="11"/>
        <v>1191</v>
      </c>
      <c r="H91" s="44"/>
    </row>
    <row r="92" spans="1:8" x14ac:dyDescent="0.25">
      <c r="A92" s="41"/>
      <c r="B92" s="15" t="s">
        <v>72</v>
      </c>
      <c r="C92" s="13" t="s">
        <v>81</v>
      </c>
      <c r="D92" s="11" t="s">
        <v>13</v>
      </c>
      <c r="E92" s="12">
        <f>4500000+500000+450000+50000</f>
        <v>5500000</v>
      </c>
      <c r="F92" s="32">
        <v>5499095</v>
      </c>
      <c r="G92" s="19">
        <f t="shared" si="11"/>
        <v>905</v>
      </c>
      <c r="H92" s="44"/>
    </row>
    <row r="93" spans="1:8" x14ac:dyDescent="0.25">
      <c r="A93" s="41"/>
      <c r="B93" s="15" t="s">
        <v>82</v>
      </c>
      <c r="C93" s="13" t="s">
        <v>12</v>
      </c>
      <c r="D93" s="11" t="s">
        <v>13</v>
      </c>
      <c r="E93" s="12">
        <v>910000</v>
      </c>
      <c r="F93" s="32">
        <v>909829</v>
      </c>
      <c r="G93" s="19">
        <f t="shared" si="11"/>
        <v>171</v>
      </c>
      <c r="H93" s="44"/>
    </row>
    <row r="94" spans="1:8" x14ac:dyDescent="0.25">
      <c r="A94" s="41"/>
      <c r="B94" s="15" t="s">
        <v>47</v>
      </c>
      <c r="C94" s="13" t="s">
        <v>14</v>
      </c>
      <c r="D94" s="10" t="s">
        <v>8</v>
      </c>
      <c r="E94" s="12">
        <f>2250000+250000+2250000+250000</f>
        <v>5000000</v>
      </c>
      <c r="F94" s="32">
        <v>4999808</v>
      </c>
      <c r="G94" s="19">
        <f t="shared" si="11"/>
        <v>192</v>
      </c>
      <c r="H94" s="44"/>
    </row>
    <row r="95" spans="1:8" x14ac:dyDescent="0.25">
      <c r="A95" s="41"/>
      <c r="B95" s="15" t="s">
        <v>60</v>
      </c>
      <c r="C95" s="13" t="s">
        <v>14</v>
      </c>
      <c r="D95" s="10" t="s">
        <v>8</v>
      </c>
      <c r="E95" s="12">
        <f>2700000+300000</f>
        <v>3000000</v>
      </c>
      <c r="F95" s="32">
        <v>0</v>
      </c>
      <c r="G95" s="19">
        <f t="shared" si="11"/>
        <v>3000000</v>
      </c>
      <c r="H95" s="44"/>
    </row>
    <row r="96" spans="1:8" x14ac:dyDescent="0.25">
      <c r="A96" s="41"/>
      <c r="B96" s="15" t="s">
        <v>82</v>
      </c>
      <c r="C96" s="13" t="s">
        <v>14</v>
      </c>
      <c r="D96" s="10" t="s">
        <v>8</v>
      </c>
      <c r="E96" s="12">
        <f>3000000+1300000</f>
        <v>4300000</v>
      </c>
      <c r="F96" s="32">
        <v>4300000</v>
      </c>
      <c r="G96" s="19">
        <f t="shared" si="11"/>
        <v>0</v>
      </c>
      <c r="H96" s="44"/>
    </row>
    <row r="97" spans="1:8" x14ac:dyDescent="0.25">
      <c r="A97" s="41"/>
      <c r="B97" s="15" t="s">
        <v>82</v>
      </c>
      <c r="C97" s="13" t="s">
        <v>15</v>
      </c>
      <c r="D97" s="11" t="s">
        <v>13</v>
      </c>
      <c r="E97" s="12">
        <f>1090000+1310000+700000</f>
        <v>3100000</v>
      </c>
      <c r="F97" s="32">
        <v>3099678</v>
      </c>
      <c r="G97" s="19">
        <f t="shared" si="11"/>
        <v>322</v>
      </c>
      <c r="H97" s="44"/>
    </row>
    <row r="98" spans="1:8" ht="21" thickBot="1" x14ac:dyDescent="0.3">
      <c r="A98" s="42"/>
      <c r="B98" s="20" t="s">
        <v>82</v>
      </c>
      <c r="C98" s="21" t="s">
        <v>70</v>
      </c>
      <c r="D98" s="22" t="s">
        <v>8</v>
      </c>
      <c r="E98" s="23">
        <v>4550000</v>
      </c>
      <c r="F98" s="33">
        <v>4549675</v>
      </c>
      <c r="G98" s="25">
        <f t="shared" si="11"/>
        <v>325</v>
      </c>
      <c r="H98" s="45"/>
    </row>
    <row r="99" spans="1:8" x14ac:dyDescent="0.25">
      <c r="A99" s="40" t="s">
        <v>83</v>
      </c>
      <c r="B99" s="14" t="s">
        <v>82</v>
      </c>
      <c r="C99" s="16" t="s">
        <v>12</v>
      </c>
      <c r="D99" s="17" t="s">
        <v>13</v>
      </c>
      <c r="E99" s="9">
        <f>440000+380000</f>
        <v>820000</v>
      </c>
      <c r="F99" s="34">
        <v>819173</v>
      </c>
      <c r="G99" s="18">
        <f t="shared" ref="G99:G106" si="12">E99-F99</f>
        <v>827</v>
      </c>
      <c r="H99" s="43">
        <f>SUM(F99:F111)</f>
        <v>39858994</v>
      </c>
    </row>
    <row r="100" spans="1:8" x14ac:dyDescent="0.25">
      <c r="A100" s="41"/>
      <c r="B100" s="15" t="s">
        <v>82</v>
      </c>
      <c r="C100" s="13" t="s">
        <v>22</v>
      </c>
      <c r="D100" s="11" t="s">
        <v>13</v>
      </c>
      <c r="E100" s="12">
        <f>320000+3680000</f>
        <v>4000000</v>
      </c>
      <c r="F100" s="32">
        <v>3999962</v>
      </c>
      <c r="G100" s="19">
        <f t="shared" si="12"/>
        <v>38</v>
      </c>
      <c r="H100" s="44"/>
    </row>
    <row r="101" spans="1:8" x14ac:dyDescent="0.25">
      <c r="A101" s="41"/>
      <c r="B101" s="15" t="s">
        <v>63</v>
      </c>
      <c r="C101" s="13" t="s">
        <v>44</v>
      </c>
      <c r="D101" s="11" t="s">
        <v>13</v>
      </c>
      <c r="E101" s="12">
        <v>2650000</v>
      </c>
      <c r="F101" s="32">
        <v>2620600</v>
      </c>
      <c r="G101" s="19">
        <f t="shared" si="12"/>
        <v>29400</v>
      </c>
      <c r="H101" s="44"/>
    </row>
    <row r="102" spans="1:8" x14ac:dyDescent="0.25">
      <c r="A102" s="41"/>
      <c r="B102" s="15" t="s">
        <v>84</v>
      </c>
      <c r="C102" s="13" t="s">
        <v>45</v>
      </c>
      <c r="D102" s="11" t="s">
        <v>13</v>
      </c>
      <c r="E102" s="12">
        <f>3600000+200000</f>
        <v>3800000</v>
      </c>
      <c r="F102" s="32">
        <v>3790697</v>
      </c>
      <c r="G102" s="19">
        <f t="shared" si="12"/>
        <v>9303</v>
      </c>
      <c r="H102" s="44"/>
    </row>
    <row r="103" spans="1:8" x14ac:dyDescent="0.25">
      <c r="A103" s="41"/>
      <c r="B103" s="15" t="s">
        <v>63</v>
      </c>
      <c r="C103" s="13" t="s">
        <v>73</v>
      </c>
      <c r="D103" s="11" t="s">
        <v>13</v>
      </c>
      <c r="E103" s="12">
        <f>1850000+500000</f>
        <v>2350000</v>
      </c>
      <c r="F103" s="32">
        <v>2323972</v>
      </c>
      <c r="G103" s="19">
        <f t="shared" si="12"/>
        <v>26028</v>
      </c>
      <c r="H103" s="44"/>
    </row>
    <row r="104" spans="1:8" x14ac:dyDescent="0.25">
      <c r="A104" s="41"/>
      <c r="B104" s="15" t="s">
        <v>72</v>
      </c>
      <c r="C104" s="13" t="s">
        <v>41</v>
      </c>
      <c r="D104" s="10" t="s">
        <v>8</v>
      </c>
      <c r="E104" s="12">
        <f>2250000+250000+1000000+300000</f>
        <v>3800000</v>
      </c>
      <c r="F104" s="32">
        <v>3710490</v>
      </c>
      <c r="G104" s="19">
        <f t="shared" si="12"/>
        <v>89510</v>
      </c>
      <c r="H104" s="44"/>
    </row>
    <row r="105" spans="1:8" x14ac:dyDescent="0.25">
      <c r="A105" s="41"/>
      <c r="B105" s="15" t="s">
        <v>82</v>
      </c>
      <c r="C105" s="13" t="s">
        <v>15</v>
      </c>
      <c r="D105" s="10" t="s">
        <v>8</v>
      </c>
      <c r="E105" s="12">
        <f>820000+500000+1780000</f>
        <v>3100000</v>
      </c>
      <c r="F105" s="32">
        <v>3098795</v>
      </c>
      <c r="G105" s="19">
        <f t="shared" si="12"/>
        <v>1205</v>
      </c>
      <c r="H105" s="44"/>
    </row>
    <row r="106" spans="1:8" x14ac:dyDescent="0.25">
      <c r="A106" s="41"/>
      <c r="B106" s="15" t="s">
        <v>85</v>
      </c>
      <c r="C106" s="13" t="s">
        <v>70</v>
      </c>
      <c r="D106" s="10" t="s">
        <v>8</v>
      </c>
      <c r="E106" s="12">
        <v>4500000</v>
      </c>
      <c r="F106" s="32">
        <v>4496251</v>
      </c>
      <c r="G106" s="19">
        <f t="shared" si="12"/>
        <v>3749</v>
      </c>
      <c r="H106" s="44"/>
    </row>
    <row r="107" spans="1:8" x14ac:dyDescent="0.25">
      <c r="A107" s="41"/>
      <c r="B107" s="15" t="s">
        <v>82</v>
      </c>
      <c r="C107" s="13" t="s">
        <v>12</v>
      </c>
      <c r="D107" s="11" t="s">
        <v>13</v>
      </c>
      <c r="E107" s="12">
        <f>600000+200000+20000</f>
        <v>820000</v>
      </c>
      <c r="F107" s="32">
        <v>800074</v>
      </c>
      <c r="G107" s="19">
        <f t="shared" ref="G107:G116" si="13">E107-F107</f>
        <v>19926</v>
      </c>
      <c r="H107" s="44"/>
    </row>
    <row r="108" spans="1:8" x14ac:dyDescent="0.25">
      <c r="A108" s="41"/>
      <c r="B108" s="15" t="s">
        <v>82</v>
      </c>
      <c r="C108" s="13" t="s">
        <v>86</v>
      </c>
      <c r="D108" s="11" t="s">
        <v>13</v>
      </c>
      <c r="E108" s="12">
        <f>2000000+4500000+500000+300000+2700000</f>
        <v>10000000</v>
      </c>
      <c r="F108" s="32">
        <v>9191454</v>
      </c>
      <c r="G108" s="19">
        <f t="shared" si="13"/>
        <v>808546</v>
      </c>
      <c r="H108" s="44"/>
    </row>
    <row r="109" spans="1:8" x14ac:dyDescent="0.25">
      <c r="A109" s="41"/>
      <c r="B109" s="15" t="s">
        <v>60</v>
      </c>
      <c r="C109" s="13" t="s">
        <v>80</v>
      </c>
      <c r="D109" s="10" t="s">
        <v>8</v>
      </c>
      <c r="E109" s="12">
        <f>2682000+318000</f>
        <v>3000000</v>
      </c>
      <c r="F109" s="32">
        <v>2996056</v>
      </c>
      <c r="G109" s="30">
        <f t="shared" si="13"/>
        <v>3944</v>
      </c>
      <c r="H109" s="44"/>
    </row>
    <row r="110" spans="1:8" x14ac:dyDescent="0.25">
      <c r="A110" s="41"/>
      <c r="B110" s="15" t="s">
        <v>72</v>
      </c>
      <c r="C110" s="13" t="s">
        <v>44</v>
      </c>
      <c r="D110" s="11" t="s">
        <v>13</v>
      </c>
      <c r="E110" s="12">
        <f>950000+250000</f>
        <v>1200000</v>
      </c>
      <c r="F110" s="32">
        <v>1192274</v>
      </c>
      <c r="G110" s="30">
        <f t="shared" si="13"/>
        <v>7726</v>
      </c>
      <c r="H110" s="44"/>
    </row>
    <row r="111" spans="1:8" ht="21" thickBot="1" x14ac:dyDescent="0.3">
      <c r="A111" s="42"/>
      <c r="B111" s="20" t="s">
        <v>82</v>
      </c>
      <c r="C111" s="21" t="s">
        <v>12</v>
      </c>
      <c r="D111" s="26" t="s">
        <v>13</v>
      </c>
      <c r="E111" s="23">
        <v>820000</v>
      </c>
      <c r="F111" s="33">
        <v>819196</v>
      </c>
      <c r="G111" s="31">
        <f t="shared" si="13"/>
        <v>804</v>
      </c>
      <c r="H111" s="45"/>
    </row>
    <row r="112" spans="1:8" x14ac:dyDescent="0.25">
      <c r="A112" s="46" t="s">
        <v>90</v>
      </c>
      <c r="B112" s="14" t="s">
        <v>85</v>
      </c>
      <c r="C112" s="16" t="s">
        <v>15</v>
      </c>
      <c r="D112" s="8" t="s">
        <v>8</v>
      </c>
      <c r="E112" s="9">
        <f>2600000+500000</f>
        <v>3100000</v>
      </c>
      <c r="F112" s="34">
        <v>3093973</v>
      </c>
      <c r="G112" s="39">
        <f t="shared" si="13"/>
        <v>6027</v>
      </c>
      <c r="H112" s="49">
        <f>SUM(F112:F124)</f>
        <v>43351192</v>
      </c>
    </row>
    <row r="113" spans="1:8" x14ac:dyDescent="0.25">
      <c r="A113" s="47"/>
      <c r="B113" s="15" t="s">
        <v>82</v>
      </c>
      <c r="C113" s="13" t="s">
        <v>18</v>
      </c>
      <c r="D113" s="11" t="s">
        <v>13</v>
      </c>
      <c r="E113" s="12">
        <f>900000+20000+1080000+500000</f>
        <v>2500000</v>
      </c>
      <c r="F113" s="32">
        <v>2395093</v>
      </c>
      <c r="G113" s="30">
        <f t="shared" si="13"/>
        <v>104907</v>
      </c>
      <c r="H113" s="50"/>
    </row>
    <row r="114" spans="1:8" x14ac:dyDescent="0.25">
      <c r="A114" s="47"/>
      <c r="B114" s="15" t="s">
        <v>60</v>
      </c>
      <c r="C114" s="13" t="s">
        <v>70</v>
      </c>
      <c r="D114" s="10" t="s">
        <v>8</v>
      </c>
      <c r="E114" s="12">
        <f>1800000+200000</f>
        <v>2000000</v>
      </c>
      <c r="F114" s="32">
        <v>1999886</v>
      </c>
      <c r="G114" s="30">
        <f t="shared" si="13"/>
        <v>114</v>
      </c>
      <c r="H114" s="50"/>
    </row>
    <row r="115" spans="1:8" x14ac:dyDescent="0.25">
      <c r="A115" s="47"/>
      <c r="B115" s="15" t="s">
        <v>79</v>
      </c>
      <c r="C115" s="13" t="s">
        <v>70</v>
      </c>
      <c r="D115" s="10" t="s">
        <v>8</v>
      </c>
      <c r="E115" s="12">
        <f>2000000+300000+200000</f>
        <v>2500000</v>
      </c>
      <c r="F115" s="32">
        <v>2500000</v>
      </c>
      <c r="G115" s="30">
        <f t="shared" si="13"/>
        <v>0</v>
      </c>
      <c r="H115" s="50"/>
    </row>
    <row r="116" spans="1:8" x14ac:dyDescent="0.25">
      <c r="A116" s="47"/>
      <c r="B116" s="15" t="s">
        <v>82</v>
      </c>
      <c r="C116" s="13" t="s">
        <v>87</v>
      </c>
      <c r="D116" s="10" t="s">
        <v>8</v>
      </c>
      <c r="E116" s="12">
        <f>1800000+200000+80000+30000+50000+2065000</f>
        <v>4225000</v>
      </c>
      <c r="F116" s="32">
        <v>4219793</v>
      </c>
      <c r="G116" s="30">
        <f t="shared" si="13"/>
        <v>5207</v>
      </c>
      <c r="H116" s="50"/>
    </row>
    <row r="117" spans="1:8" x14ac:dyDescent="0.25">
      <c r="A117" s="47"/>
      <c r="B117" s="15" t="s">
        <v>85</v>
      </c>
      <c r="C117" s="13" t="s">
        <v>88</v>
      </c>
      <c r="D117" s="11" t="s">
        <v>13</v>
      </c>
      <c r="E117" s="12">
        <f>3300000+100000+300000</f>
        <v>3700000</v>
      </c>
      <c r="F117" s="32">
        <v>3646170</v>
      </c>
      <c r="G117" s="30">
        <f t="shared" ref="G117:G124" si="14">E117-F117</f>
        <v>53830</v>
      </c>
      <c r="H117" s="50"/>
    </row>
    <row r="118" spans="1:8" x14ac:dyDescent="0.25">
      <c r="A118" s="47"/>
      <c r="B118" s="15" t="s">
        <v>85</v>
      </c>
      <c r="C118" s="13" t="s">
        <v>56</v>
      </c>
      <c r="D118" s="11" t="s">
        <v>13</v>
      </c>
      <c r="E118" s="32">
        <f>1800000+1200000+500000+600000+500000+400000</f>
        <v>5000000</v>
      </c>
      <c r="F118" s="32">
        <v>4999410</v>
      </c>
      <c r="G118" s="30">
        <f t="shared" si="14"/>
        <v>590</v>
      </c>
      <c r="H118" s="50"/>
    </row>
    <row r="119" spans="1:8" x14ac:dyDescent="0.25">
      <c r="A119" s="47"/>
      <c r="B119" s="15" t="s">
        <v>63</v>
      </c>
      <c r="C119" s="13" t="s">
        <v>77</v>
      </c>
      <c r="D119" s="10" t="s">
        <v>8</v>
      </c>
      <c r="E119" s="32">
        <f>2482000+1518000+1850000</f>
        <v>5850000</v>
      </c>
      <c r="F119" s="32">
        <v>5840740</v>
      </c>
      <c r="G119" s="30">
        <f t="shared" si="14"/>
        <v>9260</v>
      </c>
      <c r="H119" s="50"/>
    </row>
    <row r="120" spans="1:8" x14ac:dyDescent="0.25">
      <c r="A120" s="47"/>
      <c r="B120" s="15" t="s">
        <v>85</v>
      </c>
      <c r="C120" s="13" t="s">
        <v>89</v>
      </c>
      <c r="D120" s="11" t="s">
        <v>13</v>
      </c>
      <c r="E120" s="32">
        <v>1100000</v>
      </c>
      <c r="F120" s="32">
        <v>1085386</v>
      </c>
      <c r="G120" s="30">
        <f t="shared" si="14"/>
        <v>14614</v>
      </c>
      <c r="H120" s="50"/>
    </row>
    <row r="121" spans="1:8" x14ac:dyDescent="0.25">
      <c r="A121" s="47"/>
      <c r="B121" s="15" t="s">
        <v>85</v>
      </c>
      <c r="C121" s="13" t="s">
        <v>54</v>
      </c>
      <c r="D121" s="11" t="s">
        <v>13</v>
      </c>
      <c r="E121" s="12">
        <v>1000000</v>
      </c>
      <c r="F121" s="32">
        <v>921740</v>
      </c>
      <c r="G121" s="30">
        <f t="shared" si="14"/>
        <v>78260</v>
      </c>
      <c r="H121" s="50"/>
    </row>
    <row r="122" spans="1:8" x14ac:dyDescent="0.25">
      <c r="A122" s="47"/>
      <c r="B122" s="15" t="s">
        <v>82</v>
      </c>
      <c r="C122" s="13" t="s">
        <v>51</v>
      </c>
      <c r="D122" s="10" t="s">
        <v>8</v>
      </c>
      <c r="E122" s="12">
        <f>3335000+600000+900000+100000+65000</f>
        <v>5000000</v>
      </c>
      <c r="F122" s="32">
        <v>4966876</v>
      </c>
      <c r="G122" s="30">
        <f t="shared" si="14"/>
        <v>33124</v>
      </c>
      <c r="H122" s="50"/>
    </row>
    <row r="123" spans="1:8" x14ac:dyDescent="0.25">
      <c r="A123" s="47"/>
      <c r="B123" s="15" t="s">
        <v>82</v>
      </c>
      <c r="C123" s="13" t="s">
        <v>34</v>
      </c>
      <c r="D123" s="11" t="s">
        <v>13</v>
      </c>
      <c r="E123" s="12">
        <v>1700000</v>
      </c>
      <c r="F123" s="32">
        <v>1682269</v>
      </c>
      <c r="G123" s="30">
        <f t="shared" si="14"/>
        <v>17731</v>
      </c>
      <c r="H123" s="50"/>
    </row>
    <row r="124" spans="1:8" ht="21" thickBot="1" x14ac:dyDescent="0.3">
      <c r="A124" s="48"/>
      <c r="B124" s="35" t="s">
        <v>85</v>
      </c>
      <c r="C124" s="36" t="s">
        <v>91</v>
      </c>
      <c r="D124" s="37" t="s">
        <v>8</v>
      </c>
      <c r="E124" s="38">
        <f>3200000+400000+2400000</f>
        <v>6000000</v>
      </c>
      <c r="F124" s="38">
        <v>5999856</v>
      </c>
      <c r="G124" s="52">
        <f t="shared" si="14"/>
        <v>144</v>
      </c>
      <c r="H124" s="51"/>
    </row>
  </sheetData>
  <autoFilter ref="A1:H115" xr:uid="{00000000-0009-0000-0000-000000000000}"/>
  <dataConsolidate/>
  <mergeCells count="24">
    <mergeCell ref="A30:A40"/>
    <mergeCell ref="H30:H40"/>
    <mergeCell ref="H23:H29"/>
    <mergeCell ref="A23:A29"/>
    <mergeCell ref="A41:A46"/>
    <mergeCell ref="H41:H46"/>
    <mergeCell ref="A2:A5"/>
    <mergeCell ref="H2:H5"/>
    <mergeCell ref="A6:A14"/>
    <mergeCell ref="H6:H14"/>
    <mergeCell ref="A15:A22"/>
    <mergeCell ref="H15:H22"/>
    <mergeCell ref="A47:A52"/>
    <mergeCell ref="H47:H52"/>
    <mergeCell ref="A63:A82"/>
    <mergeCell ref="H63:H82"/>
    <mergeCell ref="A53:A62"/>
    <mergeCell ref="H53:H62"/>
    <mergeCell ref="A99:A111"/>
    <mergeCell ref="H99:H111"/>
    <mergeCell ref="A83:A98"/>
    <mergeCell ref="H83:H98"/>
    <mergeCell ref="A112:A124"/>
    <mergeCell ref="H112:H124"/>
  </mergeCells>
  <phoneticPr fontId="3" type="noConversion"/>
  <printOptions horizontalCentered="1" verticalCentered="1"/>
  <pageMargins left="0" right="0" top="0" bottom="0" header="0" footer="0"/>
  <pageSetup paperSize="9" scale="44"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1402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2024-04-07T10:16:20Z</dcterms:modified>
</cp:coreProperties>
</file>