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ODOOR\Arash\"/>
    </mc:Choice>
  </mc:AlternateContent>
  <bookViews>
    <workbookView xWindow="0" yWindow="0" windowWidth="17970" windowHeight="8220"/>
  </bookViews>
  <sheets>
    <sheet name="97180005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2" i="1" l="1"/>
  <c r="B102" i="1"/>
  <c r="C102" i="1"/>
  <c r="D102" i="1"/>
  <c r="E102" i="1"/>
  <c r="F102" i="1"/>
  <c r="K102" i="1"/>
  <c r="O102" i="1"/>
  <c r="P102" i="1"/>
  <c r="U102" i="1"/>
  <c r="V102" i="1"/>
  <c r="W102" i="1"/>
  <c r="X102" i="1"/>
  <c r="Y102" i="1"/>
  <c r="AA102" i="1"/>
  <c r="AB102" i="1"/>
  <c r="AD102" i="1"/>
  <c r="AE102" i="1"/>
  <c r="AG102" i="1"/>
  <c r="AH102" i="1"/>
  <c r="AI102" i="1"/>
  <c r="A103" i="1"/>
  <c r="B103" i="1"/>
  <c r="C103" i="1"/>
  <c r="D103" i="1"/>
  <c r="E103" i="1"/>
  <c r="F103" i="1"/>
  <c r="K103" i="1"/>
  <c r="O103" i="1"/>
  <c r="P103" i="1"/>
  <c r="U103" i="1"/>
  <c r="V103" i="1"/>
  <c r="W103" i="1"/>
  <c r="X103" i="1"/>
  <c r="Y103" i="1"/>
  <c r="AA103" i="1"/>
  <c r="AB103" i="1"/>
  <c r="AD103" i="1"/>
  <c r="AE103" i="1"/>
  <c r="AG103" i="1"/>
  <c r="AH103" i="1"/>
  <c r="AI103" i="1"/>
  <c r="A104" i="1"/>
  <c r="B104" i="1"/>
  <c r="C104" i="1"/>
  <c r="D104" i="1"/>
  <c r="E104" i="1"/>
  <c r="F104" i="1"/>
  <c r="K104" i="1"/>
  <c r="O104" i="1"/>
  <c r="P104" i="1"/>
  <c r="U104" i="1"/>
  <c r="V104" i="1"/>
  <c r="W104" i="1"/>
  <c r="X104" i="1"/>
  <c r="Y104" i="1"/>
  <c r="AA104" i="1"/>
  <c r="AB104" i="1"/>
  <c r="AD104" i="1"/>
  <c r="AE104" i="1"/>
  <c r="AG104" i="1"/>
  <c r="AH104" i="1"/>
  <c r="AI104" i="1"/>
  <c r="A105" i="1"/>
  <c r="B105" i="1"/>
  <c r="C105" i="1"/>
  <c r="D105" i="1"/>
  <c r="E105" i="1"/>
  <c r="F105" i="1"/>
  <c r="K105" i="1"/>
  <c r="O105" i="1"/>
  <c r="P105" i="1"/>
  <c r="U105" i="1"/>
  <c r="V105" i="1"/>
  <c r="W105" i="1"/>
  <c r="X105" i="1"/>
  <c r="Y105" i="1"/>
  <c r="AA105" i="1"/>
  <c r="AB105" i="1"/>
  <c r="AD105" i="1"/>
  <c r="AE105" i="1"/>
  <c r="AG105" i="1"/>
  <c r="AH105" i="1"/>
  <c r="AI105" i="1"/>
  <c r="A106" i="1"/>
  <c r="B106" i="1"/>
  <c r="C106" i="1"/>
  <c r="D106" i="1"/>
  <c r="E106" i="1"/>
  <c r="F106" i="1"/>
  <c r="K106" i="1"/>
  <c r="O106" i="1"/>
  <c r="P106" i="1"/>
  <c r="U106" i="1"/>
  <c r="V106" i="1"/>
  <c r="W106" i="1"/>
  <c r="X106" i="1"/>
  <c r="Y106" i="1"/>
  <c r="AA106" i="1"/>
  <c r="AB106" i="1"/>
  <c r="AD106" i="1"/>
  <c r="AE106" i="1"/>
  <c r="AG106" i="1"/>
  <c r="AH106" i="1"/>
  <c r="AI106" i="1"/>
  <c r="A107" i="1"/>
  <c r="B107" i="1"/>
  <c r="C107" i="1"/>
  <c r="D107" i="1"/>
  <c r="E107" i="1"/>
  <c r="F107" i="1"/>
  <c r="K107" i="1"/>
  <c r="O107" i="1"/>
  <c r="P107" i="1"/>
  <c r="U107" i="1"/>
  <c r="V107" i="1"/>
  <c r="W107" i="1"/>
  <c r="X107" i="1"/>
  <c r="Y107" i="1"/>
  <c r="AA107" i="1"/>
  <c r="AB107" i="1"/>
  <c r="AD107" i="1"/>
  <c r="AE107" i="1"/>
  <c r="AG107" i="1"/>
  <c r="AH107" i="1"/>
  <c r="AI107" i="1"/>
  <c r="A92" i="1"/>
  <c r="B92" i="1"/>
  <c r="C92" i="1"/>
  <c r="D92" i="1"/>
  <c r="E92" i="1"/>
  <c r="F92" i="1"/>
  <c r="K92" i="1"/>
  <c r="O92" i="1"/>
  <c r="P92" i="1"/>
  <c r="U92" i="1"/>
  <c r="V92" i="1"/>
  <c r="W92" i="1"/>
  <c r="X92" i="1"/>
  <c r="Y92" i="1"/>
  <c r="AA92" i="1"/>
  <c r="AB92" i="1"/>
  <c r="AD92" i="1"/>
  <c r="AE92" i="1"/>
  <c r="AG92" i="1"/>
  <c r="AH92" i="1"/>
  <c r="AI92" i="1"/>
  <c r="A93" i="1"/>
  <c r="B93" i="1"/>
  <c r="C93" i="1"/>
  <c r="D93" i="1"/>
  <c r="E93" i="1"/>
  <c r="F93" i="1"/>
  <c r="K93" i="1"/>
  <c r="O93" i="1"/>
  <c r="P93" i="1"/>
  <c r="U93" i="1"/>
  <c r="V93" i="1"/>
  <c r="W93" i="1"/>
  <c r="X93" i="1"/>
  <c r="Y93" i="1"/>
  <c r="AA93" i="1"/>
  <c r="AB93" i="1"/>
  <c r="AD93" i="1"/>
  <c r="AE93" i="1"/>
  <c r="AG93" i="1"/>
  <c r="AH93" i="1"/>
  <c r="AI93" i="1"/>
  <c r="A94" i="1"/>
  <c r="B94" i="1"/>
  <c r="C94" i="1"/>
  <c r="D94" i="1"/>
  <c r="E94" i="1"/>
  <c r="F94" i="1"/>
  <c r="K94" i="1"/>
  <c r="O94" i="1"/>
  <c r="P94" i="1"/>
  <c r="U94" i="1"/>
  <c r="V94" i="1"/>
  <c r="W94" i="1"/>
  <c r="X94" i="1"/>
  <c r="Y94" i="1"/>
  <c r="AA94" i="1"/>
  <c r="AB94" i="1"/>
  <c r="AD94" i="1"/>
  <c r="AE94" i="1"/>
  <c r="AG94" i="1"/>
  <c r="AH94" i="1"/>
  <c r="AI94" i="1"/>
  <c r="A95" i="1"/>
  <c r="B95" i="1"/>
  <c r="C95" i="1"/>
  <c r="D95" i="1"/>
  <c r="E95" i="1"/>
  <c r="F95" i="1"/>
  <c r="K95" i="1"/>
  <c r="O95" i="1"/>
  <c r="P95" i="1"/>
  <c r="U95" i="1"/>
  <c r="V95" i="1"/>
  <c r="W95" i="1"/>
  <c r="X95" i="1"/>
  <c r="Y95" i="1"/>
  <c r="AA95" i="1"/>
  <c r="AB95" i="1"/>
  <c r="AD95" i="1"/>
  <c r="AE95" i="1"/>
  <c r="AG95" i="1"/>
  <c r="AH95" i="1"/>
  <c r="AI95" i="1"/>
  <c r="A96" i="1"/>
  <c r="B96" i="1"/>
  <c r="C96" i="1"/>
  <c r="D96" i="1"/>
  <c r="E96" i="1"/>
  <c r="F96" i="1"/>
  <c r="K96" i="1"/>
  <c r="O96" i="1"/>
  <c r="P96" i="1"/>
  <c r="U96" i="1"/>
  <c r="V96" i="1"/>
  <c r="W96" i="1"/>
  <c r="X96" i="1"/>
  <c r="Y96" i="1"/>
  <c r="AA96" i="1"/>
  <c r="AB96" i="1"/>
  <c r="AD96" i="1"/>
  <c r="AE96" i="1"/>
  <c r="AG96" i="1"/>
  <c r="AH96" i="1"/>
  <c r="AI96" i="1"/>
  <c r="A97" i="1"/>
  <c r="B97" i="1"/>
  <c r="C97" i="1"/>
  <c r="D97" i="1"/>
  <c r="E97" i="1"/>
  <c r="F97" i="1"/>
  <c r="K97" i="1"/>
  <c r="O97" i="1"/>
  <c r="P97" i="1"/>
  <c r="U97" i="1"/>
  <c r="V97" i="1"/>
  <c r="W97" i="1"/>
  <c r="X97" i="1"/>
  <c r="Y97" i="1"/>
  <c r="AA97" i="1"/>
  <c r="AB97" i="1"/>
  <c r="AD97" i="1"/>
  <c r="AE97" i="1"/>
  <c r="AG97" i="1"/>
  <c r="AH97" i="1"/>
  <c r="AI97" i="1"/>
  <c r="A98" i="1"/>
  <c r="B98" i="1"/>
  <c r="C98" i="1"/>
  <c r="D98" i="1"/>
  <c r="E98" i="1"/>
  <c r="F98" i="1"/>
  <c r="K98" i="1"/>
  <c r="O98" i="1"/>
  <c r="P98" i="1"/>
  <c r="U98" i="1"/>
  <c r="V98" i="1"/>
  <c r="W98" i="1"/>
  <c r="X98" i="1"/>
  <c r="Y98" i="1"/>
  <c r="AA98" i="1"/>
  <c r="AB98" i="1"/>
  <c r="AD98" i="1"/>
  <c r="AE98" i="1"/>
  <c r="AG98" i="1"/>
  <c r="AH98" i="1"/>
  <c r="AI98" i="1"/>
  <c r="A99" i="1"/>
  <c r="B99" i="1"/>
  <c r="C99" i="1"/>
  <c r="D99" i="1"/>
  <c r="E99" i="1"/>
  <c r="F99" i="1"/>
  <c r="K99" i="1"/>
  <c r="O99" i="1"/>
  <c r="P99" i="1"/>
  <c r="U99" i="1"/>
  <c r="V99" i="1"/>
  <c r="W99" i="1"/>
  <c r="X99" i="1"/>
  <c r="Y99" i="1"/>
  <c r="AA99" i="1"/>
  <c r="AB99" i="1"/>
  <c r="AD99" i="1"/>
  <c r="AE99" i="1"/>
  <c r="AG99" i="1"/>
  <c r="AH99" i="1"/>
  <c r="AI99" i="1"/>
  <c r="A100" i="1"/>
  <c r="B100" i="1"/>
  <c r="C100" i="1"/>
  <c r="D100" i="1"/>
  <c r="E100" i="1"/>
  <c r="F100" i="1"/>
  <c r="K100" i="1"/>
  <c r="O100" i="1"/>
  <c r="P100" i="1"/>
  <c r="U100" i="1"/>
  <c r="V100" i="1"/>
  <c r="W100" i="1"/>
  <c r="X100" i="1"/>
  <c r="Y100" i="1"/>
  <c r="AA100" i="1"/>
  <c r="AB100" i="1"/>
  <c r="AD100" i="1"/>
  <c r="AE100" i="1"/>
  <c r="AG100" i="1"/>
  <c r="AH100" i="1"/>
  <c r="AI100" i="1"/>
  <c r="A101" i="1"/>
  <c r="B101" i="1"/>
  <c r="C101" i="1"/>
  <c r="D101" i="1"/>
  <c r="E101" i="1"/>
  <c r="F101" i="1"/>
  <c r="K101" i="1"/>
  <c r="O101" i="1"/>
  <c r="P101" i="1"/>
  <c r="U101" i="1"/>
  <c r="V101" i="1"/>
  <c r="W101" i="1"/>
  <c r="X101" i="1"/>
  <c r="Y101" i="1"/>
  <c r="AA101" i="1"/>
  <c r="AB101" i="1"/>
  <c r="AD101" i="1"/>
  <c r="AE101" i="1"/>
  <c r="AG101" i="1"/>
  <c r="AH101" i="1"/>
  <c r="AI101" i="1"/>
  <c r="A82" i="1"/>
  <c r="B82" i="1"/>
  <c r="C82" i="1"/>
  <c r="D82" i="1"/>
  <c r="E82" i="1"/>
  <c r="F82" i="1"/>
  <c r="K82" i="1"/>
  <c r="O82" i="1"/>
  <c r="P82" i="1"/>
  <c r="U82" i="1"/>
  <c r="V82" i="1"/>
  <c r="W82" i="1"/>
  <c r="X82" i="1"/>
  <c r="Y82" i="1"/>
  <c r="AA82" i="1"/>
  <c r="AB82" i="1"/>
  <c r="AD82" i="1"/>
  <c r="AE82" i="1"/>
  <c r="AG82" i="1"/>
  <c r="AH82" i="1"/>
  <c r="AI82" i="1"/>
  <c r="A83" i="1"/>
  <c r="B83" i="1"/>
  <c r="C83" i="1"/>
  <c r="D83" i="1"/>
  <c r="E83" i="1"/>
  <c r="F83" i="1"/>
  <c r="K83" i="1"/>
  <c r="O83" i="1"/>
  <c r="P83" i="1"/>
  <c r="U83" i="1"/>
  <c r="V83" i="1"/>
  <c r="W83" i="1"/>
  <c r="X83" i="1"/>
  <c r="Y83" i="1"/>
  <c r="AA83" i="1"/>
  <c r="AB83" i="1"/>
  <c r="AD83" i="1"/>
  <c r="AE83" i="1"/>
  <c r="AG83" i="1"/>
  <c r="AH83" i="1"/>
  <c r="AI83" i="1"/>
  <c r="A84" i="1"/>
  <c r="B84" i="1"/>
  <c r="C84" i="1"/>
  <c r="D84" i="1"/>
  <c r="E84" i="1"/>
  <c r="F84" i="1"/>
  <c r="K84" i="1"/>
  <c r="O84" i="1"/>
  <c r="P84" i="1"/>
  <c r="U84" i="1"/>
  <c r="V84" i="1"/>
  <c r="W84" i="1"/>
  <c r="X84" i="1"/>
  <c r="Y84" i="1"/>
  <c r="AA84" i="1"/>
  <c r="AB84" i="1"/>
  <c r="AD84" i="1"/>
  <c r="AE84" i="1"/>
  <c r="AG84" i="1"/>
  <c r="AH84" i="1"/>
  <c r="AI84" i="1"/>
  <c r="A85" i="1"/>
  <c r="B85" i="1"/>
  <c r="C85" i="1"/>
  <c r="D85" i="1"/>
  <c r="E85" i="1"/>
  <c r="F85" i="1"/>
  <c r="K85" i="1"/>
  <c r="O85" i="1"/>
  <c r="P85" i="1"/>
  <c r="U85" i="1"/>
  <c r="V85" i="1"/>
  <c r="W85" i="1"/>
  <c r="X85" i="1"/>
  <c r="Y85" i="1"/>
  <c r="AA85" i="1"/>
  <c r="AB85" i="1"/>
  <c r="AD85" i="1"/>
  <c r="AE85" i="1"/>
  <c r="AG85" i="1"/>
  <c r="AH85" i="1"/>
  <c r="AI85" i="1"/>
  <c r="A86" i="1"/>
  <c r="B86" i="1"/>
  <c r="C86" i="1"/>
  <c r="D86" i="1"/>
  <c r="E86" i="1"/>
  <c r="F86" i="1"/>
  <c r="K86" i="1"/>
  <c r="O86" i="1"/>
  <c r="P86" i="1"/>
  <c r="U86" i="1"/>
  <c r="V86" i="1"/>
  <c r="W86" i="1"/>
  <c r="X86" i="1"/>
  <c r="Y86" i="1"/>
  <c r="AA86" i="1"/>
  <c r="AB86" i="1"/>
  <c r="AD86" i="1"/>
  <c r="AE86" i="1"/>
  <c r="AG86" i="1"/>
  <c r="AH86" i="1"/>
  <c r="AI86" i="1"/>
  <c r="A87" i="1"/>
  <c r="B87" i="1"/>
  <c r="C87" i="1"/>
  <c r="D87" i="1"/>
  <c r="E87" i="1"/>
  <c r="F87" i="1"/>
  <c r="K87" i="1"/>
  <c r="O87" i="1"/>
  <c r="P87" i="1"/>
  <c r="U87" i="1"/>
  <c r="V87" i="1"/>
  <c r="W87" i="1"/>
  <c r="X87" i="1"/>
  <c r="Y87" i="1"/>
  <c r="AA87" i="1"/>
  <c r="AB87" i="1"/>
  <c r="AD87" i="1"/>
  <c r="AE87" i="1"/>
  <c r="AG87" i="1"/>
  <c r="AH87" i="1"/>
  <c r="AI87" i="1"/>
  <c r="A88" i="1"/>
  <c r="B88" i="1"/>
  <c r="C88" i="1"/>
  <c r="D88" i="1"/>
  <c r="E88" i="1"/>
  <c r="F88" i="1"/>
  <c r="K88" i="1"/>
  <c r="O88" i="1"/>
  <c r="P88" i="1"/>
  <c r="U88" i="1"/>
  <c r="V88" i="1"/>
  <c r="W88" i="1"/>
  <c r="X88" i="1"/>
  <c r="Y88" i="1"/>
  <c r="AA88" i="1"/>
  <c r="AB88" i="1"/>
  <c r="AD88" i="1"/>
  <c r="AE88" i="1"/>
  <c r="AG88" i="1"/>
  <c r="AH88" i="1"/>
  <c r="AI88" i="1"/>
  <c r="A89" i="1"/>
  <c r="B89" i="1"/>
  <c r="C89" i="1"/>
  <c r="D89" i="1"/>
  <c r="E89" i="1"/>
  <c r="F89" i="1"/>
  <c r="K89" i="1"/>
  <c r="O89" i="1"/>
  <c r="P89" i="1"/>
  <c r="U89" i="1"/>
  <c r="V89" i="1"/>
  <c r="W89" i="1"/>
  <c r="X89" i="1"/>
  <c r="Y89" i="1"/>
  <c r="AA89" i="1"/>
  <c r="AB89" i="1"/>
  <c r="AD89" i="1"/>
  <c r="AE89" i="1"/>
  <c r="AG89" i="1"/>
  <c r="AH89" i="1"/>
  <c r="AI89" i="1"/>
  <c r="A90" i="1"/>
  <c r="B90" i="1"/>
  <c r="C90" i="1"/>
  <c r="D90" i="1"/>
  <c r="E90" i="1"/>
  <c r="F90" i="1"/>
  <c r="K90" i="1"/>
  <c r="O90" i="1"/>
  <c r="P90" i="1"/>
  <c r="U90" i="1"/>
  <c r="V90" i="1"/>
  <c r="W90" i="1"/>
  <c r="X90" i="1"/>
  <c r="Y90" i="1"/>
  <c r="AA90" i="1"/>
  <c r="AB90" i="1"/>
  <c r="AD90" i="1"/>
  <c r="AE90" i="1"/>
  <c r="AG90" i="1"/>
  <c r="AH90" i="1"/>
  <c r="AI90" i="1"/>
  <c r="A91" i="1"/>
  <c r="B91" i="1"/>
  <c r="C91" i="1"/>
  <c r="D91" i="1"/>
  <c r="E91" i="1"/>
  <c r="F91" i="1"/>
  <c r="K91" i="1"/>
  <c r="O91" i="1"/>
  <c r="P91" i="1"/>
  <c r="U91" i="1"/>
  <c r="V91" i="1"/>
  <c r="W91" i="1"/>
  <c r="X91" i="1"/>
  <c r="Y91" i="1"/>
  <c r="AA91" i="1"/>
  <c r="AB91" i="1"/>
  <c r="AD91" i="1"/>
  <c r="AE91" i="1"/>
  <c r="AG91" i="1"/>
  <c r="AH91" i="1"/>
  <c r="AI91" i="1"/>
  <c r="A72" i="1"/>
  <c r="B72" i="1"/>
  <c r="C72" i="1"/>
  <c r="D72" i="1"/>
  <c r="E72" i="1"/>
  <c r="F72" i="1"/>
  <c r="K72" i="1"/>
  <c r="O72" i="1"/>
  <c r="P72" i="1"/>
  <c r="U72" i="1"/>
  <c r="V72" i="1"/>
  <c r="W72" i="1"/>
  <c r="X72" i="1"/>
  <c r="Y72" i="1"/>
  <c r="AA72" i="1"/>
  <c r="AB72" i="1"/>
  <c r="AD72" i="1"/>
  <c r="AE72" i="1"/>
  <c r="AG72" i="1"/>
  <c r="AH72" i="1"/>
  <c r="AI72" i="1"/>
  <c r="A73" i="1"/>
  <c r="B73" i="1"/>
  <c r="C73" i="1"/>
  <c r="D73" i="1"/>
  <c r="E73" i="1"/>
  <c r="F73" i="1"/>
  <c r="K73" i="1"/>
  <c r="O73" i="1"/>
  <c r="P73" i="1"/>
  <c r="U73" i="1"/>
  <c r="V73" i="1"/>
  <c r="W73" i="1"/>
  <c r="X73" i="1"/>
  <c r="Y73" i="1"/>
  <c r="AA73" i="1"/>
  <c r="AB73" i="1"/>
  <c r="AD73" i="1"/>
  <c r="AE73" i="1"/>
  <c r="AG73" i="1"/>
  <c r="AH73" i="1"/>
  <c r="AI73" i="1"/>
  <c r="A74" i="1"/>
  <c r="B74" i="1"/>
  <c r="C74" i="1"/>
  <c r="D74" i="1"/>
  <c r="E74" i="1"/>
  <c r="F74" i="1"/>
  <c r="K74" i="1"/>
  <c r="O74" i="1"/>
  <c r="P74" i="1"/>
  <c r="U74" i="1"/>
  <c r="V74" i="1"/>
  <c r="W74" i="1"/>
  <c r="X74" i="1"/>
  <c r="Y74" i="1"/>
  <c r="AA74" i="1"/>
  <c r="AB74" i="1"/>
  <c r="AD74" i="1"/>
  <c r="AE74" i="1"/>
  <c r="AG74" i="1"/>
  <c r="AH74" i="1"/>
  <c r="AI74" i="1"/>
  <c r="A75" i="1"/>
  <c r="B75" i="1"/>
  <c r="C75" i="1"/>
  <c r="D75" i="1"/>
  <c r="E75" i="1"/>
  <c r="F75" i="1"/>
  <c r="K75" i="1"/>
  <c r="O75" i="1"/>
  <c r="P75" i="1"/>
  <c r="U75" i="1"/>
  <c r="V75" i="1"/>
  <c r="W75" i="1"/>
  <c r="X75" i="1"/>
  <c r="Y75" i="1"/>
  <c r="AA75" i="1"/>
  <c r="AB75" i="1"/>
  <c r="AD75" i="1"/>
  <c r="AE75" i="1"/>
  <c r="AG75" i="1"/>
  <c r="AH75" i="1"/>
  <c r="AI75" i="1"/>
  <c r="A76" i="1"/>
  <c r="B76" i="1"/>
  <c r="C76" i="1"/>
  <c r="D76" i="1"/>
  <c r="E76" i="1"/>
  <c r="F76" i="1"/>
  <c r="K76" i="1"/>
  <c r="O76" i="1"/>
  <c r="P76" i="1"/>
  <c r="U76" i="1"/>
  <c r="V76" i="1"/>
  <c r="W76" i="1"/>
  <c r="X76" i="1"/>
  <c r="Y76" i="1"/>
  <c r="AA76" i="1"/>
  <c r="AB76" i="1"/>
  <c r="AD76" i="1"/>
  <c r="AE76" i="1"/>
  <c r="AG76" i="1"/>
  <c r="AH76" i="1"/>
  <c r="AI76" i="1"/>
  <c r="A77" i="1"/>
  <c r="B77" i="1"/>
  <c r="C77" i="1"/>
  <c r="D77" i="1"/>
  <c r="E77" i="1"/>
  <c r="F77" i="1"/>
  <c r="K77" i="1"/>
  <c r="O77" i="1"/>
  <c r="P77" i="1"/>
  <c r="U77" i="1"/>
  <c r="V77" i="1"/>
  <c r="W77" i="1"/>
  <c r="X77" i="1"/>
  <c r="Y77" i="1"/>
  <c r="AA77" i="1"/>
  <c r="AB77" i="1"/>
  <c r="AD77" i="1"/>
  <c r="AE77" i="1"/>
  <c r="AG77" i="1"/>
  <c r="AH77" i="1"/>
  <c r="AI77" i="1"/>
  <c r="A78" i="1"/>
  <c r="B78" i="1"/>
  <c r="C78" i="1"/>
  <c r="D78" i="1"/>
  <c r="E78" i="1"/>
  <c r="F78" i="1"/>
  <c r="K78" i="1"/>
  <c r="O78" i="1"/>
  <c r="P78" i="1"/>
  <c r="U78" i="1"/>
  <c r="V78" i="1"/>
  <c r="W78" i="1"/>
  <c r="X78" i="1"/>
  <c r="Y78" i="1"/>
  <c r="AA78" i="1"/>
  <c r="AB78" i="1"/>
  <c r="AD78" i="1"/>
  <c r="AE78" i="1"/>
  <c r="AG78" i="1"/>
  <c r="AH78" i="1"/>
  <c r="AI78" i="1"/>
  <c r="A79" i="1"/>
  <c r="B79" i="1"/>
  <c r="C79" i="1"/>
  <c r="D79" i="1"/>
  <c r="E79" i="1"/>
  <c r="F79" i="1"/>
  <c r="K79" i="1"/>
  <c r="O79" i="1"/>
  <c r="P79" i="1"/>
  <c r="U79" i="1"/>
  <c r="V79" i="1"/>
  <c r="W79" i="1"/>
  <c r="X79" i="1"/>
  <c r="Y79" i="1"/>
  <c r="AA79" i="1"/>
  <c r="AB79" i="1"/>
  <c r="AD79" i="1"/>
  <c r="AE79" i="1"/>
  <c r="AG79" i="1"/>
  <c r="AH79" i="1"/>
  <c r="AI79" i="1"/>
  <c r="A80" i="1"/>
  <c r="B80" i="1"/>
  <c r="C80" i="1"/>
  <c r="D80" i="1"/>
  <c r="E80" i="1"/>
  <c r="F80" i="1"/>
  <c r="K80" i="1"/>
  <c r="O80" i="1"/>
  <c r="P80" i="1"/>
  <c r="U80" i="1"/>
  <c r="V80" i="1"/>
  <c r="W80" i="1"/>
  <c r="X80" i="1"/>
  <c r="Y80" i="1"/>
  <c r="AA80" i="1"/>
  <c r="AB80" i="1"/>
  <c r="AD80" i="1"/>
  <c r="AE80" i="1"/>
  <c r="AG80" i="1"/>
  <c r="AH80" i="1"/>
  <c r="AI80" i="1"/>
  <c r="A81" i="1"/>
  <c r="B81" i="1"/>
  <c r="C81" i="1"/>
  <c r="D81" i="1"/>
  <c r="E81" i="1"/>
  <c r="F81" i="1"/>
  <c r="K81" i="1"/>
  <c r="O81" i="1"/>
  <c r="P81" i="1"/>
  <c r="U81" i="1"/>
  <c r="V81" i="1"/>
  <c r="W81" i="1"/>
  <c r="X81" i="1"/>
  <c r="Y81" i="1"/>
  <c r="AA81" i="1"/>
  <c r="AB81" i="1"/>
  <c r="AD81" i="1"/>
  <c r="AE81" i="1"/>
  <c r="AG81" i="1"/>
  <c r="AH81" i="1"/>
  <c r="AI81" i="1"/>
  <c r="A62" i="1"/>
  <c r="B62" i="1"/>
  <c r="C62" i="1"/>
  <c r="D62" i="1"/>
  <c r="E62" i="1"/>
  <c r="F62" i="1"/>
  <c r="K62" i="1"/>
  <c r="O62" i="1"/>
  <c r="P62" i="1"/>
  <c r="U62" i="1"/>
  <c r="V62" i="1"/>
  <c r="W62" i="1"/>
  <c r="X62" i="1"/>
  <c r="Y62" i="1"/>
  <c r="AA62" i="1"/>
  <c r="AB62" i="1"/>
  <c r="AD62" i="1"/>
  <c r="AE62" i="1"/>
  <c r="AG62" i="1"/>
  <c r="AH62" i="1"/>
  <c r="AI62" i="1"/>
  <c r="A63" i="1"/>
  <c r="B63" i="1"/>
  <c r="C63" i="1"/>
  <c r="D63" i="1"/>
  <c r="E63" i="1"/>
  <c r="F63" i="1"/>
  <c r="K63" i="1"/>
  <c r="O63" i="1"/>
  <c r="P63" i="1"/>
  <c r="U63" i="1"/>
  <c r="V63" i="1"/>
  <c r="W63" i="1"/>
  <c r="X63" i="1"/>
  <c r="Y63" i="1"/>
  <c r="AA63" i="1"/>
  <c r="AB63" i="1"/>
  <c r="AD63" i="1"/>
  <c r="AE63" i="1"/>
  <c r="AG63" i="1"/>
  <c r="AH63" i="1"/>
  <c r="AI63" i="1"/>
  <c r="A64" i="1"/>
  <c r="B64" i="1"/>
  <c r="C64" i="1"/>
  <c r="D64" i="1"/>
  <c r="E64" i="1"/>
  <c r="F64" i="1"/>
  <c r="K64" i="1"/>
  <c r="O64" i="1"/>
  <c r="P64" i="1"/>
  <c r="U64" i="1"/>
  <c r="V64" i="1"/>
  <c r="W64" i="1"/>
  <c r="X64" i="1"/>
  <c r="Y64" i="1"/>
  <c r="AA64" i="1"/>
  <c r="AB64" i="1"/>
  <c r="AD64" i="1"/>
  <c r="AE64" i="1"/>
  <c r="AG64" i="1"/>
  <c r="AH64" i="1"/>
  <c r="AI64" i="1"/>
  <c r="A65" i="1"/>
  <c r="B65" i="1"/>
  <c r="C65" i="1"/>
  <c r="D65" i="1"/>
  <c r="E65" i="1"/>
  <c r="F65" i="1"/>
  <c r="K65" i="1"/>
  <c r="O65" i="1"/>
  <c r="P65" i="1"/>
  <c r="U65" i="1"/>
  <c r="V65" i="1"/>
  <c r="W65" i="1"/>
  <c r="X65" i="1"/>
  <c r="Y65" i="1"/>
  <c r="AA65" i="1"/>
  <c r="AB65" i="1"/>
  <c r="AD65" i="1"/>
  <c r="AE65" i="1"/>
  <c r="AG65" i="1"/>
  <c r="AH65" i="1"/>
  <c r="AI65" i="1"/>
  <c r="A66" i="1"/>
  <c r="B66" i="1"/>
  <c r="C66" i="1"/>
  <c r="D66" i="1"/>
  <c r="E66" i="1"/>
  <c r="F66" i="1"/>
  <c r="K66" i="1"/>
  <c r="O66" i="1"/>
  <c r="P66" i="1"/>
  <c r="U66" i="1"/>
  <c r="V66" i="1"/>
  <c r="W66" i="1"/>
  <c r="X66" i="1"/>
  <c r="Y66" i="1"/>
  <c r="AA66" i="1"/>
  <c r="AB66" i="1"/>
  <c r="AD66" i="1"/>
  <c r="AE66" i="1"/>
  <c r="AG66" i="1"/>
  <c r="AH66" i="1"/>
  <c r="AI66" i="1"/>
  <c r="A67" i="1"/>
  <c r="B67" i="1"/>
  <c r="C67" i="1"/>
  <c r="D67" i="1"/>
  <c r="E67" i="1"/>
  <c r="F67" i="1"/>
  <c r="K67" i="1"/>
  <c r="O67" i="1"/>
  <c r="P67" i="1"/>
  <c r="U67" i="1"/>
  <c r="V67" i="1"/>
  <c r="W67" i="1"/>
  <c r="X67" i="1"/>
  <c r="Y67" i="1"/>
  <c r="AA67" i="1"/>
  <c r="AB67" i="1"/>
  <c r="AD67" i="1"/>
  <c r="AE67" i="1"/>
  <c r="AG67" i="1"/>
  <c r="AH67" i="1"/>
  <c r="AI67" i="1"/>
  <c r="A68" i="1"/>
  <c r="B68" i="1"/>
  <c r="C68" i="1"/>
  <c r="D68" i="1"/>
  <c r="E68" i="1"/>
  <c r="F68" i="1"/>
  <c r="K68" i="1"/>
  <c r="O68" i="1"/>
  <c r="P68" i="1"/>
  <c r="U68" i="1"/>
  <c r="V68" i="1"/>
  <c r="W68" i="1"/>
  <c r="X68" i="1"/>
  <c r="Y68" i="1"/>
  <c r="AA68" i="1"/>
  <c r="AB68" i="1"/>
  <c r="AD68" i="1"/>
  <c r="AE68" i="1"/>
  <c r="AG68" i="1"/>
  <c r="AH68" i="1"/>
  <c r="AI68" i="1"/>
  <c r="A69" i="1"/>
  <c r="B69" i="1"/>
  <c r="C69" i="1"/>
  <c r="D69" i="1"/>
  <c r="E69" i="1"/>
  <c r="F69" i="1"/>
  <c r="K69" i="1"/>
  <c r="O69" i="1"/>
  <c r="P69" i="1"/>
  <c r="U69" i="1"/>
  <c r="V69" i="1"/>
  <c r="W69" i="1"/>
  <c r="X69" i="1"/>
  <c r="Y69" i="1"/>
  <c r="AA69" i="1"/>
  <c r="AB69" i="1"/>
  <c r="AD69" i="1"/>
  <c r="AE69" i="1"/>
  <c r="AG69" i="1"/>
  <c r="AH69" i="1"/>
  <c r="AI69" i="1"/>
  <c r="A70" i="1"/>
  <c r="B70" i="1"/>
  <c r="C70" i="1"/>
  <c r="D70" i="1"/>
  <c r="E70" i="1"/>
  <c r="F70" i="1"/>
  <c r="K70" i="1"/>
  <c r="O70" i="1"/>
  <c r="P70" i="1"/>
  <c r="U70" i="1"/>
  <c r="V70" i="1"/>
  <c r="W70" i="1"/>
  <c r="X70" i="1"/>
  <c r="Y70" i="1"/>
  <c r="AA70" i="1"/>
  <c r="AB70" i="1"/>
  <c r="AD70" i="1"/>
  <c r="AE70" i="1"/>
  <c r="AG70" i="1"/>
  <c r="AH70" i="1"/>
  <c r="AI70" i="1"/>
  <c r="A71" i="1"/>
  <c r="B71" i="1"/>
  <c r="C71" i="1"/>
  <c r="D71" i="1"/>
  <c r="E71" i="1"/>
  <c r="F71" i="1"/>
  <c r="K71" i="1"/>
  <c r="O71" i="1"/>
  <c r="P71" i="1"/>
  <c r="U71" i="1"/>
  <c r="V71" i="1"/>
  <c r="W71" i="1"/>
  <c r="X71" i="1"/>
  <c r="Y71" i="1"/>
  <c r="AA71" i="1"/>
  <c r="AB71" i="1"/>
  <c r="AD71" i="1"/>
  <c r="AE71" i="1"/>
  <c r="AG71" i="1"/>
  <c r="AH71" i="1"/>
  <c r="AI71" i="1"/>
  <c r="A52" i="1"/>
  <c r="B52" i="1"/>
  <c r="C52" i="1"/>
  <c r="D52" i="1"/>
  <c r="E52" i="1"/>
  <c r="F52" i="1"/>
  <c r="K52" i="1"/>
  <c r="O52" i="1"/>
  <c r="P52" i="1"/>
  <c r="U52" i="1"/>
  <c r="V52" i="1"/>
  <c r="W52" i="1"/>
  <c r="X52" i="1"/>
  <c r="Y52" i="1"/>
  <c r="AA52" i="1"/>
  <c r="AB52" i="1"/>
  <c r="AD52" i="1"/>
  <c r="AE52" i="1"/>
  <c r="AG52" i="1"/>
  <c r="AH52" i="1"/>
  <c r="AI52" i="1"/>
  <c r="A53" i="1"/>
  <c r="B53" i="1"/>
  <c r="C53" i="1"/>
  <c r="D53" i="1"/>
  <c r="E53" i="1"/>
  <c r="F53" i="1"/>
  <c r="K53" i="1"/>
  <c r="O53" i="1"/>
  <c r="P53" i="1"/>
  <c r="U53" i="1"/>
  <c r="V53" i="1"/>
  <c r="W53" i="1"/>
  <c r="X53" i="1"/>
  <c r="Y53" i="1"/>
  <c r="AA53" i="1"/>
  <c r="AB53" i="1"/>
  <c r="AD53" i="1"/>
  <c r="AE53" i="1"/>
  <c r="AG53" i="1"/>
  <c r="AH53" i="1"/>
  <c r="AI53" i="1"/>
  <c r="A54" i="1"/>
  <c r="B54" i="1"/>
  <c r="C54" i="1"/>
  <c r="D54" i="1"/>
  <c r="E54" i="1"/>
  <c r="F54" i="1"/>
  <c r="K54" i="1"/>
  <c r="O54" i="1"/>
  <c r="P54" i="1"/>
  <c r="U54" i="1"/>
  <c r="V54" i="1"/>
  <c r="W54" i="1"/>
  <c r="X54" i="1"/>
  <c r="Y54" i="1"/>
  <c r="AA54" i="1"/>
  <c r="AB54" i="1"/>
  <c r="AD54" i="1"/>
  <c r="AE54" i="1"/>
  <c r="AG54" i="1"/>
  <c r="AH54" i="1"/>
  <c r="AI54" i="1"/>
  <c r="A55" i="1"/>
  <c r="B55" i="1"/>
  <c r="C55" i="1"/>
  <c r="D55" i="1"/>
  <c r="E55" i="1"/>
  <c r="F55" i="1"/>
  <c r="K55" i="1"/>
  <c r="O55" i="1"/>
  <c r="P55" i="1"/>
  <c r="U55" i="1"/>
  <c r="V55" i="1"/>
  <c r="W55" i="1"/>
  <c r="X55" i="1"/>
  <c r="Y55" i="1"/>
  <c r="AA55" i="1"/>
  <c r="AB55" i="1"/>
  <c r="AD55" i="1"/>
  <c r="AE55" i="1"/>
  <c r="AG55" i="1"/>
  <c r="AH55" i="1"/>
  <c r="AI55" i="1"/>
  <c r="A56" i="1"/>
  <c r="B56" i="1"/>
  <c r="C56" i="1"/>
  <c r="D56" i="1"/>
  <c r="E56" i="1"/>
  <c r="F56" i="1"/>
  <c r="K56" i="1"/>
  <c r="O56" i="1"/>
  <c r="P56" i="1"/>
  <c r="U56" i="1"/>
  <c r="V56" i="1"/>
  <c r="W56" i="1"/>
  <c r="X56" i="1"/>
  <c r="Y56" i="1"/>
  <c r="AA56" i="1"/>
  <c r="AB56" i="1"/>
  <c r="AD56" i="1"/>
  <c r="AE56" i="1"/>
  <c r="AG56" i="1"/>
  <c r="AH56" i="1"/>
  <c r="AI56" i="1"/>
  <c r="A57" i="1"/>
  <c r="B57" i="1"/>
  <c r="C57" i="1"/>
  <c r="D57" i="1"/>
  <c r="E57" i="1"/>
  <c r="F57" i="1"/>
  <c r="K57" i="1"/>
  <c r="O57" i="1"/>
  <c r="P57" i="1"/>
  <c r="U57" i="1"/>
  <c r="V57" i="1"/>
  <c r="W57" i="1"/>
  <c r="X57" i="1"/>
  <c r="Y57" i="1"/>
  <c r="AA57" i="1"/>
  <c r="AB57" i="1"/>
  <c r="AD57" i="1"/>
  <c r="AE57" i="1"/>
  <c r="AG57" i="1"/>
  <c r="AH57" i="1"/>
  <c r="AI57" i="1"/>
  <c r="A58" i="1"/>
  <c r="B58" i="1"/>
  <c r="C58" i="1"/>
  <c r="D58" i="1"/>
  <c r="E58" i="1"/>
  <c r="F58" i="1"/>
  <c r="K58" i="1"/>
  <c r="O58" i="1"/>
  <c r="P58" i="1"/>
  <c r="U58" i="1"/>
  <c r="V58" i="1"/>
  <c r="W58" i="1"/>
  <c r="X58" i="1"/>
  <c r="Y58" i="1"/>
  <c r="AA58" i="1"/>
  <c r="AB58" i="1"/>
  <c r="AD58" i="1"/>
  <c r="AE58" i="1"/>
  <c r="AG58" i="1"/>
  <c r="AH58" i="1"/>
  <c r="AI58" i="1"/>
  <c r="A59" i="1"/>
  <c r="B59" i="1"/>
  <c r="C59" i="1"/>
  <c r="D59" i="1"/>
  <c r="E59" i="1"/>
  <c r="F59" i="1"/>
  <c r="K59" i="1"/>
  <c r="O59" i="1"/>
  <c r="P59" i="1"/>
  <c r="U59" i="1"/>
  <c r="V59" i="1"/>
  <c r="W59" i="1"/>
  <c r="X59" i="1"/>
  <c r="Y59" i="1"/>
  <c r="AA59" i="1"/>
  <c r="AB59" i="1"/>
  <c r="AD59" i="1"/>
  <c r="AE59" i="1"/>
  <c r="AG59" i="1"/>
  <c r="AH59" i="1"/>
  <c r="AI59" i="1"/>
  <c r="A60" i="1"/>
  <c r="B60" i="1"/>
  <c r="C60" i="1"/>
  <c r="D60" i="1"/>
  <c r="E60" i="1"/>
  <c r="F60" i="1"/>
  <c r="K60" i="1"/>
  <c r="O60" i="1"/>
  <c r="P60" i="1"/>
  <c r="U60" i="1"/>
  <c r="V60" i="1"/>
  <c r="W60" i="1"/>
  <c r="X60" i="1"/>
  <c r="Y60" i="1"/>
  <c r="AA60" i="1"/>
  <c r="AB60" i="1"/>
  <c r="AD60" i="1"/>
  <c r="AE60" i="1"/>
  <c r="AG60" i="1"/>
  <c r="AH60" i="1"/>
  <c r="AI60" i="1"/>
  <c r="A61" i="1"/>
  <c r="B61" i="1"/>
  <c r="C61" i="1"/>
  <c r="D61" i="1"/>
  <c r="E61" i="1"/>
  <c r="F61" i="1"/>
  <c r="K61" i="1"/>
  <c r="O61" i="1"/>
  <c r="P61" i="1"/>
  <c r="U61" i="1"/>
  <c r="V61" i="1"/>
  <c r="W61" i="1"/>
  <c r="X61" i="1"/>
  <c r="Y61" i="1"/>
  <c r="AA61" i="1"/>
  <c r="AB61" i="1"/>
  <c r="AD61" i="1"/>
  <c r="AE61" i="1"/>
  <c r="AG61" i="1"/>
  <c r="AH61" i="1"/>
  <c r="AI61" i="1"/>
  <c r="A42" i="1"/>
  <c r="B42" i="1"/>
  <c r="C42" i="1"/>
  <c r="D42" i="1"/>
  <c r="E42" i="1"/>
  <c r="F42" i="1"/>
  <c r="K42" i="1"/>
  <c r="O42" i="1"/>
  <c r="P42" i="1"/>
  <c r="U42" i="1"/>
  <c r="V42" i="1"/>
  <c r="W42" i="1"/>
  <c r="X42" i="1"/>
  <c r="Y42" i="1"/>
  <c r="AA42" i="1"/>
  <c r="AB42" i="1"/>
  <c r="AD42" i="1"/>
  <c r="AE42" i="1"/>
  <c r="AG42" i="1"/>
  <c r="AH42" i="1"/>
  <c r="AI42" i="1"/>
  <c r="A43" i="1"/>
  <c r="B43" i="1"/>
  <c r="C43" i="1"/>
  <c r="D43" i="1"/>
  <c r="E43" i="1"/>
  <c r="F43" i="1"/>
  <c r="K43" i="1"/>
  <c r="O43" i="1"/>
  <c r="P43" i="1"/>
  <c r="U43" i="1"/>
  <c r="V43" i="1"/>
  <c r="W43" i="1"/>
  <c r="X43" i="1"/>
  <c r="Y43" i="1"/>
  <c r="AA43" i="1"/>
  <c r="AB43" i="1"/>
  <c r="AD43" i="1"/>
  <c r="AE43" i="1"/>
  <c r="AG43" i="1"/>
  <c r="AH43" i="1"/>
  <c r="AI43" i="1"/>
  <c r="A44" i="1"/>
  <c r="B44" i="1"/>
  <c r="C44" i="1"/>
  <c r="D44" i="1"/>
  <c r="E44" i="1"/>
  <c r="F44" i="1"/>
  <c r="K44" i="1"/>
  <c r="O44" i="1"/>
  <c r="P44" i="1"/>
  <c r="U44" i="1"/>
  <c r="V44" i="1"/>
  <c r="W44" i="1"/>
  <c r="X44" i="1"/>
  <c r="Y44" i="1"/>
  <c r="AA44" i="1"/>
  <c r="AB44" i="1"/>
  <c r="AD44" i="1"/>
  <c r="AE44" i="1"/>
  <c r="AG44" i="1"/>
  <c r="AH44" i="1"/>
  <c r="AI44" i="1"/>
  <c r="A45" i="1"/>
  <c r="B45" i="1"/>
  <c r="C45" i="1"/>
  <c r="D45" i="1"/>
  <c r="E45" i="1"/>
  <c r="F45" i="1"/>
  <c r="K45" i="1"/>
  <c r="O45" i="1"/>
  <c r="P45" i="1"/>
  <c r="U45" i="1"/>
  <c r="V45" i="1"/>
  <c r="W45" i="1"/>
  <c r="X45" i="1"/>
  <c r="Y45" i="1"/>
  <c r="AA45" i="1"/>
  <c r="AB45" i="1"/>
  <c r="AD45" i="1"/>
  <c r="AE45" i="1"/>
  <c r="AG45" i="1"/>
  <c r="AH45" i="1"/>
  <c r="AI45" i="1"/>
  <c r="A46" i="1"/>
  <c r="B46" i="1"/>
  <c r="C46" i="1"/>
  <c r="D46" i="1"/>
  <c r="E46" i="1"/>
  <c r="F46" i="1"/>
  <c r="K46" i="1"/>
  <c r="O46" i="1"/>
  <c r="P46" i="1"/>
  <c r="U46" i="1"/>
  <c r="V46" i="1"/>
  <c r="W46" i="1"/>
  <c r="X46" i="1"/>
  <c r="Y46" i="1"/>
  <c r="AA46" i="1"/>
  <c r="AB46" i="1"/>
  <c r="AD46" i="1"/>
  <c r="AE46" i="1"/>
  <c r="AG46" i="1"/>
  <c r="AH46" i="1"/>
  <c r="AI46" i="1"/>
  <c r="A47" i="1"/>
  <c r="B47" i="1"/>
  <c r="C47" i="1"/>
  <c r="D47" i="1"/>
  <c r="E47" i="1"/>
  <c r="F47" i="1"/>
  <c r="K47" i="1"/>
  <c r="O47" i="1"/>
  <c r="P47" i="1"/>
  <c r="U47" i="1"/>
  <c r="V47" i="1"/>
  <c r="W47" i="1"/>
  <c r="X47" i="1"/>
  <c r="Y47" i="1"/>
  <c r="AA47" i="1"/>
  <c r="AB47" i="1"/>
  <c r="AD47" i="1"/>
  <c r="AE47" i="1"/>
  <c r="AG47" i="1"/>
  <c r="AH47" i="1"/>
  <c r="AI47" i="1"/>
  <c r="A48" i="1"/>
  <c r="B48" i="1"/>
  <c r="C48" i="1"/>
  <c r="D48" i="1"/>
  <c r="E48" i="1"/>
  <c r="F48" i="1"/>
  <c r="K48" i="1"/>
  <c r="O48" i="1"/>
  <c r="P48" i="1"/>
  <c r="U48" i="1"/>
  <c r="V48" i="1"/>
  <c r="W48" i="1"/>
  <c r="X48" i="1"/>
  <c r="Y48" i="1"/>
  <c r="AA48" i="1"/>
  <c r="AB48" i="1"/>
  <c r="AD48" i="1"/>
  <c r="AE48" i="1"/>
  <c r="AG48" i="1"/>
  <c r="AH48" i="1"/>
  <c r="AI48" i="1"/>
  <c r="A49" i="1"/>
  <c r="B49" i="1"/>
  <c r="C49" i="1"/>
  <c r="D49" i="1"/>
  <c r="E49" i="1"/>
  <c r="F49" i="1"/>
  <c r="K49" i="1"/>
  <c r="O49" i="1"/>
  <c r="P49" i="1"/>
  <c r="U49" i="1"/>
  <c r="V49" i="1"/>
  <c r="W49" i="1"/>
  <c r="X49" i="1"/>
  <c r="Y49" i="1"/>
  <c r="AA49" i="1"/>
  <c r="AB49" i="1"/>
  <c r="AD49" i="1"/>
  <c r="AE49" i="1"/>
  <c r="AG49" i="1"/>
  <c r="AH49" i="1"/>
  <c r="AI49" i="1"/>
  <c r="A50" i="1"/>
  <c r="B50" i="1"/>
  <c r="C50" i="1"/>
  <c r="D50" i="1"/>
  <c r="E50" i="1"/>
  <c r="F50" i="1"/>
  <c r="K50" i="1"/>
  <c r="O50" i="1"/>
  <c r="P50" i="1"/>
  <c r="U50" i="1"/>
  <c r="V50" i="1"/>
  <c r="W50" i="1"/>
  <c r="X50" i="1"/>
  <c r="Y50" i="1"/>
  <c r="AA50" i="1"/>
  <c r="AB50" i="1"/>
  <c r="AD50" i="1"/>
  <c r="AE50" i="1"/>
  <c r="AG50" i="1"/>
  <c r="AH50" i="1"/>
  <c r="AI50" i="1"/>
  <c r="A51" i="1"/>
  <c r="B51" i="1"/>
  <c r="C51" i="1"/>
  <c r="D51" i="1"/>
  <c r="E51" i="1"/>
  <c r="F51" i="1"/>
  <c r="K51" i="1"/>
  <c r="O51" i="1"/>
  <c r="P51" i="1"/>
  <c r="U51" i="1"/>
  <c r="V51" i="1"/>
  <c r="W51" i="1"/>
  <c r="X51" i="1"/>
  <c r="Y51" i="1"/>
  <c r="AA51" i="1"/>
  <c r="AB51" i="1"/>
  <c r="AD51" i="1"/>
  <c r="AE51" i="1"/>
  <c r="AG51" i="1"/>
  <c r="AH51" i="1"/>
  <c r="AI51" i="1"/>
  <c r="A32" i="1"/>
  <c r="B32" i="1"/>
  <c r="C32" i="1"/>
  <c r="D32" i="1"/>
  <c r="E32" i="1"/>
  <c r="F32" i="1"/>
  <c r="K32" i="1"/>
  <c r="O32" i="1"/>
  <c r="P32" i="1"/>
  <c r="U32" i="1"/>
  <c r="V32" i="1"/>
  <c r="W32" i="1"/>
  <c r="X32" i="1"/>
  <c r="Y32" i="1"/>
  <c r="AA32" i="1"/>
  <c r="AB32" i="1"/>
  <c r="AD32" i="1"/>
  <c r="AE32" i="1"/>
  <c r="AG32" i="1"/>
  <c r="AH32" i="1"/>
  <c r="AI32" i="1"/>
  <c r="A33" i="1"/>
  <c r="B33" i="1"/>
  <c r="C33" i="1"/>
  <c r="D33" i="1"/>
  <c r="E33" i="1"/>
  <c r="F33" i="1"/>
  <c r="K33" i="1"/>
  <c r="O33" i="1"/>
  <c r="P33" i="1"/>
  <c r="U33" i="1"/>
  <c r="V33" i="1"/>
  <c r="W33" i="1"/>
  <c r="X33" i="1"/>
  <c r="Y33" i="1"/>
  <c r="AA33" i="1"/>
  <c r="AB33" i="1"/>
  <c r="AD33" i="1"/>
  <c r="AE33" i="1"/>
  <c r="AG33" i="1"/>
  <c r="AH33" i="1"/>
  <c r="AI33" i="1"/>
  <c r="A34" i="1"/>
  <c r="B34" i="1"/>
  <c r="C34" i="1"/>
  <c r="D34" i="1"/>
  <c r="E34" i="1"/>
  <c r="F34" i="1"/>
  <c r="K34" i="1"/>
  <c r="O34" i="1"/>
  <c r="P34" i="1"/>
  <c r="U34" i="1"/>
  <c r="V34" i="1"/>
  <c r="W34" i="1"/>
  <c r="X34" i="1"/>
  <c r="Y34" i="1"/>
  <c r="AA34" i="1"/>
  <c r="AB34" i="1"/>
  <c r="AD34" i="1"/>
  <c r="AE34" i="1"/>
  <c r="AG34" i="1"/>
  <c r="AH34" i="1"/>
  <c r="AI34" i="1"/>
  <c r="A35" i="1"/>
  <c r="B35" i="1"/>
  <c r="C35" i="1"/>
  <c r="D35" i="1"/>
  <c r="E35" i="1"/>
  <c r="F35" i="1"/>
  <c r="K35" i="1"/>
  <c r="O35" i="1"/>
  <c r="P35" i="1"/>
  <c r="U35" i="1"/>
  <c r="V35" i="1"/>
  <c r="W35" i="1"/>
  <c r="X35" i="1"/>
  <c r="Y35" i="1"/>
  <c r="AA35" i="1"/>
  <c r="AB35" i="1"/>
  <c r="AD35" i="1"/>
  <c r="AE35" i="1"/>
  <c r="AG35" i="1"/>
  <c r="AH35" i="1"/>
  <c r="AI35" i="1"/>
  <c r="A36" i="1"/>
  <c r="B36" i="1"/>
  <c r="C36" i="1"/>
  <c r="D36" i="1"/>
  <c r="E36" i="1"/>
  <c r="F36" i="1"/>
  <c r="K36" i="1"/>
  <c r="O36" i="1"/>
  <c r="P36" i="1"/>
  <c r="U36" i="1"/>
  <c r="V36" i="1"/>
  <c r="W36" i="1"/>
  <c r="X36" i="1"/>
  <c r="Y36" i="1"/>
  <c r="AA36" i="1"/>
  <c r="AB36" i="1"/>
  <c r="AD36" i="1"/>
  <c r="AE36" i="1"/>
  <c r="AG36" i="1"/>
  <c r="AH36" i="1"/>
  <c r="AI36" i="1"/>
  <c r="A37" i="1"/>
  <c r="B37" i="1"/>
  <c r="C37" i="1"/>
  <c r="D37" i="1"/>
  <c r="E37" i="1"/>
  <c r="F37" i="1"/>
  <c r="K37" i="1"/>
  <c r="O37" i="1"/>
  <c r="P37" i="1"/>
  <c r="U37" i="1"/>
  <c r="V37" i="1"/>
  <c r="W37" i="1"/>
  <c r="X37" i="1"/>
  <c r="Y37" i="1"/>
  <c r="AA37" i="1"/>
  <c r="AB37" i="1"/>
  <c r="AD37" i="1"/>
  <c r="AE37" i="1"/>
  <c r="AG37" i="1"/>
  <c r="AH37" i="1"/>
  <c r="AI37" i="1"/>
  <c r="A38" i="1"/>
  <c r="B38" i="1"/>
  <c r="C38" i="1"/>
  <c r="D38" i="1"/>
  <c r="E38" i="1"/>
  <c r="F38" i="1"/>
  <c r="K38" i="1"/>
  <c r="O38" i="1"/>
  <c r="P38" i="1"/>
  <c r="U38" i="1"/>
  <c r="V38" i="1"/>
  <c r="W38" i="1"/>
  <c r="X38" i="1"/>
  <c r="Y38" i="1"/>
  <c r="AA38" i="1"/>
  <c r="AB38" i="1"/>
  <c r="AD38" i="1"/>
  <c r="AE38" i="1"/>
  <c r="AG38" i="1"/>
  <c r="AH38" i="1"/>
  <c r="AI38" i="1"/>
  <c r="A39" i="1"/>
  <c r="B39" i="1"/>
  <c r="C39" i="1"/>
  <c r="D39" i="1"/>
  <c r="E39" i="1"/>
  <c r="F39" i="1"/>
  <c r="K39" i="1"/>
  <c r="O39" i="1"/>
  <c r="P39" i="1"/>
  <c r="U39" i="1"/>
  <c r="V39" i="1"/>
  <c r="W39" i="1"/>
  <c r="X39" i="1"/>
  <c r="Y39" i="1"/>
  <c r="AA39" i="1"/>
  <c r="AB39" i="1"/>
  <c r="AD39" i="1"/>
  <c r="AE39" i="1"/>
  <c r="AG39" i="1"/>
  <c r="AH39" i="1"/>
  <c r="AI39" i="1"/>
  <c r="A40" i="1"/>
  <c r="B40" i="1"/>
  <c r="C40" i="1"/>
  <c r="D40" i="1"/>
  <c r="E40" i="1"/>
  <c r="F40" i="1"/>
  <c r="K40" i="1"/>
  <c r="O40" i="1"/>
  <c r="P40" i="1"/>
  <c r="U40" i="1"/>
  <c r="V40" i="1"/>
  <c r="W40" i="1"/>
  <c r="X40" i="1"/>
  <c r="Y40" i="1"/>
  <c r="AA40" i="1"/>
  <c r="AB40" i="1"/>
  <c r="AD40" i="1"/>
  <c r="AE40" i="1"/>
  <c r="AG40" i="1"/>
  <c r="AH40" i="1"/>
  <c r="AI40" i="1"/>
  <c r="A41" i="1"/>
  <c r="B41" i="1"/>
  <c r="C41" i="1"/>
  <c r="D41" i="1"/>
  <c r="E41" i="1"/>
  <c r="F41" i="1"/>
  <c r="K41" i="1"/>
  <c r="O41" i="1"/>
  <c r="P41" i="1"/>
  <c r="U41" i="1"/>
  <c r="V41" i="1"/>
  <c r="W41" i="1"/>
  <c r="X41" i="1"/>
  <c r="Y41" i="1"/>
  <c r="AA41" i="1"/>
  <c r="AB41" i="1"/>
  <c r="AD41" i="1"/>
  <c r="AE41" i="1"/>
  <c r="AG41" i="1"/>
  <c r="AH41" i="1"/>
  <c r="AI41" i="1"/>
  <c r="A22" i="1"/>
  <c r="B22" i="1"/>
  <c r="C22" i="1"/>
  <c r="D22" i="1"/>
  <c r="E22" i="1"/>
  <c r="F22" i="1"/>
  <c r="K22" i="1"/>
  <c r="O22" i="1"/>
  <c r="P22" i="1"/>
  <c r="U22" i="1"/>
  <c r="V22" i="1"/>
  <c r="W22" i="1"/>
  <c r="X22" i="1"/>
  <c r="Y22" i="1"/>
  <c r="AA22" i="1"/>
  <c r="AB22" i="1"/>
  <c r="AD22" i="1"/>
  <c r="AE22" i="1"/>
  <c r="AG22" i="1"/>
  <c r="AH22" i="1"/>
  <c r="AI22" i="1"/>
  <c r="A23" i="1"/>
  <c r="B23" i="1"/>
  <c r="C23" i="1"/>
  <c r="D23" i="1"/>
  <c r="E23" i="1"/>
  <c r="F23" i="1"/>
  <c r="K23" i="1"/>
  <c r="O23" i="1"/>
  <c r="P23" i="1"/>
  <c r="U23" i="1"/>
  <c r="V23" i="1"/>
  <c r="W23" i="1"/>
  <c r="X23" i="1"/>
  <c r="Y23" i="1"/>
  <c r="AA23" i="1"/>
  <c r="AB23" i="1"/>
  <c r="AD23" i="1"/>
  <c r="AE23" i="1"/>
  <c r="AG23" i="1"/>
  <c r="AH23" i="1"/>
  <c r="AI23" i="1"/>
  <c r="A24" i="1"/>
  <c r="B24" i="1"/>
  <c r="C24" i="1"/>
  <c r="D24" i="1"/>
  <c r="E24" i="1"/>
  <c r="F24" i="1"/>
  <c r="K24" i="1"/>
  <c r="O24" i="1"/>
  <c r="P24" i="1"/>
  <c r="U24" i="1"/>
  <c r="V24" i="1"/>
  <c r="W24" i="1"/>
  <c r="X24" i="1"/>
  <c r="Y24" i="1"/>
  <c r="AA24" i="1"/>
  <c r="AB24" i="1"/>
  <c r="AD24" i="1"/>
  <c r="AE24" i="1"/>
  <c r="AG24" i="1"/>
  <c r="AH24" i="1"/>
  <c r="AI24" i="1"/>
  <c r="A25" i="1"/>
  <c r="B25" i="1"/>
  <c r="C25" i="1"/>
  <c r="D25" i="1"/>
  <c r="E25" i="1"/>
  <c r="F25" i="1"/>
  <c r="K25" i="1"/>
  <c r="O25" i="1"/>
  <c r="P25" i="1"/>
  <c r="U25" i="1"/>
  <c r="V25" i="1"/>
  <c r="W25" i="1"/>
  <c r="X25" i="1"/>
  <c r="Y25" i="1"/>
  <c r="AA25" i="1"/>
  <c r="AB25" i="1"/>
  <c r="AD25" i="1"/>
  <c r="AE25" i="1"/>
  <c r="AG25" i="1"/>
  <c r="AH25" i="1"/>
  <c r="AI25" i="1"/>
  <c r="A26" i="1"/>
  <c r="B26" i="1"/>
  <c r="C26" i="1"/>
  <c r="D26" i="1"/>
  <c r="E26" i="1"/>
  <c r="F26" i="1"/>
  <c r="K26" i="1"/>
  <c r="O26" i="1"/>
  <c r="P26" i="1"/>
  <c r="U26" i="1"/>
  <c r="V26" i="1"/>
  <c r="W26" i="1"/>
  <c r="X26" i="1"/>
  <c r="Y26" i="1"/>
  <c r="AA26" i="1"/>
  <c r="AB26" i="1"/>
  <c r="AD26" i="1"/>
  <c r="AE26" i="1"/>
  <c r="AG26" i="1"/>
  <c r="AH26" i="1"/>
  <c r="AI26" i="1"/>
  <c r="A27" i="1"/>
  <c r="B27" i="1"/>
  <c r="C27" i="1"/>
  <c r="D27" i="1"/>
  <c r="E27" i="1"/>
  <c r="F27" i="1"/>
  <c r="K27" i="1"/>
  <c r="O27" i="1"/>
  <c r="P27" i="1"/>
  <c r="U27" i="1"/>
  <c r="V27" i="1"/>
  <c r="W27" i="1"/>
  <c r="X27" i="1"/>
  <c r="Y27" i="1"/>
  <c r="AA27" i="1"/>
  <c r="AB27" i="1"/>
  <c r="AD27" i="1"/>
  <c r="AE27" i="1"/>
  <c r="AG27" i="1"/>
  <c r="AH27" i="1"/>
  <c r="AI27" i="1"/>
  <c r="A28" i="1"/>
  <c r="B28" i="1"/>
  <c r="C28" i="1"/>
  <c r="D28" i="1"/>
  <c r="E28" i="1"/>
  <c r="F28" i="1"/>
  <c r="K28" i="1"/>
  <c r="O28" i="1"/>
  <c r="P28" i="1"/>
  <c r="U28" i="1"/>
  <c r="V28" i="1"/>
  <c r="W28" i="1"/>
  <c r="X28" i="1"/>
  <c r="Y28" i="1"/>
  <c r="AA28" i="1"/>
  <c r="AB28" i="1"/>
  <c r="AD28" i="1"/>
  <c r="AE28" i="1"/>
  <c r="AG28" i="1"/>
  <c r="AH28" i="1"/>
  <c r="AI28" i="1"/>
  <c r="A29" i="1"/>
  <c r="B29" i="1"/>
  <c r="C29" i="1"/>
  <c r="D29" i="1"/>
  <c r="E29" i="1"/>
  <c r="F29" i="1"/>
  <c r="K29" i="1"/>
  <c r="O29" i="1"/>
  <c r="P29" i="1"/>
  <c r="U29" i="1"/>
  <c r="V29" i="1"/>
  <c r="W29" i="1"/>
  <c r="X29" i="1"/>
  <c r="Y29" i="1"/>
  <c r="AA29" i="1"/>
  <c r="AB29" i="1"/>
  <c r="AD29" i="1"/>
  <c r="AE29" i="1"/>
  <c r="AG29" i="1"/>
  <c r="AH29" i="1"/>
  <c r="AI29" i="1"/>
  <c r="A30" i="1"/>
  <c r="B30" i="1"/>
  <c r="C30" i="1"/>
  <c r="D30" i="1"/>
  <c r="E30" i="1"/>
  <c r="F30" i="1"/>
  <c r="K30" i="1"/>
  <c r="O30" i="1"/>
  <c r="P30" i="1"/>
  <c r="U30" i="1"/>
  <c r="V30" i="1"/>
  <c r="W30" i="1"/>
  <c r="X30" i="1"/>
  <c r="Y30" i="1"/>
  <c r="AA30" i="1"/>
  <c r="AB30" i="1"/>
  <c r="AD30" i="1"/>
  <c r="AE30" i="1"/>
  <c r="AG30" i="1"/>
  <c r="AH30" i="1"/>
  <c r="AI30" i="1"/>
  <c r="A31" i="1"/>
  <c r="B31" i="1"/>
  <c r="C31" i="1"/>
  <c r="D31" i="1"/>
  <c r="E31" i="1"/>
  <c r="F31" i="1"/>
  <c r="K31" i="1"/>
  <c r="O31" i="1"/>
  <c r="P31" i="1"/>
  <c r="U31" i="1"/>
  <c r="V31" i="1"/>
  <c r="W31" i="1"/>
  <c r="X31" i="1"/>
  <c r="Y31" i="1"/>
  <c r="AA31" i="1"/>
  <c r="AB31" i="1"/>
  <c r="AD31" i="1"/>
  <c r="AE31" i="1"/>
  <c r="AG31" i="1"/>
  <c r="AH31" i="1"/>
  <c r="AI31" i="1"/>
  <c r="A12" i="1"/>
  <c r="B12" i="1"/>
  <c r="C12" i="1"/>
  <c r="D12" i="1"/>
  <c r="E12" i="1"/>
  <c r="F12" i="1"/>
  <c r="K12" i="1"/>
  <c r="O12" i="1"/>
  <c r="P12" i="1"/>
  <c r="U12" i="1"/>
  <c r="V12" i="1"/>
  <c r="W12" i="1"/>
  <c r="X12" i="1"/>
  <c r="Y12" i="1"/>
  <c r="AA12" i="1"/>
  <c r="AB12" i="1"/>
  <c r="AD12" i="1"/>
  <c r="AE12" i="1"/>
  <c r="AG12" i="1"/>
  <c r="AH12" i="1"/>
  <c r="AI12" i="1"/>
  <c r="A13" i="1"/>
  <c r="B13" i="1"/>
  <c r="C13" i="1"/>
  <c r="D13" i="1"/>
  <c r="E13" i="1"/>
  <c r="F13" i="1"/>
  <c r="K13" i="1"/>
  <c r="O13" i="1"/>
  <c r="P13" i="1"/>
  <c r="U13" i="1"/>
  <c r="V13" i="1"/>
  <c r="W13" i="1"/>
  <c r="X13" i="1"/>
  <c r="Y13" i="1"/>
  <c r="AA13" i="1"/>
  <c r="AB13" i="1"/>
  <c r="AD13" i="1"/>
  <c r="AE13" i="1"/>
  <c r="AG13" i="1"/>
  <c r="AH13" i="1"/>
  <c r="AI13" i="1"/>
  <c r="A14" i="1"/>
  <c r="B14" i="1"/>
  <c r="C14" i="1"/>
  <c r="D14" i="1"/>
  <c r="E14" i="1"/>
  <c r="F14" i="1"/>
  <c r="K14" i="1"/>
  <c r="O14" i="1"/>
  <c r="P14" i="1"/>
  <c r="U14" i="1"/>
  <c r="V14" i="1"/>
  <c r="W14" i="1"/>
  <c r="X14" i="1"/>
  <c r="Y14" i="1"/>
  <c r="AA14" i="1"/>
  <c r="AB14" i="1"/>
  <c r="AD14" i="1"/>
  <c r="AE14" i="1"/>
  <c r="AG14" i="1"/>
  <c r="AH14" i="1"/>
  <c r="AI14" i="1"/>
  <c r="A15" i="1"/>
  <c r="B15" i="1"/>
  <c r="C15" i="1"/>
  <c r="D15" i="1"/>
  <c r="E15" i="1"/>
  <c r="F15" i="1"/>
  <c r="K15" i="1"/>
  <c r="O15" i="1"/>
  <c r="P15" i="1"/>
  <c r="U15" i="1"/>
  <c r="V15" i="1"/>
  <c r="W15" i="1"/>
  <c r="X15" i="1"/>
  <c r="Y15" i="1"/>
  <c r="AA15" i="1"/>
  <c r="AB15" i="1"/>
  <c r="AD15" i="1"/>
  <c r="AE15" i="1"/>
  <c r="AG15" i="1"/>
  <c r="AH15" i="1"/>
  <c r="AI15" i="1"/>
  <c r="A16" i="1"/>
  <c r="B16" i="1"/>
  <c r="C16" i="1"/>
  <c r="D16" i="1"/>
  <c r="E16" i="1"/>
  <c r="F16" i="1"/>
  <c r="K16" i="1"/>
  <c r="O16" i="1"/>
  <c r="P16" i="1"/>
  <c r="U16" i="1"/>
  <c r="V16" i="1"/>
  <c r="W16" i="1"/>
  <c r="X16" i="1"/>
  <c r="Y16" i="1"/>
  <c r="AA16" i="1"/>
  <c r="AB16" i="1"/>
  <c r="AD16" i="1"/>
  <c r="AE16" i="1"/>
  <c r="AG16" i="1"/>
  <c r="AH16" i="1"/>
  <c r="AI16" i="1"/>
  <c r="A17" i="1"/>
  <c r="B17" i="1"/>
  <c r="C17" i="1"/>
  <c r="D17" i="1"/>
  <c r="E17" i="1"/>
  <c r="F17" i="1"/>
  <c r="K17" i="1"/>
  <c r="O17" i="1"/>
  <c r="P17" i="1"/>
  <c r="U17" i="1"/>
  <c r="V17" i="1"/>
  <c r="W17" i="1"/>
  <c r="X17" i="1"/>
  <c r="Y17" i="1"/>
  <c r="AA17" i="1"/>
  <c r="AB17" i="1"/>
  <c r="AD17" i="1"/>
  <c r="AE17" i="1"/>
  <c r="AG17" i="1"/>
  <c r="AH17" i="1"/>
  <c r="AI17" i="1"/>
  <c r="A18" i="1"/>
  <c r="B18" i="1"/>
  <c r="C18" i="1"/>
  <c r="D18" i="1"/>
  <c r="E18" i="1"/>
  <c r="F18" i="1"/>
  <c r="K18" i="1"/>
  <c r="O18" i="1"/>
  <c r="P18" i="1"/>
  <c r="U18" i="1"/>
  <c r="V18" i="1"/>
  <c r="W18" i="1"/>
  <c r="X18" i="1"/>
  <c r="Y18" i="1"/>
  <c r="AA18" i="1"/>
  <c r="AB18" i="1"/>
  <c r="AD18" i="1"/>
  <c r="AE18" i="1"/>
  <c r="AG18" i="1"/>
  <c r="AH18" i="1"/>
  <c r="AI18" i="1"/>
  <c r="A19" i="1"/>
  <c r="B19" i="1"/>
  <c r="C19" i="1"/>
  <c r="D19" i="1"/>
  <c r="E19" i="1"/>
  <c r="F19" i="1"/>
  <c r="K19" i="1"/>
  <c r="O19" i="1"/>
  <c r="P19" i="1"/>
  <c r="U19" i="1"/>
  <c r="V19" i="1"/>
  <c r="W19" i="1"/>
  <c r="X19" i="1"/>
  <c r="Y19" i="1"/>
  <c r="AA19" i="1"/>
  <c r="AB19" i="1"/>
  <c r="AD19" i="1"/>
  <c r="AE19" i="1"/>
  <c r="AG19" i="1"/>
  <c r="AH19" i="1"/>
  <c r="AI19" i="1"/>
  <c r="A20" i="1"/>
  <c r="B20" i="1"/>
  <c r="C20" i="1"/>
  <c r="D20" i="1"/>
  <c r="E20" i="1"/>
  <c r="F20" i="1"/>
  <c r="K20" i="1"/>
  <c r="O20" i="1"/>
  <c r="P20" i="1"/>
  <c r="U20" i="1"/>
  <c r="V20" i="1"/>
  <c r="W20" i="1"/>
  <c r="X20" i="1"/>
  <c r="Y20" i="1"/>
  <c r="AA20" i="1"/>
  <c r="AB20" i="1"/>
  <c r="AD20" i="1"/>
  <c r="AE20" i="1"/>
  <c r="AG20" i="1"/>
  <c r="AH20" i="1"/>
  <c r="AI20" i="1"/>
  <c r="A21" i="1"/>
  <c r="B21" i="1"/>
  <c r="C21" i="1"/>
  <c r="D21" i="1"/>
  <c r="E21" i="1"/>
  <c r="F21" i="1"/>
  <c r="K21" i="1"/>
  <c r="O21" i="1"/>
  <c r="P21" i="1"/>
  <c r="U21" i="1"/>
  <c r="V21" i="1"/>
  <c r="W21" i="1"/>
  <c r="X21" i="1"/>
  <c r="Y21" i="1"/>
  <c r="AA21" i="1"/>
  <c r="AB21" i="1"/>
  <c r="AD21" i="1"/>
  <c r="AE21" i="1"/>
  <c r="AG21" i="1"/>
  <c r="AH21" i="1"/>
  <c r="AI21" i="1"/>
  <c r="A2" i="1"/>
  <c r="B2" i="1"/>
  <c r="C2" i="1"/>
  <c r="D2" i="1"/>
  <c r="E2" i="1"/>
  <c r="F2" i="1"/>
  <c r="K2" i="1"/>
  <c r="O2" i="1"/>
  <c r="P2" i="1"/>
  <c r="U2" i="1"/>
  <c r="V2" i="1"/>
  <c r="W2" i="1"/>
  <c r="X2" i="1"/>
  <c r="Y2" i="1"/>
  <c r="AA2" i="1"/>
  <c r="AB2" i="1"/>
  <c r="AD2" i="1"/>
  <c r="AE2" i="1"/>
  <c r="AG2" i="1"/>
  <c r="AH2" i="1"/>
  <c r="AI2" i="1"/>
  <c r="A3" i="1"/>
  <c r="B3" i="1"/>
  <c r="C3" i="1"/>
  <c r="D3" i="1"/>
  <c r="E3" i="1"/>
  <c r="F3" i="1"/>
  <c r="K3" i="1"/>
  <c r="O3" i="1"/>
  <c r="P3" i="1"/>
  <c r="U3" i="1"/>
  <c r="V3" i="1"/>
  <c r="W3" i="1"/>
  <c r="X3" i="1"/>
  <c r="Y3" i="1"/>
  <c r="AA3" i="1"/>
  <c r="AB3" i="1"/>
  <c r="AD3" i="1"/>
  <c r="AE3" i="1"/>
  <c r="AG3" i="1"/>
  <c r="AH3" i="1"/>
  <c r="AI3" i="1"/>
  <c r="A4" i="1"/>
  <c r="B4" i="1"/>
  <c r="C4" i="1"/>
  <c r="D4" i="1"/>
  <c r="E4" i="1"/>
  <c r="F4" i="1"/>
  <c r="K4" i="1"/>
  <c r="O4" i="1"/>
  <c r="P4" i="1"/>
  <c r="U4" i="1"/>
  <c r="V4" i="1"/>
  <c r="W4" i="1"/>
  <c r="X4" i="1"/>
  <c r="Y4" i="1"/>
  <c r="AA4" i="1"/>
  <c r="AB4" i="1"/>
  <c r="AD4" i="1"/>
  <c r="AE4" i="1"/>
  <c r="AG4" i="1"/>
  <c r="AH4" i="1"/>
  <c r="AI4" i="1"/>
  <c r="A5" i="1"/>
  <c r="B5" i="1"/>
  <c r="C5" i="1"/>
  <c r="D5" i="1"/>
  <c r="E5" i="1"/>
  <c r="F5" i="1"/>
  <c r="K5" i="1"/>
  <c r="O5" i="1"/>
  <c r="P5" i="1"/>
  <c r="U5" i="1"/>
  <c r="V5" i="1"/>
  <c r="W5" i="1"/>
  <c r="X5" i="1"/>
  <c r="Y5" i="1"/>
  <c r="AA5" i="1"/>
  <c r="AB5" i="1"/>
  <c r="AD5" i="1"/>
  <c r="AE5" i="1"/>
  <c r="AG5" i="1"/>
  <c r="AH5" i="1"/>
  <c r="AI5" i="1"/>
  <c r="A6" i="1"/>
  <c r="B6" i="1"/>
  <c r="C6" i="1"/>
  <c r="D6" i="1"/>
  <c r="E6" i="1"/>
  <c r="F6" i="1"/>
  <c r="K6" i="1"/>
  <c r="O6" i="1"/>
  <c r="P6" i="1"/>
  <c r="U6" i="1"/>
  <c r="V6" i="1"/>
  <c r="W6" i="1"/>
  <c r="X6" i="1"/>
  <c r="Y6" i="1"/>
  <c r="AA6" i="1"/>
  <c r="AB6" i="1"/>
  <c r="AD6" i="1"/>
  <c r="AE6" i="1"/>
  <c r="AG6" i="1"/>
  <c r="AH6" i="1"/>
  <c r="AI6" i="1"/>
  <c r="A7" i="1"/>
  <c r="B7" i="1"/>
  <c r="C7" i="1"/>
  <c r="D7" i="1"/>
  <c r="E7" i="1"/>
  <c r="F7" i="1"/>
  <c r="K7" i="1"/>
  <c r="O7" i="1"/>
  <c r="P7" i="1"/>
  <c r="U7" i="1"/>
  <c r="V7" i="1"/>
  <c r="W7" i="1"/>
  <c r="X7" i="1"/>
  <c r="Y7" i="1"/>
  <c r="AA7" i="1"/>
  <c r="AB7" i="1"/>
  <c r="AD7" i="1"/>
  <c r="AE7" i="1"/>
  <c r="AG7" i="1"/>
  <c r="AH7" i="1"/>
  <c r="AI7" i="1"/>
  <c r="A8" i="1"/>
  <c r="B8" i="1"/>
  <c r="C8" i="1"/>
  <c r="D8" i="1"/>
  <c r="E8" i="1"/>
  <c r="F8" i="1"/>
  <c r="K8" i="1"/>
  <c r="O8" i="1"/>
  <c r="P8" i="1"/>
  <c r="U8" i="1"/>
  <c r="V8" i="1"/>
  <c r="W8" i="1"/>
  <c r="X8" i="1"/>
  <c r="Y8" i="1"/>
  <c r="AA8" i="1"/>
  <c r="AB8" i="1"/>
  <c r="AD8" i="1"/>
  <c r="AE8" i="1"/>
  <c r="AG8" i="1"/>
  <c r="AH8" i="1"/>
  <c r="AI8" i="1"/>
  <c r="A9" i="1"/>
  <c r="B9" i="1"/>
  <c r="C9" i="1"/>
  <c r="D9" i="1"/>
  <c r="E9" i="1"/>
  <c r="F9" i="1"/>
  <c r="K9" i="1"/>
  <c r="O9" i="1"/>
  <c r="P9" i="1"/>
  <c r="U9" i="1"/>
  <c r="V9" i="1"/>
  <c r="W9" i="1"/>
  <c r="X9" i="1"/>
  <c r="Y9" i="1"/>
  <c r="AA9" i="1"/>
  <c r="AB9" i="1"/>
  <c r="AD9" i="1"/>
  <c r="AE9" i="1"/>
  <c r="AG9" i="1"/>
  <c r="AH9" i="1"/>
  <c r="AI9" i="1"/>
  <c r="A10" i="1"/>
  <c r="B10" i="1"/>
  <c r="C10" i="1"/>
  <c r="D10" i="1"/>
  <c r="E10" i="1"/>
  <c r="F10" i="1"/>
  <c r="K10" i="1"/>
  <c r="O10" i="1"/>
  <c r="P10" i="1"/>
  <c r="U10" i="1"/>
  <c r="V10" i="1"/>
  <c r="W10" i="1"/>
  <c r="X10" i="1"/>
  <c r="Y10" i="1"/>
  <c r="AA10" i="1"/>
  <c r="AB10" i="1"/>
  <c r="AD10" i="1"/>
  <c r="AE10" i="1"/>
  <c r="AG10" i="1"/>
  <c r="AH10" i="1"/>
  <c r="AI10" i="1"/>
  <c r="A11" i="1"/>
  <c r="B11" i="1"/>
  <c r="C11" i="1"/>
  <c r="D11" i="1"/>
  <c r="E11" i="1"/>
  <c r="F11" i="1"/>
  <c r="K11" i="1"/>
  <c r="O11" i="1"/>
  <c r="P11" i="1"/>
  <c r="U11" i="1"/>
  <c r="V11" i="1"/>
  <c r="W11" i="1"/>
  <c r="X11" i="1"/>
  <c r="Y11" i="1"/>
  <c r="AA11" i="1"/>
  <c r="AB11" i="1"/>
  <c r="AD11" i="1"/>
  <c r="AE11" i="1"/>
  <c r="AG11" i="1"/>
  <c r="AH11" i="1"/>
  <c r="AI11" i="1"/>
</calcChain>
</file>

<file path=xl/sharedStrings.xml><?xml version="1.0" encoding="utf-8"?>
<sst xmlns="http://schemas.openxmlformats.org/spreadsheetml/2006/main" count="35" uniqueCount="35">
  <si>
    <t>تاريخ بارگيري</t>
  </si>
  <si>
    <t xml:space="preserve">ساعت پذيرش </t>
  </si>
  <si>
    <t xml:space="preserve">ساعت خالي </t>
  </si>
  <si>
    <t>نوع قير</t>
  </si>
  <si>
    <t>شماره ماشين</t>
  </si>
  <si>
    <t>نام راننده</t>
  </si>
  <si>
    <t>شماره پلمپ</t>
  </si>
  <si>
    <t>شماره پلمپ2</t>
  </si>
  <si>
    <t xml:space="preserve">شماره برگه باسکول جديد </t>
  </si>
  <si>
    <t>شماره بارنامه</t>
  </si>
  <si>
    <t>گواهينامه</t>
  </si>
  <si>
    <t>وزن خالص</t>
  </si>
  <si>
    <t>وزن ناخالص</t>
  </si>
  <si>
    <t>کد انبار</t>
  </si>
  <si>
    <t>نام انبار</t>
  </si>
  <si>
    <t>بسته بندي</t>
  </si>
  <si>
    <t>تعداد بشكه</t>
  </si>
  <si>
    <t>تعداد کيسه</t>
  </si>
  <si>
    <t>افت</t>
  </si>
  <si>
    <t>شماره حواله</t>
  </si>
  <si>
    <t>تاريخ حواله</t>
  </si>
  <si>
    <t>پيمانكار</t>
  </si>
  <si>
    <t>خريدار</t>
  </si>
  <si>
    <t>batch number</t>
  </si>
  <si>
    <t>مخزن</t>
  </si>
  <si>
    <t>شماره پذيرش</t>
  </si>
  <si>
    <t>ثبت كننده پذيرش</t>
  </si>
  <si>
    <t>محل تخليه</t>
  </si>
  <si>
    <t>کدمرکز فروش</t>
  </si>
  <si>
    <t>نام مرکز فروش</t>
  </si>
  <si>
    <t>نوع فروش</t>
  </si>
  <si>
    <t>شماره باسکول قديم</t>
  </si>
  <si>
    <t>تاريخ پذيرش</t>
  </si>
  <si>
    <t xml:space="preserve">ساعت بارگيري </t>
  </si>
  <si>
    <t>نوع پذيرش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</si>
</sst>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rgb="FF0000FF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7"/>
  <sheetViews>
    <sheetView rightToLeft="1" tabSelected="1" topLeftCell="Q67" workbookViewId="0">
      <selection activeCell="W9" sqref="W9"/>
    </sheetView>
  </sheetViews>
  <sheetFormatPr defaultRowHeight="14.25" x14ac:dyDescent="0.2"/>
  <cols>
    <col min="1" max="1" width="14.5703125" style="3" bestFit="1" customWidth="1"/>
    <col min="2" max="2" width="16" style="3" bestFit="1" customWidth="1"/>
    <col min="3" max="3" width="14.5703125" style="3" bestFit="1" customWidth="1"/>
    <col min="4" max="4" width="12.7109375" style="3" bestFit="1" customWidth="1"/>
    <col min="5" max="5" width="15.85546875" style="3" bestFit="1" customWidth="1"/>
    <col min="6" max="6" width="28.28515625" style="3" bestFit="1" customWidth="1"/>
    <col min="7" max="7" width="13.7109375" style="3" bestFit="1" customWidth="1"/>
    <col min="8" max="8" width="15.140625" style="3" bestFit="1" customWidth="1"/>
    <col min="9" max="9" width="27.85546875" style="3" bestFit="1" customWidth="1"/>
    <col min="10" max="10" width="15.140625" style="3" bestFit="1" customWidth="1"/>
    <col min="11" max="11" width="12.42578125" style="3" bestFit="1" customWidth="1"/>
    <col min="12" max="12" width="11.85546875" style="3" bestFit="1" customWidth="1"/>
    <col min="13" max="13" width="13.42578125" style="3" bestFit="1" customWidth="1"/>
    <col min="14" max="14" width="8.140625" style="3" bestFit="1" customWidth="1"/>
    <col min="15" max="15" width="16.85546875" style="3" bestFit="1" customWidth="1"/>
    <col min="16" max="16" width="12.28515625" style="3" bestFit="1" customWidth="1"/>
    <col min="17" max="18" width="12.7109375" style="3" bestFit="1" customWidth="1"/>
    <col min="19" max="19" width="5.140625" style="3" bestFit="1" customWidth="1"/>
    <col min="20" max="20" width="14" style="3" bestFit="1" customWidth="1"/>
    <col min="21" max="21" width="12.140625" style="3" bestFit="1" customWidth="1"/>
    <col min="22" max="22" width="23" style="3" bestFit="1" customWidth="1"/>
    <col min="23" max="23" width="31.85546875" style="3" bestFit="1" customWidth="1"/>
    <col min="24" max="24" width="15.85546875" style="3" bestFit="1" customWidth="1"/>
    <col min="25" max="25" width="7" style="3" bestFit="1" customWidth="1"/>
    <col min="26" max="26" width="15.42578125" style="3" bestFit="1" customWidth="1"/>
    <col min="27" max="27" width="29.7109375" style="3" bestFit="1" customWidth="1"/>
    <col min="28" max="28" width="62.140625" style="3" bestFit="1" customWidth="1"/>
    <col min="29" max="29" width="15.5703125" style="3" bestFit="1" customWidth="1"/>
    <col min="30" max="30" width="57.7109375" style="3" bestFit="1" customWidth="1"/>
    <col min="31" max="31" width="12.7109375" style="3" bestFit="1" customWidth="1"/>
    <col min="32" max="32" width="22" style="3" bestFit="1" customWidth="1"/>
    <col min="33" max="33" width="13.7109375" style="3" bestFit="1" customWidth="1"/>
    <col min="34" max="34" width="16.85546875" style="3" bestFit="1" customWidth="1"/>
    <col min="35" max="35" width="12" style="3" bestFit="1" customWidth="1"/>
    <col min="36" max="39" width="17" style="1" customWidth="1"/>
    <col min="40" max="16384" width="9.140625" style="1"/>
  </cols>
  <sheetData>
    <row r="1" spans="1:3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</row>
    <row r="2" spans="1:35" x14ac:dyDescent="0.2">
      <c r="A2" s="3" t="str">
        <f>"97/10/12"</f>
        <v>97/10/12</v>
      </c>
      <c r="B2" s="3" t="str">
        <f>"12:55"</f>
        <v>12:55</v>
      </c>
      <c r="C2" s="3" t="str">
        <f>"13:05"</f>
        <v>13:05</v>
      </c>
      <c r="D2" s="3" t="str">
        <f>"قير  PG64-22"</f>
        <v>قير  PG64-22</v>
      </c>
      <c r="E2" s="3" t="str">
        <f>"621ع55 ايران71"</f>
        <v>621ع55 ايران71</v>
      </c>
      <c r="F2" s="3" t="str">
        <f>"روح اله محمدي"</f>
        <v>روح اله محمدي</v>
      </c>
      <c r="G2" s="3">
        <v>389777</v>
      </c>
      <c r="H2" s="3">
        <v>389774</v>
      </c>
      <c r="I2" s="3">
        <v>4175</v>
      </c>
      <c r="J2" s="3">
        <v>31740</v>
      </c>
      <c r="K2" s="3" t="str">
        <f>"9403515287"</f>
        <v>9403515287</v>
      </c>
      <c r="L2" s="3">
        <v>22700</v>
      </c>
      <c r="M2" s="3">
        <v>22700</v>
      </c>
      <c r="N2" s="3">
        <v>100</v>
      </c>
      <c r="O2" s="3" t="str">
        <f>"مخازن قير اصفهان"</f>
        <v>مخازن قير اصفهان</v>
      </c>
      <c r="P2" s="3" t="str">
        <f>"فله"</f>
        <v>فله</v>
      </c>
      <c r="Q2" s="3">
        <v>0</v>
      </c>
      <c r="R2" s="3">
        <v>0</v>
      </c>
      <c r="S2" s="3">
        <v>0</v>
      </c>
      <c r="T2" s="3">
        <v>971800050</v>
      </c>
      <c r="U2" s="3" t="str">
        <f>"97/07/22"</f>
        <v>97/07/22</v>
      </c>
      <c r="V2" s="3" t="str">
        <f>"پورباقري ترابر (4914036)"</f>
        <v>پورباقري ترابر (4914036)</v>
      </c>
      <c r="W2" s="3" t="str">
        <f>"قرارگاه سازندگي خاتم الانبياء(ص )"</f>
        <v>قرارگاه سازندگي خاتم الانبياء(ص )</v>
      </c>
      <c r="X2" s="3" t="str">
        <f>"582/97"</f>
        <v>582/97</v>
      </c>
      <c r="Y2" s="3" t="str">
        <f>""</f>
        <v/>
      </c>
      <c r="Z2" s="3">
        <v>97042187</v>
      </c>
      <c r="AA2" s="3" t="str">
        <f>"حبيب لطفي"</f>
        <v>حبيب لطفي</v>
      </c>
      <c r="AB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" s="3">
        <v>18</v>
      </c>
      <c r="AD2" s="3" t="str">
        <f>"فروش داخلي تهران - وزارت راه - شرکت ساخت و توسعه راهها"</f>
        <v>فروش داخلي تهران - وزارت راه - شرکت ساخت و توسعه راهها</v>
      </c>
      <c r="AE2" s="3" t="str">
        <f>"فروش داخلي"</f>
        <v>فروش داخلي</v>
      </c>
      <c r="AG2" s="3" t="str">
        <f>"97/10/12"</f>
        <v>97/10/12</v>
      </c>
      <c r="AH2" s="3" t="str">
        <f>"13:40"</f>
        <v>13:40</v>
      </c>
      <c r="AI2" s="3" t="str">
        <f>"حواله فروش"</f>
        <v>حواله فروش</v>
      </c>
    </row>
    <row r="3" spans="1:35" x14ac:dyDescent="0.2">
      <c r="A3" s="3" t="str">
        <f>"97/10/12"</f>
        <v>97/10/12</v>
      </c>
      <c r="B3" s="3" t="str">
        <f>"12:57"</f>
        <v>12:57</v>
      </c>
      <c r="C3" s="3" t="str">
        <f>"13:11"</f>
        <v>13:11</v>
      </c>
      <c r="D3" s="3" t="str">
        <f>"قير  PG64-22"</f>
        <v>قير  PG64-22</v>
      </c>
      <c r="E3" s="3" t="str">
        <f>"425ع97 ايران23"</f>
        <v>425ع97 ايران23</v>
      </c>
      <c r="F3" s="3" t="str">
        <f>"سهراب توكلي"</f>
        <v>سهراب توكلي</v>
      </c>
      <c r="G3" s="3">
        <v>389449</v>
      </c>
      <c r="H3" s="3">
        <v>389446</v>
      </c>
      <c r="I3" s="3">
        <v>4176</v>
      </c>
      <c r="J3" s="3">
        <v>31742</v>
      </c>
      <c r="K3" s="3" t="str">
        <f>"9406280699"</f>
        <v>9406280699</v>
      </c>
      <c r="L3" s="3">
        <v>24920</v>
      </c>
      <c r="M3" s="3">
        <v>24920</v>
      </c>
      <c r="N3" s="3">
        <v>100</v>
      </c>
      <c r="O3" s="3" t="str">
        <f>"مخازن قير اصفهان"</f>
        <v>مخازن قير اصفهان</v>
      </c>
      <c r="P3" s="3" t="str">
        <f>"فله"</f>
        <v>فله</v>
      </c>
      <c r="Q3" s="3">
        <v>0</v>
      </c>
      <c r="R3" s="3">
        <v>0</v>
      </c>
      <c r="S3" s="3">
        <v>0</v>
      </c>
      <c r="T3" s="3">
        <v>971800050</v>
      </c>
      <c r="U3" s="3" t="str">
        <f>"97/07/22"</f>
        <v>97/07/22</v>
      </c>
      <c r="V3" s="3" t="str">
        <f>"پورباقري ترابر (4914036)"</f>
        <v>پورباقري ترابر (4914036)</v>
      </c>
      <c r="W3" s="3" t="str">
        <f>"قرارگاه سازندگي خاتم الانبياء(ص )"</f>
        <v>قرارگاه سازندگي خاتم الانبياء(ص )</v>
      </c>
      <c r="X3" s="3" t="str">
        <f>"582/97"</f>
        <v>582/97</v>
      </c>
      <c r="Y3" s="3" t="str">
        <f>""</f>
        <v/>
      </c>
      <c r="Z3" s="3">
        <v>97042188</v>
      </c>
      <c r="AA3" s="3" t="str">
        <f>"حبيب لطفي"</f>
        <v>حبيب لطفي</v>
      </c>
      <c r="AB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" s="3">
        <v>18</v>
      </c>
      <c r="AD3" s="3" t="str">
        <f>"فروش داخلي تهران - وزارت راه - شرکت ساخت و توسعه راهها"</f>
        <v>فروش داخلي تهران - وزارت راه - شرکت ساخت و توسعه راهها</v>
      </c>
      <c r="AE3" s="3" t="str">
        <f>"فروش داخلي"</f>
        <v>فروش داخلي</v>
      </c>
      <c r="AG3" s="3" t="str">
        <f>"97/10/12"</f>
        <v>97/10/12</v>
      </c>
      <c r="AH3" s="3" t="str">
        <f>"13:50"</f>
        <v>13:50</v>
      </c>
      <c r="AI3" s="3" t="str">
        <f>"حواله فروش"</f>
        <v>حواله فروش</v>
      </c>
    </row>
    <row r="4" spans="1:35" x14ac:dyDescent="0.2">
      <c r="A4" s="3" t="str">
        <f>"97/10/12"</f>
        <v>97/10/12</v>
      </c>
      <c r="B4" s="3" t="str">
        <f>"12:59"</f>
        <v>12:59</v>
      </c>
      <c r="C4" s="3" t="str">
        <f>"13:16"</f>
        <v>13:16</v>
      </c>
      <c r="D4" s="3" t="str">
        <f>"قير  PG64-22"</f>
        <v>قير  PG64-22</v>
      </c>
      <c r="E4" s="3" t="str">
        <f>"264ع74 ايران43"</f>
        <v>264ع74 ايران43</v>
      </c>
      <c r="F4" s="3" t="str">
        <f>"مهدي حق قمري"</f>
        <v>مهدي حق قمري</v>
      </c>
      <c r="G4" s="3">
        <v>389776</v>
      </c>
      <c r="H4" s="3">
        <v>389779</v>
      </c>
      <c r="I4" s="3">
        <v>4177</v>
      </c>
      <c r="J4" s="3">
        <v>31744</v>
      </c>
      <c r="K4" s="3" t="str">
        <f>"9605331334"</f>
        <v>9605331334</v>
      </c>
      <c r="L4" s="3">
        <v>23820</v>
      </c>
      <c r="M4" s="3">
        <v>23820</v>
      </c>
      <c r="N4" s="3">
        <v>100</v>
      </c>
      <c r="O4" s="3" t="str">
        <f>"مخازن قير اصفهان"</f>
        <v>مخازن قير اصفهان</v>
      </c>
      <c r="P4" s="3" t="str">
        <f>"فله"</f>
        <v>فله</v>
      </c>
      <c r="Q4" s="3">
        <v>0</v>
      </c>
      <c r="R4" s="3">
        <v>0</v>
      </c>
      <c r="S4" s="3">
        <v>0</v>
      </c>
      <c r="T4" s="3">
        <v>971800050</v>
      </c>
      <c r="U4" s="3" t="str">
        <f>"97/07/22"</f>
        <v>97/07/22</v>
      </c>
      <c r="V4" s="3" t="str">
        <f>"پورباقري ترابر (4914036)"</f>
        <v>پورباقري ترابر (4914036)</v>
      </c>
      <c r="W4" s="3" t="str">
        <f>"قرارگاه سازندگي خاتم الانبياء(ص )"</f>
        <v>قرارگاه سازندگي خاتم الانبياء(ص )</v>
      </c>
      <c r="X4" s="3" t="str">
        <f>"582/97"</f>
        <v>582/97</v>
      </c>
      <c r="Y4" s="3" t="str">
        <f>""</f>
        <v/>
      </c>
      <c r="Z4" s="3">
        <v>97042192</v>
      </c>
      <c r="AA4" s="3" t="str">
        <f>"حبيب لطفي"</f>
        <v>حبيب لطفي</v>
      </c>
      <c r="AB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" s="3">
        <v>18</v>
      </c>
      <c r="AD4" s="3" t="str">
        <f>"فروش داخلي تهران - وزارت راه - شرکت ساخت و توسعه راهها"</f>
        <v>فروش داخلي تهران - وزارت راه - شرکت ساخت و توسعه راهها</v>
      </c>
      <c r="AE4" s="3" t="str">
        <f>"فروش داخلي"</f>
        <v>فروش داخلي</v>
      </c>
      <c r="AG4" s="3" t="str">
        <f>"97/10/12"</f>
        <v>97/10/12</v>
      </c>
      <c r="AH4" s="3" t="str">
        <f>"13:54"</f>
        <v>13:54</v>
      </c>
      <c r="AI4" s="3" t="str">
        <f>"حواله فروش"</f>
        <v>حواله فروش</v>
      </c>
    </row>
    <row r="5" spans="1:35" x14ac:dyDescent="0.2">
      <c r="A5" s="3" t="str">
        <f>"97/10/12"</f>
        <v>97/10/12</v>
      </c>
      <c r="B5" s="3" t="str">
        <f>"15:25"</f>
        <v>15:25</v>
      </c>
      <c r="C5" s="3" t="str">
        <f>"15:37"</f>
        <v>15:37</v>
      </c>
      <c r="D5" s="3" t="str">
        <f>"قير  PG64-22"</f>
        <v>قير  PG64-22</v>
      </c>
      <c r="E5" s="3" t="str">
        <f>"369ع45 ايران23"</f>
        <v>369ع45 ايران23</v>
      </c>
      <c r="F5" s="3" t="str">
        <f>"علي قليجائي"</f>
        <v>علي قليجائي</v>
      </c>
      <c r="G5" s="3">
        <v>315253</v>
      </c>
      <c r="H5" s="3">
        <v>315230</v>
      </c>
      <c r="I5" s="3">
        <v>4178</v>
      </c>
      <c r="J5" s="3">
        <v>31755</v>
      </c>
      <c r="K5" s="3" t="str">
        <f>"9507960499"</f>
        <v>9507960499</v>
      </c>
      <c r="L5" s="3">
        <v>20480</v>
      </c>
      <c r="M5" s="3">
        <v>20480</v>
      </c>
      <c r="N5" s="3">
        <v>100</v>
      </c>
      <c r="O5" s="3" t="str">
        <f>"مخازن قير اصفهان"</f>
        <v>مخازن قير اصفهان</v>
      </c>
      <c r="P5" s="3" t="str">
        <f>"فله"</f>
        <v>فله</v>
      </c>
      <c r="Q5" s="3">
        <v>0</v>
      </c>
      <c r="R5" s="3">
        <v>0</v>
      </c>
      <c r="S5" s="3">
        <v>0</v>
      </c>
      <c r="T5" s="3">
        <v>971800050</v>
      </c>
      <c r="U5" s="3" t="str">
        <f>"97/07/22"</f>
        <v>97/07/22</v>
      </c>
      <c r="V5" s="3" t="str">
        <f>"پورباقري ترابر (4914036)"</f>
        <v>پورباقري ترابر (4914036)</v>
      </c>
      <c r="W5" s="3" t="str">
        <f>"قرارگاه سازندگي خاتم الانبياء(ص )"</f>
        <v>قرارگاه سازندگي خاتم الانبياء(ص )</v>
      </c>
      <c r="X5" s="3" t="str">
        <f>"582/97"</f>
        <v>582/97</v>
      </c>
      <c r="Y5" s="3" t="str">
        <f>""</f>
        <v/>
      </c>
      <c r="Z5" s="3">
        <v>97042208</v>
      </c>
      <c r="AA5" s="3" t="str">
        <f>"محمد جواد صابريان اردستاني"</f>
        <v>محمد جواد صابريان اردستاني</v>
      </c>
      <c r="AB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" s="3">
        <v>18</v>
      </c>
      <c r="AD5" s="3" t="str">
        <f>"فروش داخلي تهران - وزارت راه - شرکت ساخت و توسعه راهها"</f>
        <v>فروش داخلي تهران - وزارت راه - شرکت ساخت و توسعه راهها</v>
      </c>
      <c r="AE5" s="3" t="str">
        <f>"فروش داخلي"</f>
        <v>فروش داخلي</v>
      </c>
      <c r="AG5" s="3" t="str">
        <f>"97/10/12"</f>
        <v>97/10/12</v>
      </c>
      <c r="AH5" s="3" t="str">
        <f>"16:03"</f>
        <v>16:03</v>
      </c>
      <c r="AI5" s="3" t="str">
        <f>"حواله فروش"</f>
        <v>حواله فروش</v>
      </c>
    </row>
    <row r="6" spans="1:35" x14ac:dyDescent="0.2">
      <c r="A6" s="3" t="str">
        <f>"97/10/12"</f>
        <v>97/10/12</v>
      </c>
      <c r="B6" s="3" t="str">
        <f>"15:35"</f>
        <v>15:35</v>
      </c>
      <c r="C6" s="3" t="str">
        <f>"15:47"</f>
        <v>15:47</v>
      </c>
      <c r="D6" s="3" t="str">
        <f>"قير  PG64-22"</f>
        <v>قير  PG64-22</v>
      </c>
      <c r="E6" s="3" t="str">
        <f>"463ع47 ايران13"</f>
        <v>463ع47 ايران13</v>
      </c>
      <c r="F6" s="3" t="str">
        <f>"جمال تاک شهر"</f>
        <v>جمال تاک شهر</v>
      </c>
      <c r="G6" s="3">
        <v>315221</v>
      </c>
      <c r="H6" s="3">
        <v>315172</v>
      </c>
      <c r="I6" s="3">
        <v>4179</v>
      </c>
      <c r="J6" s="3">
        <v>31758</v>
      </c>
      <c r="K6" s="3" t="str">
        <f>"9600539663"</f>
        <v>9600539663</v>
      </c>
      <c r="L6" s="3">
        <v>24620</v>
      </c>
      <c r="M6" s="3">
        <v>24620</v>
      </c>
      <c r="N6" s="3">
        <v>100</v>
      </c>
      <c r="O6" s="3" t="str">
        <f>"مخازن قير اصفهان"</f>
        <v>مخازن قير اصفهان</v>
      </c>
      <c r="P6" s="3" t="str">
        <f>"فله"</f>
        <v>فله</v>
      </c>
      <c r="Q6" s="3">
        <v>0</v>
      </c>
      <c r="R6" s="3">
        <v>0</v>
      </c>
      <c r="S6" s="3">
        <v>0</v>
      </c>
      <c r="T6" s="3">
        <v>971800050</v>
      </c>
      <c r="U6" s="3" t="str">
        <f>"97/07/22"</f>
        <v>97/07/22</v>
      </c>
      <c r="V6" s="3" t="str">
        <f>"پورباقري ترابر (4914036)"</f>
        <v>پورباقري ترابر (4914036)</v>
      </c>
      <c r="W6" s="3" t="str">
        <f>"قرارگاه سازندگي خاتم الانبياء(ص )"</f>
        <v>قرارگاه سازندگي خاتم الانبياء(ص )</v>
      </c>
      <c r="X6" s="3" t="str">
        <f>"582/97"</f>
        <v>582/97</v>
      </c>
      <c r="Y6" s="3" t="str">
        <f>""</f>
        <v/>
      </c>
      <c r="Z6" s="3">
        <v>97042212</v>
      </c>
      <c r="AA6" s="3" t="str">
        <f>"محمد جواد صابريان اردستاني"</f>
        <v>محمد جواد صابريان اردستاني</v>
      </c>
      <c r="AB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" s="3">
        <v>18</v>
      </c>
      <c r="AD6" s="3" t="str">
        <f>"فروش داخلي تهران - وزارت راه - شرکت ساخت و توسعه راهها"</f>
        <v>فروش داخلي تهران - وزارت راه - شرکت ساخت و توسعه راهها</v>
      </c>
      <c r="AE6" s="3" t="str">
        <f>"فروش داخلي"</f>
        <v>فروش داخلي</v>
      </c>
      <c r="AG6" s="3" t="str">
        <f>"97/10/12"</f>
        <v>97/10/12</v>
      </c>
      <c r="AH6" s="3" t="str">
        <f>"16:18"</f>
        <v>16:18</v>
      </c>
      <c r="AI6" s="3" t="str">
        <f>"حواله فروش"</f>
        <v>حواله فروش</v>
      </c>
    </row>
    <row r="7" spans="1:35" x14ac:dyDescent="0.2">
      <c r="A7" s="3" t="str">
        <f>"97/10/12"</f>
        <v>97/10/12</v>
      </c>
      <c r="B7" s="3" t="str">
        <f>"15:36"</f>
        <v>15:36</v>
      </c>
      <c r="C7" s="3" t="str">
        <f>"15:54"</f>
        <v>15:54</v>
      </c>
      <c r="D7" s="3" t="str">
        <f>"قير  PG64-22"</f>
        <v>قير  PG64-22</v>
      </c>
      <c r="E7" s="3" t="str">
        <f>"157ع49 ايران13"</f>
        <v>157ع49 ايران13</v>
      </c>
      <c r="F7" s="3" t="str">
        <f>"خليل حقيقي"</f>
        <v>خليل حقيقي</v>
      </c>
      <c r="G7" s="3">
        <v>315205</v>
      </c>
      <c r="H7" s="3">
        <v>315135</v>
      </c>
      <c r="I7" s="3">
        <v>4180</v>
      </c>
      <c r="J7" s="3">
        <v>31761</v>
      </c>
      <c r="K7" s="3" t="str">
        <f>"9603606596"</f>
        <v>9603606596</v>
      </c>
      <c r="L7" s="3">
        <v>23500</v>
      </c>
      <c r="M7" s="3">
        <v>23500</v>
      </c>
      <c r="N7" s="3">
        <v>100</v>
      </c>
      <c r="O7" s="3" t="str">
        <f>"مخازن قير اصفهان"</f>
        <v>مخازن قير اصفهان</v>
      </c>
      <c r="P7" s="3" t="str">
        <f>"فله"</f>
        <v>فله</v>
      </c>
      <c r="Q7" s="3">
        <v>0</v>
      </c>
      <c r="R7" s="3">
        <v>0</v>
      </c>
      <c r="S7" s="3">
        <v>0</v>
      </c>
      <c r="T7" s="3">
        <v>971800050</v>
      </c>
      <c r="U7" s="3" t="str">
        <f>"97/07/22"</f>
        <v>97/07/22</v>
      </c>
      <c r="V7" s="3" t="str">
        <f>"پورباقري ترابر (4914036)"</f>
        <v>پورباقري ترابر (4914036)</v>
      </c>
      <c r="W7" s="3" t="str">
        <f>"قرارگاه سازندگي خاتم الانبياء(ص )"</f>
        <v>قرارگاه سازندگي خاتم الانبياء(ص )</v>
      </c>
      <c r="X7" s="3" t="str">
        <f>"582/97"</f>
        <v>582/97</v>
      </c>
      <c r="Y7" s="3" t="str">
        <f>""</f>
        <v/>
      </c>
      <c r="Z7" s="3">
        <v>97042213</v>
      </c>
      <c r="AA7" s="3" t="str">
        <f>"محمد جواد صابريان اردستاني"</f>
        <v>محمد جواد صابريان اردستاني</v>
      </c>
      <c r="AB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" s="3">
        <v>18</v>
      </c>
      <c r="AD7" s="3" t="str">
        <f>"فروش داخلي تهران - وزارت راه - شرکت ساخت و توسعه راهها"</f>
        <v>فروش داخلي تهران - وزارت راه - شرکت ساخت و توسعه راهها</v>
      </c>
      <c r="AE7" s="3" t="str">
        <f>"فروش داخلي"</f>
        <v>فروش داخلي</v>
      </c>
      <c r="AG7" s="3" t="str">
        <f>"97/10/12"</f>
        <v>97/10/12</v>
      </c>
      <c r="AH7" s="3" t="str">
        <f>"16:25"</f>
        <v>16:25</v>
      </c>
      <c r="AI7" s="3" t="str">
        <f>"حواله فروش"</f>
        <v>حواله فروش</v>
      </c>
    </row>
    <row r="8" spans="1:35" x14ac:dyDescent="0.2">
      <c r="A8" s="3" t="str">
        <f>"97/10/12"</f>
        <v>97/10/12</v>
      </c>
      <c r="B8" s="3" t="str">
        <f>"15:43"</f>
        <v>15:43</v>
      </c>
      <c r="C8" s="3" t="str">
        <f>"16:05"</f>
        <v>16:05</v>
      </c>
      <c r="D8" s="3" t="str">
        <f>"قير  PG64-22"</f>
        <v>قير  PG64-22</v>
      </c>
      <c r="E8" s="3" t="str">
        <f>"663ع78 ايران43"</f>
        <v>663ع78 ايران43</v>
      </c>
      <c r="F8" s="3" t="str">
        <f>"مجيد ايراني محمودصالحي"</f>
        <v>مجيد ايراني محمودصالحي</v>
      </c>
      <c r="G8" s="3">
        <v>315206</v>
      </c>
      <c r="H8" s="3">
        <v>315226</v>
      </c>
      <c r="I8" s="3">
        <v>4183</v>
      </c>
      <c r="J8" s="3">
        <v>31768</v>
      </c>
      <c r="K8" s="3" t="str">
        <f>"9282519677"</f>
        <v>9282519677</v>
      </c>
      <c r="L8" s="3">
        <v>23660</v>
      </c>
      <c r="M8" s="3">
        <v>23660</v>
      </c>
      <c r="N8" s="3">
        <v>100</v>
      </c>
      <c r="O8" s="3" t="str">
        <f>"مخازن قير اصفهان"</f>
        <v>مخازن قير اصفهان</v>
      </c>
      <c r="P8" s="3" t="str">
        <f>"فله"</f>
        <v>فله</v>
      </c>
      <c r="Q8" s="3">
        <v>0</v>
      </c>
      <c r="R8" s="3">
        <v>0</v>
      </c>
      <c r="S8" s="3">
        <v>0</v>
      </c>
      <c r="T8" s="3">
        <v>971800050</v>
      </c>
      <c r="U8" s="3" t="str">
        <f>"97/07/22"</f>
        <v>97/07/22</v>
      </c>
      <c r="V8" s="3" t="str">
        <f>"پورباقري ترابر (4914036)"</f>
        <v>پورباقري ترابر (4914036)</v>
      </c>
      <c r="W8" s="3" t="str">
        <f>"قرارگاه سازندگي خاتم الانبياء(ص )"</f>
        <v>قرارگاه سازندگي خاتم الانبياء(ص )</v>
      </c>
      <c r="X8" s="3" t="str">
        <f>"582/97"</f>
        <v>582/97</v>
      </c>
      <c r="Y8" s="3" t="str">
        <f>""</f>
        <v/>
      </c>
      <c r="Z8" s="3">
        <v>97042215</v>
      </c>
      <c r="AA8" s="3" t="str">
        <f>"محمد جواد صابريان اردستاني"</f>
        <v>محمد جواد صابريان اردستاني</v>
      </c>
      <c r="AB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" s="3">
        <v>18</v>
      </c>
      <c r="AD8" s="3" t="str">
        <f>"فروش داخلي تهران - وزارت راه - شرکت ساخت و توسعه راهها"</f>
        <v>فروش داخلي تهران - وزارت راه - شرکت ساخت و توسعه راهها</v>
      </c>
      <c r="AE8" s="3" t="str">
        <f>"فروش داخلي"</f>
        <v>فروش داخلي</v>
      </c>
      <c r="AG8" s="3" t="str">
        <f>"97/10/12"</f>
        <v>97/10/12</v>
      </c>
      <c r="AH8" s="3" t="str">
        <f>"16:51"</f>
        <v>16:51</v>
      </c>
      <c r="AI8" s="3" t="str">
        <f>"حواله فروش"</f>
        <v>حواله فروش</v>
      </c>
    </row>
    <row r="9" spans="1:35" x14ac:dyDescent="0.2">
      <c r="A9" s="3" t="str">
        <f>"97/10/12"</f>
        <v>97/10/12</v>
      </c>
      <c r="B9" s="3" t="str">
        <f>"15:56"</f>
        <v>15:56</v>
      </c>
      <c r="C9" s="3" t="str">
        <f>"16:19"</f>
        <v>16:19</v>
      </c>
      <c r="D9" s="3" t="str">
        <f>"قير  PG64-22"</f>
        <v>قير  PG64-22</v>
      </c>
      <c r="E9" s="3" t="str">
        <f>"537ع49 ايران13"</f>
        <v>537ع49 ايران13</v>
      </c>
      <c r="F9" s="3" t="str">
        <f>"محسن علي پور"</f>
        <v>محسن علي پور</v>
      </c>
      <c r="G9" s="3">
        <v>315162</v>
      </c>
      <c r="H9" s="3">
        <v>315138</v>
      </c>
      <c r="I9" s="3">
        <v>4184</v>
      </c>
      <c r="J9" s="3">
        <v>31770</v>
      </c>
      <c r="K9" s="3" t="str">
        <f>"9506692125"</f>
        <v>9506692125</v>
      </c>
      <c r="L9" s="3">
        <v>24580</v>
      </c>
      <c r="M9" s="3">
        <v>24580</v>
      </c>
      <c r="N9" s="3">
        <v>100</v>
      </c>
      <c r="O9" s="3" t="str">
        <f>"مخازن قير اصفهان"</f>
        <v>مخازن قير اصفهان</v>
      </c>
      <c r="P9" s="3" t="str">
        <f>"فله"</f>
        <v>فله</v>
      </c>
      <c r="Q9" s="3">
        <v>0</v>
      </c>
      <c r="R9" s="3">
        <v>0</v>
      </c>
      <c r="S9" s="3">
        <v>0</v>
      </c>
      <c r="T9" s="3">
        <v>971800050</v>
      </c>
      <c r="U9" s="3" t="str">
        <f>"97/07/22"</f>
        <v>97/07/22</v>
      </c>
      <c r="V9" s="3" t="str">
        <f>"پورباقري ترابر (4914036)"</f>
        <v>پورباقري ترابر (4914036)</v>
      </c>
      <c r="W9" s="3" t="str">
        <f>"قرارگاه سازندگي خاتم الانبياء(ص )"</f>
        <v>قرارگاه سازندگي خاتم الانبياء(ص )</v>
      </c>
      <c r="X9" s="3" t="str">
        <f>"582/97"</f>
        <v>582/97</v>
      </c>
      <c r="Y9" s="3" t="str">
        <f>""</f>
        <v/>
      </c>
      <c r="Z9" s="3">
        <v>97042221</v>
      </c>
      <c r="AA9" s="3" t="str">
        <f>"محمد جواد صابريان اردستاني"</f>
        <v>محمد جواد صابريان اردستاني</v>
      </c>
      <c r="AB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" s="3">
        <v>18</v>
      </c>
      <c r="AD9" s="3" t="str">
        <f>"فروش داخلي تهران - وزارت راه - شرکت ساخت و توسعه راهها"</f>
        <v>فروش داخلي تهران - وزارت راه - شرکت ساخت و توسعه راهها</v>
      </c>
      <c r="AE9" s="3" t="str">
        <f>"فروش داخلي"</f>
        <v>فروش داخلي</v>
      </c>
      <c r="AG9" s="3" t="str">
        <f>"97/10/12"</f>
        <v>97/10/12</v>
      </c>
      <c r="AH9" s="3" t="str">
        <f>"17:01"</f>
        <v>17:01</v>
      </c>
      <c r="AI9" s="3" t="str">
        <f>"حواله فروش"</f>
        <v>حواله فروش</v>
      </c>
    </row>
    <row r="10" spans="1:35" x14ac:dyDescent="0.2">
      <c r="A10" s="3" t="str">
        <f>"97/10/12"</f>
        <v>97/10/12</v>
      </c>
      <c r="B10" s="3" t="str">
        <f>"15:58"</f>
        <v>15:58</v>
      </c>
      <c r="C10" s="3" t="str">
        <f>"16:20"</f>
        <v>16:20</v>
      </c>
      <c r="D10" s="3" t="str">
        <f>"قير  PG64-22"</f>
        <v>قير  PG64-22</v>
      </c>
      <c r="E10" s="3" t="str">
        <f>"138ع19 ايران43"</f>
        <v>138ع19 ايران43</v>
      </c>
      <c r="F10" s="3" t="str">
        <f>"موسي عليپور"</f>
        <v>موسي عليپور</v>
      </c>
      <c r="G10" s="3">
        <v>315165</v>
      </c>
      <c r="H10" s="3">
        <v>315204</v>
      </c>
      <c r="I10" s="3">
        <v>4185</v>
      </c>
      <c r="J10" s="3">
        <v>31772</v>
      </c>
      <c r="K10" s="3" t="str">
        <f>"9281799758"</f>
        <v>9281799758</v>
      </c>
      <c r="L10" s="3">
        <v>24920</v>
      </c>
      <c r="M10" s="3">
        <v>24920</v>
      </c>
      <c r="N10" s="3">
        <v>100</v>
      </c>
      <c r="O10" s="3" t="str">
        <f>"مخازن قير اصفهان"</f>
        <v>مخازن قير اصفهان</v>
      </c>
      <c r="P10" s="3" t="str">
        <f>"فله"</f>
        <v>فله</v>
      </c>
      <c r="Q10" s="3">
        <v>0</v>
      </c>
      <c r="R10" s="3">
        <v>0</v>
      </c>
      <c r="S10" s="3">
        <v>0</v>
      </c>
      <c r="T10" s="3">
        <v>971800050</v>
      </c>
      <c r="U10" s="3" t="str">
        <f>"97/07/22"</f>
        <v>97/07/22</v>
      </c>
      <c r="V10" s="3" t="str">
        <f>"پورباقري ترابر (4914036)"</f>
        <v>پورباقري ترابر (4914036)</v>
      </c>
      <c r="W10" s="3" t="str">
        <f>"قرارگاه سازندگي خاتم الانبياء(ص )"</f>
        <v>قرارگاه سازندگي خاتم الانبياء(ص )</v>
      </c>
      <c r="X10" s="3" t="str">
        <f>"582/97"</f>
        <v>582/97</v>
      </c>
      <c r="Y10" s="3" t="str">
        <f>""</f>
        <v/>
      </c>
      <c r="Z10" s="3">
        <v>97042225</v>
      </c>
      <c r="AA10" s="3" t="str">
        <f>"محمد جواد صابريان اردستاني"</f>
        <v>محمد جواد صابريان اردستاني</v>
      </c>
      <c r="AB1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" s="3">
        <v>18</v>
      </c>
      <c r="AD10" s="3" t="str">
        <f>"فروش داخلي تهران - وزارت راه - شرکت ساخت و توسعه راهها"</f>
        <v>فروش داخلي تهران - وزارت راه - شرکت ساخت و توسعه راهها</v>
      </c>
      <c r="AE10" s="3" t="str">
        <f>"فروش داخلي"</f>
        <v>فروش داخلي</v>
      </c>
      <c r="AG10" s="3" t="str">
        <f>"97/10/12"</f>
        <v>97/10/12</v>
      </c>
      <c r="AH10" s="3" t="str">
        <f>"17:12"</f>
        <v>17:12</v>
      </c>
      <c r="AI10" s="3" t="str">
        <f>"حواله فروش"</f>
        <v>حواله فروش</v>
      </c>
    </row>
    <row r="11" spans="1:35" x14ac:dyDescent="0.2">
      <c r="A11" s="3" t="str">
        <f>"97/10/12"</f>
        <v>97/10/12</v>
      </c>
      <c r="B11" s="3" t="str">
        <f>"15:59"</f>
        <v>15:59</v>
      </c>
      <c r="C11" s="3" t="str">
        <f>"16:21"</f>
        <v>16:21</v>
      </c>
      <c r="D11" s="3" t="str">
        <f>"قير  PG64-22"</f>
        <v>قير  PG64-22</v>
      </c>
      <c r="E11" s="3" t="str">
        <f>"962ع18 ايران13"</f>
        <v>962ع18 ايران13</v>
      </c>
      <c r="F11" s="3" t="str">
        <f>"ناد علي ضيائي"</f>
        <v>ناد علي ضيائي</v>
      </c>
      <c r="G11" s="3">
        <v>315182</v>
      </c>
      <c r="H11" s="3">
        <v>315224</v>
      </c>
      <c r="I11" s="3">
        <v>4186</v>
      </c>
      <c r="J11" s="3">
        <v>31773</v>
      </c>
      <c r="K11" s="3" t="str">
        <f>"9110108937"</f>
        <v>9110108937</v>
      </c>
      <c r="L11" s="3">
        <v>23540</v>
      </c>
      <c r="M11" s="3">
        <v>23540</v>
      </c>
      <c r="N11" s="3">
        <v>100</v>
      </c>
      <c r="O11" s="3" t="str">
        <f>"مخازن قير اصفهان"</f>
        <v>مخازن قير اصفهان</v>
      </c>
      <c r="P11" s="3" t="str">
        <f>"فله"</f>
        <v>فله</v>
      </c>
      <c r="Q11" s="3">
        <v>0</v>
      </c>
      <c r="R11" s="3">
        <v>0</v>
      </c>
      <c r="S11" s="3">
        <v>0</v>
      </c>
      <c r="T11" s="3">
        <v>971800050</v>
      </c>
      <c r="U11" s="3" t="str">
        <f>"97/07/22"</f>
        <v>97/07/22</v>
      </c>
      <c r="V11" s="3" t="str">
        <f>"پورباقري ترابر (4914036)"</f>
        <v>پورباقري ترابر (4914036)</v>
      </c>
      <c r="W11" s="3" t="str">
        <f>"قرارگاه سازندگي خاتم الانبياء(ص )"</f>
        <v>قرارگاه سازندگي خاتم الانبياء(ص )</v>
      </c>
      <c r="X11" s="3" t="str">
        <f>"582/97"</f>
        <v>582/97</v>
      </c>
      <c r="Y11" s="3" t="str">
        <f>""</f>
        <v/>
      </c>
      <c r="Z11" s="3">
        <v>97042219</v>
      </c>
      <c r="AA11" s="3" t="str">
        <f>"محمد جواد صابريان اردستاني"</f>
        <v>محمد جواد صابريان اردستاني</v>
      </c>
      <c r="AB1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1" s="3">
        <v>18</v>
      </c>
      <c r="AD11" s="3" t="str">
        <f>"فروش داخلي تهران - وزارت راه - شرکت ساخت و توسعه راهها"</f>
        <v>فروش داخلي تهران - وزارت راه - شرکت ساخت و توسعه راهها</v>
      </c>
      <c r="AE11" s="3" t="str">
        <f>"فروش داخلي"</f>
        <v>فروش داخلي</v>
      </c>
      <c r="AG11" s="3" t="str">
        <f>"97/10/12"</f>
        <v>97/10/12</v>
      </c>
      <c r="AH11" s="3" t="str">
        <f>"17:15"</f>
        <v>17:15</v>
      </c>
      <c r="AI11" s="3" t="str">
        <f>"حواله فروش"</f>
        <v>حواله فروش</v>
      </c>
    </row>
    <row r="12" spans="1:35" x14ac:dyDescent="0.2">
      <c r="A12" s="3" t="str">
        <f>"97/10/12"</f>
        <v>97/10/12</v>
      </c>
      <c r="B12" s="3" t="str">
        <f>"16:02"</f>
        <v>16:02</v>
      </c>
      <c r="C12" s="3" t="str">
        <f>"16:23"</f>
        <v>16:23</v>
      </c>
      <c r="D12" s="3" t="str">
        <f>"قير  PG64-22"</f>
        <v>قير  PG64-22</v>
      </c>
      <c r="E12" s="3" t="str">
        <f>"361ع89 ايران23"</f>
        <v>361ع89 ايران23</v>
      </c>
      <c r="F12" s="3" t="str">
        <f>"احمد شکاري"</f>
        <v>احمد شکاري</v>
      </c>
      <c r="G12" s="3">
        <v>315227</v>
      </c>
      <c r="H12" s="3">
        <v>315173</v>
      </c>
      <c r="I12" s="3">
        <v>4187</v>
      </c>
      <c r="J12" s="3">
        <v>31775</v>
      </c>
      <c r="K12" s="3" t="str">
        <f>"9509889100"</f>
        <v>9509889100</v>
      </c>
      <c r="L12" s="3">
        <v>24140</v>
      </c>
      <c r="M12" s="3">
        <v>24140</v>
      </c>
      <c r="N12" s="3">
        <v>100</v>
      </c>
      <c r="O12" s="3" t="str">
        <f>"مخازن قير اصفهان"</f>
        <v>مخازن قير اصفهان</v>
      </c>
      <c r="P12" s="3" t="str">
        <f>"فله"</f>
        <v>فله</v>
      </c>
      <c r="Q12" s="3">
        <v>0</v>
      </c>
      <c r="R12" s="3">
        <v>0</v>
      </c>
      <c r="S12" s="3">
        <v>0</v>
      </c>
      <c r="T12" s="3">
        <v>971800050</v>
      </c>
      <c r="U12" s="3" t="str">
        <f>"97/07/22"</f>
        <v>97/07/22</v>
      </c>
      <c r="V12" s="3" t="str">
        <f>"پورباقري ترابر (4914036)"</f>
        <v>پورباقري ترابر (4914036)</v>
      </c>
      <c r="W12" s="3" t="str">
        <f>"قرارگاه سازندگي خاتم الانبياء(ص )"</f>
        <v>قرارگاه سازندگي خاتم الانبياء(ص )</v>
      </c>
      <c r="X12" s="3" t="str">
        <f>"582/97"</f>
        <v>582/97</v>
      </c>
      <c r="Y12" s="3" t="str">
        <f>""</f>
        <v/>
      </c>
      <c r="Z12" s="3">
        <v>97042227</v>
      </c>
      <c r="AA12" s="3" t="str">
        <f>"محمد جواد صابريان اردستاني"</f>
        <v>محمد جواد صابريان اردستاني</v>
      </c>
      <c r="AB1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2" s="3">
        <v>18</v>
      </c>
      <c r="AD12" s="3" t="str">
        <f>"فروش داخلي تهران - وزارت راه - شرکت ساخت و توسعه راهها"</f>
        <v>فروش داخلي تهران - وزارت راه - شرکت ساخت و توسعه راهها</v>
      </c>
      <c r="AE12" s="3" t="str">
        <f>"فروش داخلي"</f>
        <v>فروش داخلي</v>
      </c>
      <c r="AG12" s="3" t="str">
        <f>"97/10/12"</f>
        <v>97/10/12</v>
      </c>
      <c r="AH12" s="3" t="str">
        <f>"17:22"</f>
        <v>17:22</v>
      </c>
      <c r="AI12" s="3" t="str">
        <f>"حواله فروش"</f>
        <v>حواله فروش</v>
      </c>
    </row>
    <row r="13" spans="1:35" x14ac:dyDescent="0.2">
      <c r="A13" s="3" t="str">
        <f>"97/10/12"</f>
        <v>97/10/12</v>
      </c>
      <c r="B13" s="3" t="str">
        <f>"16:00"</f>
        <v>16:00</v>
      </c>
      <c r="C13" s="3" t="str">
        <f>"16:23"</f>
        <v>16:23</v>
      </c>
      <c r="D13" s="3" t="str">
        <f>"قير  PG64-22"</f>
        <v>قير  PG64-22</v>
      </c>
      <c r="E13" s="3" t="str">
        <f>"559ع62 ايران23"</f>
        <v>559ع62 ايران23</v>
      </c>
      <c r="F13" s="3" t="str">
        <f>"مسعود منصوري"</f>
        <v>مسعود منصوري</v>
      </c>
      <c r="G13" s="3">
        <v>315154</v>
      </c>
      <c r="H13" s="3">
        <v>315134</v>
      </c>
      <c r="I13" s="3">
        <v>4189</v>
      </c>
      <c r="J13" s="3">
        <v>31778</v>
      </c>
      <c r="K13" s="3" t="str">
        <f>"9210086104"</f>
        <v>9210086104</v>
      </c>
      <c r="L13" s="3">
        <v>22180</v>
      </c>
      <c r="M13" s="3">
        <v>22180</v>
      </c>
      <c r="N13" s="3">
        <v>100</v>
      </c>
      <c r="O13" s="3" t="str">
        <f>"مخازن قير اصفهان"</f>
        <v>مخازن قير اصفهان</v>
      </c>
      <c r="P13" s="3" t="str">
        <f>"فله"</f>
        <v>فله</v>
      </c>
      <c r="Q13" s="3">
        <v>0</v>
      </c>
      <c r="R13" s="3">
        <v>0</v>
      </c>
      <c r="S13" s="3">
        <v>0</v>
      </c>
      <c r="T13" s="3">
        <v>971800050</v>
      </c>
      <c r="U13" s="3" t="str">
        <f>"97/07/22"</f>
        <v>97/07/22</v>
      </c>
      <c r="V13" s="3" t="str">
        <f>"پورباقري ترابر (4914036)"</f>
        <v>پورباقري ترابر (4914036)</v>
      </c>
      <c r="W13" s="3" t="str">
        <f>"قرارگاه سازندگي خاتم الانبياء(ص )"</f>
        <v>قرارگاه سازندگي خاتم الانبياء(ص )</v>
      </c>
      <c r="X13" s="3" t="str">
        <f>"582/97"</f>
        <v>582/97</v>
      </c>
      <c r="Y13" s="3" t="str">
        <f>""</f>
        <v/>
      </c>
      <c r="Z13" s="3">
        <v>97042228</v>
      </c>
      <c r="AA13" s="3" t="str">
        <f>"محمد جواد صابريان اردستاني"</f>
        <v>محمد جواد صابريان اردستاني</v>
      </c>
      <c r="AB1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3" s="3">
        <v>18</v>
      </c>
      <c r="AD13" s="3" t="str">
        <f>"فروش داخلي تهران - وزارت راه - شرکت ساخت و توسعه راهها"</f>
        <v>فروش داخلي تهران - وزارت راه - شرکت ساخت و توسعه راهها</v>
      </c>
      <c r="AE13" s="3" t="str">
        <f>"فروش داخلي"</f>
        <v>فروش داخلي</v>
      </c>
      <c r="AG13" s="3" t="str">
        <f>"97/10/12"</f>
        <v>97/10/12</v>
      </c>
      <c r="AH13" s="3" t="str">
        <f>"17:37"</f>
        <v>17:37</v>
      </c>
      <c r="AI13" s="3" t="str">
        <f>"حواله فروش"</f>
        <v>حواله فروش</v>
      </c>
    </row>
    <row r="14" spans="1:35" x14ac:dyDescent="0.2">
      <c r="A14" s="3" t="str">
        <f>"97/10/12"</f>
        <v>97/10/12</v>
      </c>
      <c r="B14" s="3" t="str">
        <f>"16:03"</f>
        <v>16:03</v>
      </c>
      <c r="C14" s="3" t="str">
        <f>"16:55"</f>
        <v>16:55</v>
      </c>
      <c r="D14" s="3" t="str">
        <f>"قير  PG64-22"</f>
        <v>قير  PG64-22</v>
      </c>
      <c r="E14" s="3" t="str">
        <f>"453ع43 ايران43"</f>
        <v>453ع43 ايران43</v>
      </c>
      <c r="F14" s="3" t="str">
        <f>"غلامحسين كريميان"</f>
        <v>غلامحسين كريميان</v>
      </c>
      <c r="G14" s="3">
        <v>315186</v>
      </c>
      <c r="H14" s="3">
        <v>315136</v>
      </c>
      <c r="I14" s="3">
        <v>4190</v>
      </c>
      <c r="J14" s="3">
        <v>31779</v>
      </c>
      <c r="K14" s="3" t="str">
        <f>"9506628041"</f>
        <v>9506628041</v>
      </c>
      <c r="L14" s="3">
        <v>23560</v>
      </c>
      <c r="M14" s="3">
        <v>23560</v>
      </c>
      <c r="N14" s="3">
        <v>100</v>
      </c>
      <c r="O14" s="3" t="str">
        <f>"مخازن قير اصفهان"</f>
        <v>مخازن قير اصفهان</v>
      </c>
      <c r="P14" s="3" t="str">
        <f>"فله"</f>
        <v>فله</v>
      </c>
      <c r="Q14" s="3">
        <v>0</v>
      </c>
      <c r="R14" s="3">
        <v>0</v>
      </c>
      <c r="S14" s="3">
        <v>0</v>
      </c>
      <c r="T14" s="3">
        <v>971800050</v>
      </c>
      <c r="U14" s="3" t="str">
        <f>"97/07/22"</f>
        <v>97/07/22</v>
      </c>
      <c r="V14" s="3" t="str">
        <f>"پورباقري ترابر (4914036)"</f>
        <v>پورباقري ترابر (4914036)</v>
      </c>
      <c r="W14" s="3" t="str">
        <f>"قرارگاه سازندگي خاتم الانبياء(ص )"</f>
        <v>قرارگاه سازندگي خاتم الانبياء(ص )</v>
      </c>
      <c r="X14" s="3" t="str">
        <f>"582/97"</f>
        <v>582/97</v>
      </c>
      <c r="Y14" s="3" t="str">
        <f>""</f>
        <v/>
      </c>
      <c r="Z14" s="3">
        <v>97042209</v>
      </c>
      <c r="AA14" s="3" t="str">
        <f>"محمد جواد صابريان اردستاني"</f>
        <v>محمد جواد صابريان اردستاني</v>
      </c>
      <c r="AB1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4" s="3">
        <v>18</v>
      </c>
      <c r="AD14" s="3" t="str">
        <f>"فروش داخلي تهران - وزارت راه - شرکت ساخت و توسعه راهها"</f>
        <v>فروش داخلي تهران - وزارت راه - شرکت ساخت و توسعه راهها</v>
      </c>
      <c r="AE14" s="3" t="str">
        <f>"فروش داخلي"</f>
        <v>فروش داخلي</v>
      </c>
      <c r="AG14" s="3" t="str">
        <f>"97/10/12"</f>
        <v>97/10/12</v>
      </c>
      <c r="AH14" s="3" t="str">
        <f>"17:48"</f>
        <v>17:48</v>
      </c>
      <c r="AI14" s="3" t="str">
        <f>"حواله فروش"</f>
        <v>حواله فروش</v>
      </c>
    </row>
    <row r="15" spans="1:35" x14ac:dyDescent="0.2">
      <c r="A15" s="3" t="str">
        <f>"97/10/12"</f>
        <v>97/10/12</v>
      </c>
      <c r="B15" s="3" t="str">
        <f>"16:37"</f>
        <v>16:37</v>
      </c>
      <c r="C15" s="3" t="str">
        <f>"17:05"</f>
        <v>17:05</v>
      </c>
      <c r="D15" s="3" t="str">
        <f>"قير  PG64-22"</f>
        <v>قير  PG64-22</v>
      </c>
      <c r="E15" s="3" t="str">
        <f>"154ع12 ايران13"</f>
        <v>154ع12 ايران13</v>
      </c>
      <c r="F15" s="3" t="str">
        <f>"محمد رضا گوراني"</f>
        <v>محمد رضا گوراني</v>
      </c>
      <c r="G15" s="3">
        <v>381969</v>
      </c>
      <c r="H15" s="3">
        <v>381875</v>
      </c>
      <c r="I15" s="3">
        <v>4191</v>
      </c>
      <c r="J15" s="3">
        <v>31780</v>
      </c>
      <c r="K15" s="3" t="str">
        <f>"9382093803"</f>
        <v>9382093803</v>
      </c>
      <c r="L15" s="3">
        <v>23100</v>
      </c>
      <c r="M15" s="3">
        <v>23100</v>
      </c>
      <c r="N15" s="3">
        <v>100</v>
      </c>
      <c r="O15" s="3" t="str">
        <f>"مخازن قير اصفهان"</f>
        <v>مخازن قير اصفهان</v>
      </c>
      <c r="P15" s="3" t="str">
        <f>"فله"</f>
        <v>فله</v>
      </c>
      <c r="Q15" s="3">
        <v>0</v>
      </c>
      <c r="R15" s="3">
        <v>0</v>
      </c>
      <c r="S15" s="3">
        <v>0</v>
      </c>
      <c r="T15" s="3">
        <v>971800050</v>
      </c>
      <c r="U15" s="3" t="str">
        <f>"97/07/22"</f>
        <v>97/07/22</v>
      </c>
      <c r="V15" s="3" t="str">
        <f>"پورباقري ترابر (4914036)"</f>
        <v>پورباقري ترابر (4914036)</v>
      </c>
      <c r="W15" s="3" t="str">
        <f>"قرارگاه سازندگي خاتم الانبياء(ص )"</f>
        <v>قرارگاه سازندگي خاتم الانبياء(ص )</v>
      </c>
      <c r="X15" s="3" t="str">
        <f>"582/97"</f>
        <v>582/97</v>
      </c>
      <c r="Y15" s="3" t="str">
        <f>""</f>
        <v/>
      </c>
      <c r="Z15" s="3">
        <v>97042231</v>
      </c>
      <c r="AA15" s="3" t="str">
        <f>"محمد جواد صابريان اردستاني"</f>
        <v>محمد جواد صابريان اردستاني</v>
      </c>
      <c r="AB1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5" s="3">
        <v>18</v>
      </c>
      <c r="AD15" s="3" t="str">
        <f>"فروش داخلي تهران - وزارت راه - شرکت ساخت و توسعه راهها"</f>
        <v>فروش داخلي تهران - وزارت راه - شرکت ساخت و توسعه راهها</v>
      </c>
      <c r="AE15" s="3" t="str">
        <f>"فروش داخلي"</f>
        <v>فروش داخلي</v>
      </c>
      <c r="AG15" s="3" t="str">
        <f>"97/10/12"</f>
        <v>97/10/12</v>
      </c>
      <c r="AH15" s="3" t="str">
        <f>"17:58"</f>
        <v>17:58</v>
      </c>
      <c r="AI15" s="3" t="str">
        <f>"حواله فروش"</f>
        <v>حواله فروش</v>
      </c>
    </row>
    <row r="16" spans="1:35" x14ac:dyDescent="0.2">
      <c r="A16" s="3" t="str">
        <f>"97/10/12"</f>
        <v>97/10/12</v>
      </c>
      <c r="B16" s="3" t="str">
        <f>"16:38"</f>
        <v>16:38</v>
      </c>
      <c r="C16" s="3" t="str">
        <f>"17:04"</f>
        <v>17:04</v>
      </c>
      <c r="D16" s="3" t="str">
        <f>"قير  PG64-22"</f>
        <v>قير  PG64-22</v>
      </c>
      <c r="E16" s="3" t="str">
        <f>"319ع56 ايران23"</f>
        <v>319ع56 ايران23</v>
      </c>
      <c r="F16" s="3" t="str">
        <f>"غفار معتمدي"</f>
        <v>غفار معتمدي</v>
      </c>
      <c r="G16" s="3">
        <v>381814</v>
      </c>
      <c r="H16" s="3">
        <v>381811</v>
      </c>
      <c r="I16" s="3">
        <v>4192</v>
      </c>
      <c r="J16" s="3">
        <v>31781</v>
      </c>
      <c r="K16" s="3" t="str">
        <f>"9382602353"</f>
        <v>9382602353</v>
      </c>
      <c r="L16" s="3">
        <v>21820</v>
      </c>
      <c r="M16" s="3">
        <v>21820</v>
      </c>
      <c r="N16" s="3">
        <v>100</v>
      </c>
      <c r="O16" s="3" t="str">
        <f>"مخازن قير اصفهان"</f>
        <v>مخازن قير اصفهان</v>
      </c>
      <c r="P16" s="3" t="str">
        <f>"فله"</f>
        <v>فله</v>
      </c>
      <c r="Q16" s="3">
        <v>0</v>
      </c>
      <c r="R16" s="3">
        <v>0</v>
      </c>
      <c r="S16" s="3">
        <v>0</v>
      </c>
      <c r="T16" s="3">
        <v>971800050</v>
      </c>
      <c r="U16" s="3" t="str">
        <f>"97/07/22"</f>
        <v>97/07/22</v>
      </c>
      <c r="V16" s="3" t="str">
        <f>"پورباقري ترابر (4914036)"</f>
        <v>پورباقري ترابر (4914036)</v>
      </c>
      <c r="W16" s="3" t="str">
        <f>"قرارگاه سازندگي خاتم الانبياء(ص )"</f>
        <v>قرارگاه سازندگي خاتم الانبياء(ص )</v>
      </c>
      <c r="X16" s="3" t="str">
        <f>"582/97"</f>
        <v>582/97</v>
      </c>
      <c r="Y16" s="3" t="str">
        <f>""</f>
        <v/>
      </c>
      <c r="Z16" s="3">
        <v>97042232</v>
      </c>
      <c r="AA16" s="3" t="str">
        <f>"محمد جواد صابريان اردستاني"</f>
        <v>محمد جواد صابريان اردستاني</v>
      </c>
      <c r="AB1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6" s="3">
        <v>18</v>
      </c>
      <c r="AD16" s="3" t="str">
        <f>"فروش داخلي تهران - وزارت راه - شرکت ساخت و توسعه راهها"</f>
        <v>فروش داخلي تهران - وزارت راه - شرکت ساخت و توسعه راهها</v>
      </c>
      <c r="AE16" s="3" t="str">
        <f>"فروش داخلي"</f>
        <v>فروش داخلي</v>
      </c>
      <c r="AG16" s="3" t="str">
        <f>"97/10/12"</f>
        <v>97/10/12</v>
      </c>
      <c r="AH16" s="3" t="str">
        <f>"18:02"</f>
        <v>18:02</v>
      </c>
      <c r="AI16" s="3" t="str">
        <f>"حواله فروش"</f>
        <v>حواله فروش</v>
      </c>
    </row>
    <row r="17" spans="1:35" x14ac:dyDescent="0.2">
      <c r="A17" s="3" t="str">
        <f>"97/10/12"</f>
        <v>97/10/12</v>
      </c>
      <c r="B17" s="3" t="str">
        <f>"16:50"</f>
        <v>16:50</v>
      </c>
      <c r="C17" s="3" t="str">
        <f>"17:08"</f>
        <v>17:08</v>
      </c>
      <c r="D17" s="3" t="str">
        <f>"قير  PG64-22"</f>
        <v>قير  PG64-22</v>
      </c>
      <c r="E17" s="3" t="str">
        <f>"343ع59 ايران23"</f>
        <v>343ع59 ايران23</v>
      </c>
      <c r="F17" s="3" t="str">
        <f>"احسان سليماني نژاد"</f>
        <v>احسان سليماني نژاد</v>
      </c>
      <c r="G17" s="3">
        <v>381878</v>
      </c>
      <c r="H17" s="3">
        <v>381965</v>
      </c>
      <c r="I17" s="3">
        <v>4193</v>
      </c>
      <c r="J17" s="3">
        <v>31782</v>
      </c>
      <c r="K17" s="3" t="str">
        <f>"9502050041"</f>
        <v>9502050041</v>
      </c>
      <c r="L17" s="3">
        <v>24580</v>
      </c>
      <c r="M17" s="3">
        <v>24580</v>
      </c>
      <c r="N17" s="3">
        <v>100</v>
      </c>
      <c r="O17" s="3" t="str">
        <f>"مخازن قير اصفهان"</f>
        <v>مخازن قير اصفهان</v>
      </c>
      <c r="P17" s="3" t="str">
        <f>"فله"</f>
        <v>فله</v>
      </c>
      <c r="Q17" s="3">
        <v>0</v>
      </c>
      <c r="R17" s="3">
        <v>0</v>
      </c>
      <c r="S17" s="3">
        <v>0</v>
      </c>
      <c r="T17" s="3">
        <v>971800050</v>
      </c>
      <c r="U17" s="3" t="str">
        <f>"97/07/22"</f>
        <v>97/07/22</v>
      </c>
      <c r="V17" s="3" t="str">
        <f>"پورباقري ترابر (4914036)"</f>
        <v>پورباقري ترابر (4914036)</v>
      </c>
      <c r="W17" s="3" t="str">
        <f>"قرارگاه سازندگي خاتم الانبياء(ص )"</f>
        <v>قرارگاه سازندگي خاتم الانبياء(ص )</v>
      </c>
      <c r="X17" s="3" t="str">
        <f>"582/97"</f>
        <v>582/97</v>
      </c>
      <c r="Y17" s="3" t="str">
        <f>""</f>
        <v/>
      </c>
      <c r="Z17" s="3">
        <v>97042233</v>
      </c>
      <c r="AA17" s="3" t="str">
        <f>"محمد جواد صابريان اردستاني"</f>
        <v>محمد جواد صابريان اردستاني</v>
      </c>
      <c r="AB1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7" s="3">
        <v>18</v>
      </c>
      <c r="AD17" s="3" t="str">
        <f>"فروش داخلي تهران - وزارت راه - شرکت ساخت و توسعه راهها"</f>
        <v>فروش داخلي تهران - وزارت راه - شرکت ساخت و توسعه راهها</v>
      </c>
      <c r="AE17" s="3" t="str">
        <f>"فروش داخلي"</f>
        <v>فروش داخلي</v>
      </c>
      <c r="AG17" s="3" t="str">
        <f>"97/10/12"</f>
        <v>97/10/12</v>
      </c>
      <c r="AH17" s="3" t="str">
        <f>"18:15"</f>
        <v>18:15</v>
      </c>
      <c r="AI17" s="3" t="str">
        <f>"حواله فروش"</f>
        <v>حواله فروش</v>
      </c>
    </row>
    <row r="18" spans="1:35" x14ac:dyDescent="0.2">
      <c r="A18" s="3" t="str">
        <f>"97/10/12"</f>
        <v>97/10/12</v>
      </c>
      <c r="B18" s="3" t="str">
        <f>"17:25"</f>
        <v>17:25</v>
      </c>
      <c r="C18" s="3" t="str">
        <f>"17:34"</f>
        <v>17:34</v>
      </c>
      <c r="D18" s="3" t="str">
        <f>"قير  PG64-22"</f>
        <v>قير  PG64-22</v>
      </c>
      <c r="E18" s="3" t="str">
        <f>"762ع88 ايران13"</f>
        <v>762ع88 ايران13</v>
      </c>
      <c r="F18" s="3" t="str">
        <f>"اسماعيل خالقي"</f>
        <v>اسماعيل خالقي</v>
      </c>
      <c r="G18" s="3">
        <v>381874</v>
      </c>
      <c r="H18" s="3">
        <v>381879</v>
      </c>
      <c r="I18" s="3">
        <v>4194</v>
      </c>
      <c r="J18" s="3">
        <v>31783</v>
      </c>
      <c r="K18" s="3" t="str">
        <f>"9600294066"</f>
        <v>9600294066</v>
      </c>
      <c r="L18" s="3">
        <v>22020</v>
      </c>
      <c r="M18" s="3">
        <v>22020</v>
      </c>
      <c r="N18" s="3">
        <v>100</v>
      </c>
      <c r="O18" s="3" t="str">
        <f>"مخازن قير اصفهان"</f>
        <v>مخازن قير اصفهان</v>
      </c>
      <c r="P18" s="3" t="str">
        <f>"فله"</f>
        <v>فله</v>
      </c>
      <c r="Q18" s="3">
        <v>0</v>
      </c>
      <c r="R18" s="3">
        <v>0</v>
      </c>
      <c r="S18" s="3">
        <v>0</v>
      </c>
      <c r="T18" s="3">
        <v>971800050</v>
      </c>
      <c r="U18" s="3" t="str">
        <f>"97/07/22"</f>
        <v>97/07/22</v>
      </c>
      <c r="V18" s="3" t="str">
        <f>"پورباقري ترابر (4914036)"</f>
        <v>پورباقري ترابر (4914036)</v>
      </c>
      <c r="W18" s="3" t="str">
        <f>"قرارگاه سازندگي خاتم الانبياء(ص )"</f>
        <v>قرارگاه سازندگي خاتم الانبياء(ص )</v>
      </c>
      <c r="X18" s="3" t="str">
        <f>"582/97"</f>
        <v>582/97</v>
      </c>
      <c r="Y18" s="3" t="str">
        <f>""</f>
        <v/>
      </c>
      <c r="Z18" s="3">
        <v>97042243</v>
      </c>
      <c r="AA18" s="3" t="str">
        <f>"محمد جواد صابريان اردستاني"</f>
        <v>محمد جواد صابريان اردستاني</v>
      </c>
      <c r="AB1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8" s="3">
        <v>18</v>
      </c>
      <c r="AD18" s="3" t="str">
        <f>"فروش داخلي تهران - وزارت راه - شرکت ساخت و توسعه راهها"</f>
        <v>فروش داخلي تهران - وزارت راه - شرکت ساخت و توسعه راهها</v>
      </c>
      <c r="AE18" s="3" t="str">
        <f>"فروش داخلي"</f>
        <v>فروش داخلي</v>
      </c>
      <c r="AG18" s="3" t="str">
        <f>"97/10/12"</f>
        <v>97/10/12</v>
      </c>
      <c r="AH18" s="3" t="str">
        <f>"18:32"</f>
        <v>18:32</v>
      </c>
      <c r="AI18" s="3" t="str">
        <f>"حواله فروش"</f>
        <v>حواله فروش</v>
      </c>
    </row>
    <row r="19" spans="1:35" x14ac:dyDescent="0.2">
      <c r="A19" s="3" t="str">
        <f>"97/10/12"</f>
        <v>97/10/12</v>
      </c>
      <c r="B19" s="3" t="str">
        <f>"17:07"</f>
        <v>17:07</v>
      </c>
      <c r="C19" s="3" t="str">
        <f>"18:19"</f>
        <v>18:19</v>
      </c>
      <c r="D19" s="3" t="str">
        <f>"قير  PG64-22"</f>
        <v>قير  PG64-22</v>
      </c>
      <c r="E19" s="3" t="str">
        <f>"582ع29 ايران 43"</f>
        <v>582ع29 ايران 43</v>
      </c>
      <c r="F19" s="3" t="str">
        <f>"مسعود امين الرعايا"</f>
        <v>مسعود امين الرعايا</v>
      </c>
      <c r="G19" s="3">
        <v>381964</v>
      </c>
      <c r="H19" s="3">
        <v>381818</v>
      </c>
      <c r="I19" s="3">
        <v>4195</v>
      </c>
      <c r="J19" s="3">
        <v>31786</v>
      </c>
      <c r="K19" s="3" t="str">
        <f>"9383493219"</f>
        <v>9383493219</v>
      </c>
      <c r="L19" s="3">
        <v>24200</v>
      </c>
      <c r="M19" s="3">
        <v>24200</v>
      </c>
      <c r="N19" s="3">
        <v>100</v>
      </c>
      <c r="O19" s="3" t="str">
        <f>"مخازن قير اصفهان"</f>
        <v>مخازن قير اصفهان</v>
      </c>
      <c r="P19" s="3" t="str">
        <f>"فله"</f>
        <v>فله</v>
      </c>
      <c r="Q19" s="3">
        <v>0</v>
      </c>
      <c r="R19" s="3">
        <v>0</v>
      </c>
      <c r="S19" s="3">
        <v>0</v>
      </c>
      <c r="T19" s="3">
        <v>971800050</v>
      </c>
      <c r="U19" s="3" t="str">
        <f>"97/07/22"</f>
        <v>97/07/22</v>
      </c>
      <c r="V19" s="3" t="str">
        <f>"پورباقري ترابر (4914036)"</f>
        <v>پورباقري ترابر (4914036)</v>
      </c>
      <c r="W19" s="3" t="str">
        <f>"قرارگاه سازندگي خاتم الانبياء(ص )"</f>
        <v>قرارگاه سازندگي خاتم الانبياء(ص )</v>
      </c>
      <c r="X19" s="3" t="str">
        <f>"582/97"</f>
        <v>582/97</v>
      </c>
      <c r="Y19" s="3" t="str">
        <f>""</f>
        <v/>
      </c>
      <c r="Z19" s="3">
        <v>97042237</v>
      </c>
      <c r="AA19" s="3" t="str">
        <f>"محمد جواد صابريان اردستاني"</f>
        <v>محمد جواد صابريان اردستاني</v>
      </c>
      <c r="AB1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9" s="3">
        <v>18</v>
      </c>
      <c r="AD19" s="3" t="str">
        <f>"فروش داخلي تهران - وزارت راه - شرکت ساخت و توسعه راهها"</f>
        <v>فروش داخلي تهران - وزارت راه - شرکت ساخت و توسعه راهها</v>
      </c>
      <c r="AE19" s="3" t="str">
        <f>"فروش داخلي"</f>
        <v>فروش داخلي</v>
      </c>
      <c r="AG19" s="3" t="str">
        <f>"97/10/12"</f>
        <v>97/10/12</v>
      </c>
      <c r="AH19" s="3" t="str">
        <f>"18:46"</f>
        <v>18:46</v>
      </c>
      <c r="AI19" s="3" t="str">
        <f>"حواله فروش"</f>
        <v>حواله فروش</v>
      </c>
    </row>
    <row r="20" spans="1:35" x14ac:dyDescent="0.2">
      <c r="A20" s="3" t="str">
        <f>"97/10/12"</f>
        <v>97/10/12</v>
      </c>
      <c r="B20" s="3" t="str">
        <f>"15:41"</f>
        <v>15:41</v>
      </c>
      <c r="C20" s="3" t="str">
        <f>"18:37"</f>
        <v>18:37</v>
      </c>
      <c r="D20" s="3" t="str">
        <f>"قير  PG64-22"</f>
        <v>قير  PG64-22</v>
      </c>
      <c r="E20" s="3" t="str">
        <f>"641ع26 ايران43"</f>
        <v>641ع26 ايران43</v>
      </c>
      <c r="F20" s="3" t="str">
        <f>"محمدحسين مهوري"</f>
        <v>محمدحسين مهوري</v>
      </c>
      <c r="G20" s="3">
        <v>315248</v>
      </c>
      <c r="H20" s="3">
        <v>315179</v>
      </c>
      <c r="I20" s="3">
        <v>4196</v>
      </c>
      <c r="J20" s="3">
        <v>31788</v>
      </c>
      <c r="K20" s="3" t="str">
        <f>"9381158162"</f>
        <v>9381158162</v>
      </c>
      <c r="L20" s="3">
        <v>24720</v>
      </c>
      <c r="M20" s="3">
        <v>24720</v>
      </c>
      <c r="N20" s="3">
        <v>100</v>
      </c>
      <c r="O20" s="3" t="str">
        <f>"مخازن قير اصفهان"</f>
        <v>مخازن قير اصفهان</v>
      </c>
      <c r="P20" s="3" t="str">
        <f>"فله"</f>
        <v>فله</v>
      </c>
      <c r="Q20" s="3">
        <v>0</v>
      </c>
      <c r="R20" s="3">
        <v>0</v>
      </c>
      <c r="S20" s="3">
        <v>0</v>
      </c>
      <c r="T20" s="3">
        <v>971800050</v>
      </c>
      <c r="U20" s="3" t="str">
        <f>"97/07/22"</f>
        <v>97/07/22</v>
      </c>
      <c r="V20" s="3" t="str">
        <f>"پورباقري ترابر (4914036)"</f>
        <v>پورباقري ترابر (4914036)</v>
      </c>
      <c r="W20" s="3" t="str">
        <f>"قرارگاه سازندگي خاتم الانبياء(ص )"</f>
        <v>قرارگاه سازندگي خاتم الانبياء(ص )</v>
      </c>
      <c r="X20" s="3" t="str">
        <f>"582/97"</f>
        <v>582/97</v>
      </c>
      <c r="Y20" s="3" t="str">
        <f>""</f>
        <v/>
      </c>
      <c r="Z20" s="3">
        <v>97042211</v>
      </c>
      <c r="AA20" s="3" t="str">
        <f>"محمد جواد صابريان اردستاني"</f>
        <v>محمد جواد صابريان اردستاني</v>
      </c>
      <c r="AB2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0" s="3">
        <v>18</v>
      </c>
      <c r="AD20" s="3" t="str">
        <f>"فروش داخلي تهران - وزارت راه - شرکت ساخت و توسعه راهها"</f>
        <v>فروش داخلي تهران - وزارت راه - شرکت ساخت و توسعه راهها</v>
      </c>
      <c r="AE20" s="3" t="str">
        <f>"فروش داخلي"</f>
        <v>فروش داخلي</v>
      </c>
      <c r="AG20" s="3" t="str">
        <f>"97/10/12"</f>
        <v>97/10/12</v>
      </c>
      <c r="AH20" s="3" t="str">
        <f>"19:04"</f>
        <v>19:04</v>
      </c>
      <c r="AI20" s="3" t="str">
        <f>"حواله فروش"</f>
        <v>حواله فروش</v>
      </c>
    </row>
    <row r="21" spans="1:35" x14ac:dyDescent="0.2">
      <c r="A21" s="3" t="str">
        <f>"97/10/12"</f>
        <v>97/10/12</v>
      </c>
      <c r="B21" s="3" t="str">
        <f>"22:03"</f>
        <v>22:03</v>
      </c>
      <c r="C21" s="3" t="str">
        <f>"22:16"</f>
        <v>22:16</v>
      </c>
      <c r="D21" s="3" t="str">
        <f>"قير  PG64-22"</f>
        <v>قير  PG64-22</v>
      </c>
      <c r="E21" s="3" t="str">
        <f>"941ع75 ايران 43"</f>
        <v>941ع75 ايران 43</v>
      </c>
      <c r="F21" s="3" t="str">
        <f>"جمال محمديان"</f>
        <v>جمال محمديان</v>
      </c>
      <c r="G21" s="3">
        <v>394932</v>
      </c>
      <c r="H21" s="3">
        <v>394928</v>
      </c>
      <c r="I21" s="3">
        <v>4197</v>
      </c>
      <c r="J21" s="3">
        <v>31795</v>
      </c>
      <c r="K21" s="3" t="str">
        <f>"9381505682"</f>
        <v>9381505682</v>
      </c>
      <c r="L21" s="3">
        <v>24540</v>
      </c>
      <c r="M21" s="3">
        <v>24540</v>
      </c>
      <c r="N21" s="3">
        <v>100</v>
      </c>
      <c r="O21" s="3" t="str">
        <f>"مخازن قير اصفهان"</f>
        <v>مخازن قير اصفهان</v>
      </c>
      <c r="P21" s="3" t="str">
        <f>"فله"</f>
        <v>فله</v>
      </c>
      <c r="Q21" s="3">
        <v>0</v>
      </c>
      <c r="R21" s="3">
        <v>0</v>
      </c>
      <c r="S21" s="3">
        <v>0</v>
      </c>
      <c r="T21" s="3">
        <v>971800050</v>
      </c>
      <c r="U21" s="3" t="str">
        <f>"97/07/22"</f>
        <v>97/07/22</v>
      </c>
      <c r="V21" s="3" t="str">
        <f>"پورباقري ترابر (4914036)"</f>
        <v>پورباقري ترابر (4914036)</v>
      </c>
      <c r="W21" s="3" t="str">
        <f>"قرارگاه سازندگي خاتم الانبياء(ص )"</f>
        <v>قرارگاه سازندگي خاتم الانبياء(ص )</v>
      </c>
      <c r="X21" s="3" t="str">
        <f>"582/97"</f>
        <v>582/97</v>
      </c>
      <c r="Y21" s="3" t="str">
        <f>""</f>
        <v/>
      </c>
      <c r="Z21" s="3">
        <v>97042275</v>
      </c>
      <c r="AA21" s="3" t="str">
        <f>"مسعود ليموچي"</f>
        <v>مسعود ليموچي</v>
      </c>
      <c r="AB2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1" s="3">
        <v>18</v>
      </c>
      <c r="AD21" s="3" t="str">
        <f>"فروش داخلي تهران - وزارت راه - شرکت ساخت و توسعه راهها"</f>
        <v>فروش داخلي تهران - وزارت راه - شرکت ساخت و توسعه راهها</v>
      </c>
      <c r="AE21" s="3" t="str">
        <f>"فروش داخلي"</f>
        <v>فروش داخلي</v>
      </c>
      <c r="AG21" s="3" t="str">
        <f>"97/10/12"</f>
        <v>97/10/12</v>
      </c>
      <c r="AH21" s="3" t="str">
        <f>"22:49"</f>
        <v>22:49</v>
      </c>
      <c r="AI21" s="3" t="str">
        <f>"حواله فروش"</f>
        <v>حواله فروش</v>
      </c>
    </row>
    <row r="22" spans="1:35" x14ac:dyDescent="0.2">
      <c r="A22" s="3" t="str">
        <f>"97/10/13"</f>
        <v>97/10/13</v>
      </c>
      <c r="B22" s="3" t="str">
        <f>"23:40"</f>
        <v>23:40</v>
      </c>
      <c r="C22" s="3" t="str">
        <f>"23:57"</f>
        <v>23:57</v>
      </c>
      <c r="D22" s="3" t="str">
        <f>"قير  PG64-22"</f>
        <v>قير  PG64-22</v>
      </c>
      <c r="E22" s="3" t="str">
        <f>"157ع15 ايران65"</f>
        <v>157ع15 ايران65</v>
      </c>
      <c r="F22" s="3" t="str">
        <f>"مهدي باقريان"</f>
        <v>مهدي باقريان</v>
      </c>
      <c r="G22" s="3">
        <v>394798</v>
      </c>
      <c r="H22" s="3">
        <v>394860</v>
      </c>
      <c r="I22" s="3">
        <v>4198</v>
      </c>
      <c r="J22" s="3">
        <v>31799</v>
      </c>
      <c r="K22" s="3" t="str">
        <f>"9384329827"</f>
        <v>9384329827</v>
      </c>
      <c r="L22" s="3">
        <v>24120</v>
      </c>
      <c r="M22" s="3">
        <v>24120</v>
      </c>
      <c r="N22" s="3">
        <v>100</v>
      </c>
      <c r="O22" s="3" t="str">
        <f>"مخازن قير اصفهان"</f>
        <v>مخازن قير اصفهان</v>
      </c>
      <c r="P22" s="3" t="str">
        <f>"فله"</f>
        <v>فله</v>
      </c>
      <c r="Q22" s="3">
        <v>0</v>
      </c>
      <c r="R22" s="3">
        <v>0</v>
      </c>
      <c r="S22" s="3">
        <v>0</v>
      </c>
      <c r="T22" s="3">
        <v>971800050</v>
      </c>
      <c r="U22" s="3" t="str">
        <f>"97/07/22"</f>
        <v>97/07/22</v>
      </c>
      <c r="V22" s="3" t="str">
        <f>"پورباقري ترابر (4914036)"</f>
        <v>پورباقري ترابر (4914036)</v>
      </c>
      <c r="W22" s="3" t="str">
        <f>"قرارگاه سازندگي خاتم الانبياء(ص )"</f>
        <v>قرارگاه سازندگي خاتم الانبياء(ص )</v>
      </c>
      <c r="X22" s="3" t="str">
        <f>"582/97"</f>
        <v>582/97</v>
      </c>
      <c r="Y22" s="3" t="str">
        <f>""</f>
        <v/>
      </c>
      <c r="Z22" s="3">
        <v>97042282</v>
      </c>
      <c r="AA22" s="3" t="str">
        <f>"مسعود ليموچي"</f>
        <v>مسعود ليموچي</v>
      </c>
      <c r="AB2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2" s="3">
        <v>18</v>
      </c>
      <c r="AD22" s="3" t="str">
        <f>"فروش داخلي تهران - وزارت راه - شرکت ساخت و توسعه راهها"</f>
        <v>فروش داخلي تهران - وزارت راه - شرکت ساخت و توسعه راهها</v>
      </c>
      <c r="AE22" s="3" t="str">
        <f>"فروش داخلي"</f>
        <v>فروش داخلي</v>
      </c>
      <c r="AG22" s="3" t="str">
        <f>"97/10/12"</f>
        <v>97/10/12</v>
      </c>
      <c r="AH22" s="3" t="str">
        <f>"00:27"</f>
        <v>00:27</v>
      </c>
      <c r="AI22" s="3" t="str">
        <f>"حواله فروش"</f>
        <v>حواله فروش</v>
      </c>
    </row>
    <row r="23" spans="1:35" x14ac:dyDescent="0.2">
      <c r="A23" s="3" t="str">
        <f>"97/10/13"</f>
        <v>97/10/13</v>
      </c>
      <c r="B23" s="3" t="str">
        <f>"07:29"</f>
        <v>07:29</v>
      </c>
      <c r="C23" s="3" t="str">
        <f>"07:51"</f>
        <v>07:51</v>
      </c>
      <c r="D23" s="3" t="str">
        <f>"قير  PG64-22"</f>
        <v>قير  PG64-22</v>
      </c>
      <c r="E23" s="3" t="str">
        <f>"528ع27 ايران13"</f>
        <v>528ع27 ايران13</v>
      </c>
      <c r="F23" s="3" t="str">
        <f>"حاتم حسيني"</f>
        <v>حاتم حسيني</v>
      </c>
      <c r="G23" s="3">
        <v>389941</v>
      </c>
      <c r="H23" s="3">
        <v>389940</v>
      </c>
      <c r="I23" s="3">
        <v>4199</v>
      </c>
      <c r="J23" s="3">
        <v>31804</v>
      </c>
      <c r="K23" s="3" t="str">
        <f>"9509768870"</f>
        <v>9509768870</v>
      </c>
      <c r="L23" s="3">
        <v>24960</v>
      </c>
      <c r="M23" s="3">
        <v>24960</v>
      </c>
      <c r="N23" s="3">
        <v>100</v>
      </c>
      <c r="O23" s="3" t="str">
        <f>"مخازن قير اصفهان"</f>
        <v>مخازن قير اصفهان</v>
      </c>
      <c r="P23" s="3" t="str">
        <f>"فله"</f>
        <v>فله</v>
      </c>
      <c r="Q23" s="3">
        <v>0</v>
      </c>
      <c r="R23" s="3">
        <v>0</v>
      </c>
      <c r="S23" s="3">
        <v>0</v>
      </c>
      <c r="T23" s="3">
        <v>971800050</v>
      </c>
      <c r="U23" s="3" t="str">
        <f>"97/07/22"</f>
        <v>97/07/22</v>
      </c>
      <c r="V23" s="3" t="str">
        <f>"پورباقري ترابر (4914036)"</f>
        <v>پورباقري ترابر (4914036)</v>
      </c>
      <c r="W23" s="3" t="str">
        <f>"قرارگاه سازندگي خاتم الانبياء(ص )"</f>
        <v>قرارگاه سازندگي خاتم الانبياء(ص )</v>
      </c>
      <c r="X23" s="3" t="str">
        <f>"582/97"</f>
        <v>582/97</v>
      </c>
      <c r="Y23" s="3" t="str">
        <f>""</f>
        <v/>
      </c>
      <c r="Z23" s="3">
        <v>97042303</v>
      </c>
      <c r="AA23" s="3" t="str">
        <f>"علي قشقائي فر"</f>
        <v>علي قشقائي فر</v>
      </c>
      <c r="AB2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3" s="3">
        <v>18</v>
      </c>
      <c r="AD23" s="3" t="str">
        <f>"فروش داخلي تهران - وزارت راه - شرکت ساخت و توسعه راهها"</f>
        <v>فروش داخلي تهران - وزارت راه - شرکت ساخت و توسعه راهها</v>
      </c>
      <c r="AE23" s="3" t="str">
        <f>"فروش داخلي"</f>
        <v>فروش داخلي</v>
      </c>
      <c r="AG23" s="3" t="str">
        <f>"97/10/13"</f>
        <v>97/10/13</v>
      </c>
      <c r="AH23" s="3" t="str">
        <f>"08:17"</f>
        <v>08:17</v>
      </c>
      <c r="AI23" s="3" t="str">
        <f>"حواله فروش"</f>
        <v>حواله فروش</v>
      </c>
    </row>
    <row r="24" spans="1:35" x14ac:dyDescent="0.2">
      <c r="A24" s="3" t="str">
        <f>"97/10/13"</f>
        <v>97/10/13</v>
      </c>
      <c r="B24" s="3" t="str">
        <f>"07:56"</f>
        <v>07:56</v>
      </c>
      <c r="C24" s="3" t="str">
        <f>"08:19"</f>
        <v>08:19</v>
      </c>
      <c r="D24" s="3" t="str">
        <f>"قير  PG64-22"</f>
        <v>قير  PG64-22</v>
      </c>
      <c r="E24" s="3" t="str">
        <f>"589ع87 ايران45"</f>
        <v>589ع87 ايران45</v>
      </c>
      <c r="F24" s="3" t="str">
        <f>"قاسم فرامرزي فر"</f>
        <v>قاسم فرامرزي فر</v>
      </c>
      <c r="G24" s="3">
        <v>389932</v>
      </c>
      <c r="H24" s="3">
        <v>389939</v>
      </c>
      <c r="I24" s="3">
        <v>4200</v>
      </c>
      <c r="J24" s="3">
        <v>31809</v>
      </c>
      <c r="K24" s="3" t="str">
        <f>"9210005123"</f>
        <v>9210005123</v>
      </c>
      <c r="L24" s="3">
        <v>24380</v>
      </c>
      <c r="M24" s="3">
        <v>24380</v>
      </c>
      <c r="N24" s="3">
        <v>100</v>
      </c>
      <c r="O24" s="3" t="str">
        <f>"مخازن قير اصفهان"</f>
        <v>مخازن قير اصفهان</v>
      </c>
      <c r="P24" s="3" t="str">
        <f>"فله"</f>
        <v>فله</v>
      </c>
      <c r="Q24" s="3">
        <v>0</v>
      </c>
      <c r="R24" s="3">
        <v>0</v>
      </c>
      <c r="S24" s="3">
        <v>0</v>
      </c>
      <c r="T24" s="3">
        <v>971800050</v>
      </c>
      <c r="U24" s="3" t="str">
        <f>"97/07/22"</f>
        <v>97/07/22</v>
      </c>
      <c r="V24" s="3" t="str">
        <f>"پورباقري ترابر (4914036)"</f>
        <v>پورباقري ترابر (4914036)</v>
      </c>
      <c r="W24" s="3" t="str">
        <f>"قرارگاه سازندگي خاتم الانبياء(ص )"</f>
        <v>قرارگاه سازندگي خاتم الانبياء(ص )</v>
      </c>
      <c r="X24" s="3" t="str">
        <f>"582/97"</f>
        <v>582/97</v>
      </c>
      <c r="Y24" s="3" t="str">
        <f>""</f>
        <v/>
      </c>
      <c r="Z24" s="3">
        <v>97042307</v>
      </c>
      <c r="AA24" s="3" t="str">
        <f>"علي قشقائي فر"</f>
        <v>علي قشقائي فر</v>
      </c>
      <c r="AB2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4" s="3">
        <v>18</v>
      </c>
      <c r="AD24" s="3" t="str">
        <f>"فروش داخلي تهران - وزارت راه - شرکت ساخت و توسعه راهها"</f>
        <v>فروش داخلي تهران - وزارت راه - شرکت ساخت و توسعه راهها</v>
      </c>
      <c r="AE24" s="3" t="str">
        <f>"فروش داخلي"</f>
        <v>فروش داخلي</v>
      </c>
      <c r="AG24" s="3" t="str">
        <f>"97/10/13"</f>
        <v>97/10/13</v>
      </c>
      <c r="AH24" s="3" t="str">
        <f>"08:56"</f>
        <v>08:56</v>
      </c>
      <c r="AI24" s="3" t="str">
        <f>"حواله فروش"</f>
        <v>حواله فروش</v>
      </c>
    </row>
    <row r="25" spans="1:35" x14ac:dyDescent="0.2">
      <c r="A25" s="3" t="str">
        <f>"97/10/13"</f>
        <v>97/10/13</v>
      </c>
      <c r="B25" s="3" t="str">
        <f>"07:57"</f>
        <v>07:57</v>
      </c>
      <c r="C25" s="3" t="str">
        <f>"08:21"</f>
        <v>08:21</v>
      </c>
      <c r="D25" s="3" t="str">
        <f>"قير  PG64-22"</f>
        <v>قير  PG64-22</v>
      </c>
      <c r="E25" s="3" t="str">
        <f>"792ع24 ايران65"</f>
        <v>792ع24 ايران65</v>
      </c>
      <c r="F25" s="3" t="str">
        <f>"محمد شاهرخي"</f>
        <v>محمد شاهرخي</v>
      </c>
      <c r="G25" s="3">
        <v>389949</v>
      </c>
      <c r="H25" s="3">
        <v>389636</v>
      </c>
      <c r="I25" s="3">
        <v>4201</v>
      </c>
      <c r="J25" s="3">
        <v>31811</v>
      </c>
      <c r="K25" s="3" t="str">
        <f>"9385792424"</f>
        <v>9385792424</v>
      </c>
      <c r="L25" s="3">
        <v>26140</v>
      </c>
      <c r="M25" s="3">
        <v>26140</v>
      </c>
      <c r="N25" s="3">
        <v>100</v>
      </c>
      <c r="O25" s="3" t="str">
        <f>"مخازن قير اصفهان"</f>
        <v>مخازن قير اصفهان</v>
      </c>
      <c r="P25" s="3" t="str">
        <f>"فله"</f>
        <v>فله</v>
      </c>
      <c r="Q25" s="3">
        <v>0</v>
      </c>
      <c r="R25" s="3">
        <v>0</v>
      </c>
      <c r="S25" s="3">
        <v>0</v>
      </c>
      <c r="T25" s="3">
        <v>971800050</v>
      </c>
      <c r="U25" s="3" t="str">
        <f>"97/07/22"</f>
        <v>97/07/22</v>
      </c>
      <c r="V25" s="3" t="str">
        <f>"پورباقري ترابر (4914036)"</f>
        <v>پورباقري ترابر (4914036)</v>
      </c>
      <c r="W25" s="3" t="str">
        <f>"قرارگاه سازندگي خاتم الانبياء(ص )"</f>
        <v>قرارگاه سازندگي خاتم الانبياء(ص )</v>
      </c>
      <c r="X25" s="3" t="str">
        <f>"582/97"</f>
        <v>582/97</v>
      </c>
      <c r="Y25" s="3" t="str">
        <f>""</f>
        <v/>
      </c>
      <c r="Z25" s="3">
        <v>97042308</v>
      </c>
      <c r="AA25" s="3" t="str">
        <f>"علي قشقائي فر"</f>
        <v>علي قشقائي فر</v>
      </c>
      <c r="AB2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5" s="3">
        <v>18</v>
      </c>
      <c r="AD25" s="3" t="str">
        <f>"فروش داخلي تهران - وزارت راه - شرکت ساخت و توسعه راهها"</f>
        <v>فروش داخلي تهران - وزارت راه - شرکت ساخت و توسعه راهها</v>
      </c>
      <c r="AE25" s="3" t="str">
        <f>"فروش داخلي"</f>
        <v>فروش داخلي</v>
      </c>
      <c r="AG25" s="3" t="str">
        <f>"97/10/13"</f>
        <v>97/10/13</v>
      </c>
      <c r="AH25" s="3" t="str">
        <f>"09:06"</f>
        <v>09:06</v>
      </c>
      <c r="AI25" s="3" t="str">
        <f>"حواله فروش"</f>
        <v>حواله فروش</v>
      </c>
    </row>
    <row r="26" spans="1:35" x14ac:dyDescent="0.2">
      <c r="A26" s="3" t="str">
        <f>"97/10/13"</f>
        <v>97/10/13</v>
      </c>
      <c r="B26" s="3" t="str">
        <f>"07:54"</f>
        <v>07:54</v>
      </c>
      <c r="C26" s="3" t="str">
        <f>"08:21"</f>
        <v>08:21</v>
      </c>
      <c r="D26" s="3" t="str">
        <f>"قير  PG64-22"</f>
        <v>قير  PG64-22</v>
      </c>
      <c r="E26" s="3" t="str">
        <f>"362ع24 ايران65"</f>
        <v>362ع24 ايران65</v>
      </c>
      <c r="F26" s="3" t="str">
        <f>"رضا افشاري پور"</f>
        <v>رضا افشاري پور</v>
      </c>
      <c r="G26" s="3">
        <v>389622</v>
      </c>
      <c r="H26" s="3">
        <v>389638</v>
      </c>
      <c r="I26" s="3">
        <v>4202</v>
      </c>
      <c r="J26" s="3">
        <v>31813</v>
      </c>
      <c r="K26" s="3" t="str">
        <f>"9404253540"</f>
        <v>9404253540</v>
      </c>
      <c r="L26" s="3">
        <v>25020</v>
      </c>
      <c r="M26" s="3">
        <v>25020</v>
      </c>
      <c r="N26" s="3">
        <v>100</v>
      </c>
      <c r="O26" s="3" t="str">
        <f>"مخازن قير اصفهان"</f>
        <v>مخازن قير اصفهان</v>
      </c>
      <c r="P26" s="3" t="str">
        <f>"فله"</f>
        <v>فله</v>
      </c>
      <c r="Q26" s="3">
        <v>0</v>
      </c>
      <c r="R26" s="3">
        <v>0</v>
      </c>
      <c r="S26" s="3">
        <v>0</v>
      </c>
      <c r="T26" s="3">
        <v>971800050</v>
      </c>
      <c r="U26" s="3" t="str">
        <f>"97/07/22"</f>
        <v>97/07/22</v>
      </c>
      <c r="V26" s="3" t="str">
        <f>"پورباقري ترابر (4914036)"</f>
        <v>پورباقري ترابر (4914036)</v>
      </c>
      <c r="W26" s="3" t="str">
        <f>"قرارگاه سازندگي خاتم الانبياء(ص )"</f>
        <v>قرارگاه سازندگي خاتم الانبياء(ص )</v>
      </c>
      <c r="X26" s="3" t="str">
        <f>"582/97"</f>
        <v>582/97</v>
      </c>
      <c r="Y26" s="3" t="str">
        <f>""</f>
        <v/>
      </c>
      <c r="Z26" s="3">
        <v>97042309</v>
      </c>
      <c r="AA26" s="3" t="str">
        <f>"علي قشقائي فر"</f>
        <v>علي قشقائي فر</v>
      </c>
      <c r="AB2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6" s="3">
        <v>18</v>
      </c>
      <c r="AD26" s="3" t="str">
        <f>"فروش داخلي تهران - وزارت راه - شرکت ساخت و توسعه راهها"</f>
        <v>فروش داخلي تهران - وزارت راه - شرکت ساخت و توسعه راهها</v>
      </c>
      <c r="AE26" s="3" t="str">
        <f>"فروش داخلي"</f>
        <v>فروش داخلي</v>
      </c>
      <c r="AG26" s="3" t="str">
        <f>"97/10/13"</f>
        <v>97/10/13</v>
      </c>
      <c r="AH26" s="3" t="str">
        <f>"09:14"</f>
        <v>09:14</v>
      </c>
      <c r="AI26" s="3" t="str">
        <f>"حواله فروش"</f>
        <v>حواله فروش</v>
      </c>
    </row>
    <row r="27" spans="1:35" x14ac:dyDescent="0.2">
      <c r="A27" s="3" t="str">
        <f>"97/10/13"</f>
        <v>97/10/13</v>
      </c>
      <c r="B27" s="3" t="str">
        <f>"09:56"</f>
        <v>09:56</v>
      </c>
      <c r="C27" s="3" t="str">
        <f>"10:11"</f>
        <v>10:11</v>
      </c>
      <c r="D27" s="3" t="str">
        <f>"قير  PG64-22"</f>
        <v>قير  PG64-22</v>
      </c>
      <c r="E27" s="3" t="str">
        <f>"572ع89 ايران23"</f>
        <v>572ع89 ايران23</v>
      </c>
      <c r="F27" s="3" t="str">
        <f>"فريد جابري"</f>
        <v>فريد جابري</v>
      </c>
      <c r="G27" s="3">
        <v>389531</v>
      </c>
      <c r="H27" s="3">
        <v>389539</v>
      </c>
      <c r="I27" s="3">
        <v>4203</v>
      </c>
      <c r="J27" s="3">
        <v>31823</v>
      </c>
      <c r="K27" s="3" t="str">
        <f>"9110222948"</f>
        <v>9110222948</v>
      </c>
      <c r="L27" s="3">
        <v>23080</v>
      </c>
      <c r="M27" s="3">
        <v>23080</v>
      </c>
      <c r="N27" s="3">
        <v>100</v>
      </c>
      <c r="O27" s="3" t="str">
        <f>"مخازن قير اصفهان"</f>
        <v>مخازن قير اصفهان</v>
      </c>
      <c r="P27" s="3" t="str">
        <f>"فله"</f>
        <v>فله</v>
      </c>
      <c r="Q27" s="3">
        <v>0</v>
      </c>
      <c r="R27" s="3">
        <v>0</v>
      </c>
      <c r="S27" s="3">
        <v>0</v>
      </c>
      <c r="T27" s="3">
        <v>971800050</v>
      </c>
      <c r="U27" s="3" t="str">
        <f>"97/07/22"</f>
        <v>97/07/22</v>
      </c>
      <c r="V27" s="3" t="str">
        <f>"پورباقري ترابر (4914036)"</f>
        <v>پورباقري ترابر (4914036)</v>
      </c>
      <c r="W27" s="3" t="str">
        <f>"قرارگاه سازندگي خاتم الانبياء(ص )"</f>
        <v>قرارگاه سازندگي خاتم الانبياء(ص )</v>
      </c>
      <c r="X27" s="3" t="str">
        <f>"587/97"</f>
        <v>587/97</v>
      </c>
      <c r="Y27" s="3" t="str">
        <f>""</f>
        <v/>
      </c>
      <c r="Z27" s="3">
        <v>97042326</v>
      </c>
      <c r="AA27" s="3" t="str">
        <f>"علي قشقائي فر"</f>
        <v>علي قشقائي فر</v>
      </c>
      <c r="AB2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7" s="3">
        <v>18</v>
      </c>
      <c r="AD27" s="3" t="str">
        <f>"فروش داخلي تهران - وزارت راه - شرکت ساخت و توسعه راهها"</f>
        <v>فروش داخلي تهران - وزارت راه - شرکت ساخت و توسعه راهها</v>
      </c>
      <c r="AE27" s="3" t="str">
        <f>"فروش داخلي"</f>
        <v>فروش داخلي</v>
      </c>
      <c r="AG27" s="3" t="str">
        <f>"97/10/13"</f>
        <v>97/10/13</v>
      </c>
      <c r="AH27" s="3" t="str">
        <f>"10:37"</f>
        <v>10:37</v>
      </c>
      <c r="AI27" s="3" t="str">
        <f>"حواله فروش"</f>
        <v>حواله فروش</v>
      </c>
    </row>
    <row r="28" spans="1:35" x14ac:dyDescent="0.2">
      <c r="A28" s="3" t="str">
        <f>"97/10/13"</f>
        <v>97/10/13</v>
      </c>
      <c r="B28" s="3" t="str">
        <f>"10:01"</f>
        <v>10:01</v>
      </c>
      <c r="C28" s="3" t="str">
        <f>"10:56"</f>
        <v>10:56</v>
      </c>
      <c r="D28" s="3" t="str">
        <f>"قير  PG64-22"</f>
        <v>قير  PG64-22</v>
      </c>
      <c r="E28" s="3" t="str">
        <f>"776ع31 ايران13"</f>
        <v>776ع31 ايران13</v>
      </c>
      <c r="F28" s="3" t="str">
        <f>"عظيم لاري"</f>
        <v>عظيم لاري</v>
      </c>
      <c r="G28" s="3">
        <v>389884</v>
      </c>
      <c r="H28" s="3">
        <v>389637</v>
      </c>
      <c r="I28" s="3">
        <v>4204</v>
      </c>
      <c r="J28" s="3">
        <v>31831</v>
      </c>
      <c r="K28" s="3" t="str">
        <f>"9601663501"</f>
        <v>9601663501</v>
      </c>
      <c r="L28" s="3">
        <v>22820</v>
      </c>
      <c r="M28" s="3">
        <v>22820</v>
      </c>
      <c r="N28" s="3">
        <v>100</v>
      </c>
      <c r="O28" s="3" t="str">
        <f>"مخازن قير اصفهان"</f>
        <v>مخازن قير اصفهان</v>
      </c>
      <c r="P28" s="3" t="str">
        <f>"فله"</f>
        <v>فله</v>
      </c>
      <c r="Q28" s="3">
        <v>0</v>
      </c>
      <c r="R28" s="3">
        <v>0</v>
      </c>
      <c r="S28" s="3">
        <v>0</v>
      </c>
      <c r="T28" s="3">
        <v>971800050</v>
      </c>
      <c r="U28" s="3" t="str">
        <f>"97/07/22"</f>
        <v>97/07/22</v>
      </c>
      <c r="V28" s="3" t="str">
        <f>"پورباقري ترابر (4914036)"</f>
        <v>پورباقري ترابر (4914036)</v>
      </c>
      <c r="W28" s="3" t="str">
        <f>"قرارگاه سازندگي خاتم الانبياء(ص )"</f>
        <v>قرارگاه سازندگي خاتم الانبياء(ص )</v>
      </c>
      <c r="X28" s="3" t="str">
        <f>"587/97"</f>
        <v>587/97</v>
      </c>
      <c r="Y28" s="3" t="str">
        <f>""</f>
        <v/>
      </c>
      <c r="Z28" s="3">
        <v>97042329</v>
      </c>
      <c r="AA28" s="3" t="str">
        <f>"علي قشقائي فر"</f>
        <v>علي قشقائي فر</v>
      </c>
      <c r="AB2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8" s="3">
        <v>18</v>
      </c>
      <c r="AD28" s="3" t="str">
        <f>"فروش داخلي تهران - وزارت راه - شرکت ساخت و توسعه راهها"</f>
        <v>فروش داخلي تهران - وزارت راه - شرکت ساخت و توسعه راهها</v>
      </c>
      <c r="AE28" s="3" t="str">
        <f>"فروش داخلي"</f>
        <v>فروش داخلي</v>
      </c>
      <c r="AG28" s="3" t="str">
        <f>"97/10/13"</f>
        <v>97/10/13</v>
      </c>
      <c r="AH28" s="3" t="str">
        <f>"11:24"</f>
        <v>11:24</v>
      </c>
      <c r="AI28" s="3" t="str">
        <f>"حواله فروش"</f>
        <v>حواله فروش</v>
      </c>
    </row>
    <row r="29" spans="1:35" x14ac:dyDescent="0.2">
      <c r="A29" s="3" t="str">
        <f>"97/11/16"</f>
        <v>97/11/16</v>
      </c>
      <c r="B29" s="3" t="str">
        <f>"12:06"</f>
        <v>12:06</v>
      </c>
      <c r="C29" s="3" t="str">
        <f>"12:22"</f>
        <v>12:22</v>
      </c>
      <c r="D29" s="3" t="str">
        <f>"قير  PG64-22"</f>
        <v>قير  PG64-22</v>
      </c>
      <c r="E29" s="3" t="str">
        <f>"255ع27 ايران13"</f>
        <v>255ع27 ايران13</v>
      </c>
      <c r="F29" s="3" t="str">
        <f>"مجيد آقابابايي"</f>
        <v>مجيد آقابابايي</v>
      </c>
      <c r="G29" s="3">
        <v>412494</v>
      </c>
      <c r="H29" s="3">
        <v>412500</v>
      </c>
      <c r="I29" s="3">
        <v>4536</v>
      </c>
      <c r="J29" s="3">
        <v>36252</v>
      </c>
      <c r="K29" s="3" t="str">
        <f>"9380531540"</f>
        <v>9380531540</v>
      </c>
      <c r="L29" s="3">
        <v>23700</v>
      </c>
      <c r="M29" s="3">
        <v>23700</v>
      </c>
      <c r="N29" s="3">
        <v>100</v>
      </c>
      <c r="O29" s="3" t="str">
        <f>"مخازن قير اصفهان"</f>
        <v>مخازن قير اصفهان</v>
      </c>
      <c r="P29" s="3" t="str">
        <f>"فله"</f>
        <v>فله</v>
      </c>
      <c r="Q29" s="3">
        <v>0</v>
      </c>
      <c r="R29" s="3">
        <v>0</v>
      </c>
      <c r="S29" s="3">
        <v>0</v>
      </c>
      <c r="T29" s="3">
        <v>971800050</v>
      </c>
      <c r="U29" s="3" t="str">
        <f>"97/07/22"</f>
        <v>97/07/22</v>
      </c>
      <c r="V29" s="3" t="str">
        <f>"پورباقري ترابر (4914036)"</f>
        <v>پورباقري ترابر (4914036)</v>
      </c>
      <c r="W29" s="3" t="str">
        <f>"قرارگاه سازندگي خاتم الانبياء(ص )"</f>
        <v>قرارگاه سازندگي خاتم الانبياء(ص )</v>
      </c>
      <c r="X29" s="3" t="str">
        <f>"666/97"</f>
        <v>666/97</v>
      </c>
      <c r="Y29" s="3" t="str">
        <f>""</f>
        <v/>
      </c>
      <c r="Z29" s="3">
        <v>97047571</v>
      </c>
      <c r="AA29" s="3" t="str">
        <f>"حبيب لطفي"</f>
        <v>حبيب لطفي</v>
      </c>
      <c r="AB2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29" s="3">
        <v>18</v>
      </c>
      <c r="AD29" s="3" t="str">
        <f>"فروش داخلي تهران - وزارت راه - شرکت ساخت و توسعه راهها"</f>
        <v>فروش داخلي تهران - وزارت راه - شرکت ساخت و توسعه راهها</v>
      </c>
      <c r="AE29" s="3" t="str">
        <f>"فروش داخلي"</f>
        <v>فروش داخلي</v>
      </c>
      <c r="AG29" s="3" t="str">
        <f>"97/11/16"</f>
        <v>97/11/16</v>
      </c>
      <c r="AH29" s="3" t="str">
        <f>"12:47"</f>
        <v>12:47</v>
      </c>
      <c r="AI29" s="3" t="str">
        <f>"حواله فروش"</f>
        <v>حواله فروش</v>
      </c>
    </row>
    <row r="30" spans="1:35" x14ac:dyDescent="0.2">
      <c r="A30" s="3" t="str">
        <f>"97/11/16"</f>
        <v>97/11/16</v>
      </c>
      <c r="B30" s="3" t="str">
        <f>"12:18"</f>
        <v>12:18</v>
      </c>
      <c r="C30" s="3" t="str">
        <f>"12:30"</f>
        <v>12:30</v>
      </c>
      <c r="D30" s="3" t="str">
        <f>"قير  PG64-22"</f>
        <v>قير  PG64-22</v>
      </c>
      <c r="E30" s="3" t="str">
        <f>"799ع33 ايران13"</f>
        <v>799ع33 ايران13</v>
      </c>
      <c r="F30" s="3" t="str">
        <f>"منصور هوشمند"</f>
        <v>منصور هوشمند</v>
      </c>
      <c r="G30" s="3">
        <v>412501</v>
      </c>
      <c r="H30" s="3">
        <v>412505</v>
      </c>
      <c r="I30" s="3">
        <v>4537</v>
      </c>
      <c r="J30" s="3">
        <v>36254</v>
      </c>
      <c r="K30" s="3" t="str">
        <f>"9601947220"</f>
        <v>9601947220</v>
      </c>
      <c r="L30" s="3">
        <v>25240</v>
      </c>
      <c r="M30" s="3">
        <v>25240</v>
      </c>
      <c r="N30" s="3">
        <v>100</v>
      </c>
      <c r="O30" s="3" t="str">
        <f>"مخازن قير اصفهان"</f>
        <v>مخازن قير اصفهان</v>
      </c>
      <c r="P30" s="3" t="str">
        <f>"فله"</f>
        <v>فله</v>
      </c>
      <c r="Q30" s="3">
        <v>0</v>
      </c>
      <c r="R30" s="3">
        <v>0</v>
      </c>
      <c r="S30" s="3">
        <v>0</v>
      </c>
      <c r="T30" s="3">
        <v>971800050</v>
      </c>
      <c r="U30" s="3" t="str">
        <f>"97/07/22"</f>
        <v>97/07/22</v>
      </c>
      <c r="V30" s="3" t="str">
        <f>"پورباقري ترابر (4914036)"</f>
        <v>پورباقري ترابر (4914036)</v>
      </c>
      <c r="W30" s="3" t="str">
        <f>"قرارگاه سازندگي خاتم الانبياء(ص )"</f>
        <v>قرارگاه سازندگي خاتم الانبياء(ص )</v>
      </c>
      <c r="X30" s="3" t="str">
        <f>"666/97"</f>
        <v>666/97</v>
      </c>
      <c r="Y30" s="3" t="str">
        <f>""</f>
        <v/>
      </c>
      <c r="Z30" s="3">
        <v>97047574</v>
      </c>
      <c r="AA30" s="3" t="str">
        <f>"حبيب لطفي"</f>
        <v>حبيب لطفي</v>
      </c>
      <c r="AB3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0" s="3">
        <v>18</v>
      </c>
      <c r="AD30" s="3" t="str">
        <f>"فروش داخلي تهران - وزارت راه - شرکت ساخت و توسعه راهها"</f>
        <v>فروش داخلي تهران - وزارت راه - شرکت ساخت و توسعه راهها</v>
      </c>
      <c r="AE30" s="3" t="str">
        <f>"فروش داخلي"</f>
        <v>فروش داخلي</v>
      </c>
      <c r="AG30" s="3" t="str">
        <f>"97/11/16"</f>
        <v>97/11/16</v>
      </c>
      <c r="AH30" s="3" t="str">
        <f>"12:55"</f>
        <v>12:55</v>
      </c>
      <c r="AI30" s="3" t="str">
        <f>"حواله فروش"</f>
        <v>حواله فروش</v>
      </c>
    </row>
    <row r="31" spans="1:35" x14ac:dyDescent="0.2">
      <c r="A31" s="3" t="str">
        <f>"97/11/18"</f>
        <v>97/11/18</v>
      </c>
      <c r="B31" s="3" t="str">
        <f>"11:42"</f>
        <v>11:42</v>
      </c>
      <c r="C31" s="3" t="str">
        <f>"12:08"</f>
        <v>12:08</v>
      </c>
      <c r="D31" s="3" t="str">
        <f>"قير  PG64-22"</f>
        <v>قير  PG64-22</v>
      </c>
      <c r="E31" s="3" t="str">
        <f>"895ع44 ايران43"</f>
        <v>895ع44 ايران43</v>
      </c>
      <c r="F31" s="3" t="str">
        <f>"منوچهر ربيعي"</f>
        <v>منوچهر ربيعي</v>
      </c>
      <c r="G31" s="3">
        <v>392083</v>
      </c>
      <c r="H31" s="3">
        <v>392088</v>
      </c>
      <c r="I31" s="3">
        <v>4546</v>
      </c>
      <c r="J31" s="3">
        <v>36530</v>
      </c>
      <c r="K31" s="3" t="str">
        <f>"9282343627"</f>
        <v>9282343627</v>
      </c>
      <c r="L31" s="3">
        <v>24100</v>
      </c>
      <c r="M31" s="3">
        <v>24100</v>
      </c>
      <c r="N31" s="3">
        <v>100</v>
      </c>
      <c r="O31" s="3" t="str">
        <f>"مخازن قير اصفهان"</f>
        <v>مخازن قير اصفهان</v>
      </c>
      <c r="P31" s="3" t="str">
        <f>"فله"</f>
        <v>فله</v>
      </c>
      <c r="Q31" s="3">
        <v>0</v>
      </c>
      <c r="R31" s="3">
        <v>0</v>
      </c>
      <c r="S31" s="3">
        <v>0</v>
      </c>
      <c r="T31" s="3">
        <v>971800050</v>
      </c>
      <c r="U31" s="3" t="str">
        <f>"97/07/22"</f>
        <v>97/07/22</v>
      </c>
      <c r="V31" s="3" t="str">
        <f>"پورباقري ترابر (4914036)"</f>
        <v>پورباقري ترابر (4914036)</v>
      </c>
      <c r="W31" s="3" t="str">
        <f>"قرارگاه سازندگي خاتم الانبياء(ص )"</f>
        <v>قرارگاه سازندگي خاتم الانبياء(ص )</v>
      </c>
      <c r="X31" s="3" t="str">
        <f>"670/97"</f>
        <v>670/97</v>
      </c>
      <c r="Y31" s="3" t="str">
        <f>""</f>
        <v/>
      </c>
      <c r="Z31" s="3">
        <v>97047858</v>
      </c>
      <c r="AA31" s="3" t="str">
        <f>"داريوش سليماني مهر"</f>
        <v>داريوش سليماني مهر</v>
      </c>
      <c r="AB3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1" s="3">
        <v>18</v>
      </c>
      <c r="AD31" s="3" t="str">
        <f>"فروش داخلي تهران - وزارت راه - شرکت ساخت و توسعه راهها"</f>
        <v>فروش داخلي تهران - وزارت راه - شرکت ساخت و توسعه راهها</v>
      </c>
      <c r="AE31" s="3" t="str">
        <f>"فروش داخلي"</f>
        <v>فروش داخلي</v>
      </c>
      <c r="AG31" s="3" t="str">
        <f>"97/11/18"</f>
        <v>97/11/18</v>
      </c>
      <c r="AH31" s="3" t="str">
        <f>"12:30"</f>
        <v>12:30</v>
      </c>
      <c r="AI31" s="3" t="str">
        <f>"حواله فروش"</f>
        <v>حواله فروش</v>
      </c>
    </row>
    <row r="32" spans="1:35" x14ac:dyDescent="0.2">
      <c r="A32" s="3" t="str">
        <f>"97/11/18"</f>
        <v>97/11/18</v>
      </c>
      <c r="B32" s="3" t="str">
        <f>"12:17"</f>
        <v>12:17</v>
      </c>
      <c r="C32" s="3" t="str">
        <f>"12:32"</f>
        <v>12:32</v>
      </c>
      <c r="D32" s="3" t="str">
        <f>"قير  PG64-22"</f>
        <v>قير  PG64-22</v>
      </c>
      <c r="E32" s="3" t="str">
        <f>"922ع61 ايران23"</f>
        <v>922ع61 ايران23</v>
      </c>
      <c r="F32" s="3" t="str">
        <f>"مصطفي صالحي"</f>
        <v>مصطفي صالحي</v>
      </c>
      <c r="G32" s="3">
        <v>392025</v>
      </c>
      <c r="H32" s="3">
        <v>392028</v>
      </c>
      <c r="I32" s="3">
        <v>4547</v>
      </c>
      <c r="J32" s="3">
        <v>36536</v>
      </c>
      <c r="K32" s="3" t="str">
        <f>"9385154648"</f>
        <v>9385154648</v>
      </c>
      <c r="L32" s="3">
        <v>22340</v>
      </c>
      <c r="M32" s="3">
        <v>22340</v>
      </c>
      <c r="N32" s="3">
        <v>100</v>
      </c>
      <c r="O32" s="3" t="str">
        <f>"مخازن قير اصفهان"</f>
        <v>مخازن قير اصفهان</v>
      </c>
      <c r="P32" s="3" t="str">
        <f>"فله"</f>
        <v>فله</v>
      </c>
      <c r="Q32" s="3">
        <v>0</v>
      </c>
      <c r="R32" s="3">
        <v>0</v>
      </c>
      <c r="S32" s="3">
        <v>0</v>
      </c>
      <c r="T32" s="3">
        <v>971800050</v>
      </c>
      <c r="U32" s="3" t="str">
        <f>"97/07/22"</f>
        <v>97/07/22</v>
      </c>
      <c r="V32" s="3" t="str">
        <f>"پورباقري ترابر (4914036)"</f>
        <v>پورباقري ترابر (4914036)</v>
      </c>
      <c r="W32" s="3" t="str">
        <f>"قرارگاه سازندگي خاتم الانبياء(ص )"</f>
        <v>قرارگاه سازندگي خاتم الانبياء(ص )</v>
      </c>
      <c r="X32" s="3" t="str">
        <f>"670/97"</f>
        <v>670/97</v>
      </c>
      <c r="Y32" s="3" t="str">
        <f>""</f>
        <v/>
      </c>
      <c r="Z32" s="3">
        <v>97047865</v>
      </c>
      <c r="AA32" s="3" t="str">
        <f>"داريوش سليماني مهر"</f>
        <v>داريوش سليماني مهر</v>
      </c>
      <c r="AB3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2" s="3">
        <v>18</v>
      </c>
      <c r="AD32" s="3" t="str">
        <f>"فروش داخلي تهران - وزارت راه - شرکت ساخت و توسعه راهها"</f>
        <v>فروش داخلي تهران - وزارت راه - شرکت ساخت و توسعه راهها</v>
      </c>
      <c r="AE32" s="3" t="str">
        <f>"فروش داخلي"</f>
        <v>فروش داخلي</v>
      </c>
      <c r="AG32" s="3" t="str">
        <f>"97/11/18"</f>
        <v>97/11/18</v>
      </c>
      <c r="AH32" s="3" t="str">
        <f>"12:58"</f>
        <v>12:58</v>
      </c>
      <c r="AI32" s="3" t="str">
        <f>"حواله فروش"</f>
        <v>حواله فروش</v>
      </c>
    </row>
    <row r="33" spans="1:35" x14ac:dyDescent="0.2">
      <c r="A33" s="3" t="str">
        <f>"97/11/18"</f>
        <v>97/11/18</v>
      </c>
      <c r="B33" s="3" t="str">
        <f>"22:21"</f>
        <v>22:21</v>
      </c>
      <c r="C33" s="3" t="str">
        <f>"22:35"</f>
        <v>22:35</v>
      </c>
      <c r="D33" s="3" t="str">
        <f>"قير  PG64-22"</f>
        <v>قير  PG64-22</v>
      </c>
      <c r="E33" s="3" t="str">
        <f>"559ع62 ايران23"</f>
        <v>559ع62 ايران23</v>
      </c>
      <c r="F33" s="3" t="str">
        <f>"مسعود منصوري"</f>
        <v>مسعود منصوري</v>
      </c>
      <c r="G33" s="3">
        <v>471744</v>
      </c>
      <c r="H33" s="3">
        <v>393800</v>
      </c>
      <c r="I33" s="3">
        <v>4550</v>
      </c>
      <c r="J33" s="3">
        <v>36590</v>
      </c>
      <c r="K33" s="3" t="str">
        <f>"9210086104"</f>
        <v>9210086104</v>
      </c>
      <c r="L33" s="3">
        <v>22120</v>
      </c>
      <c r="M33" s="3">
        <v>22120</v>
      </c>
      <c r="N33" s="3">
        <v>100</v>
      </c>
      <c r="O33" s="3" t="str">
        <f>"مخازن قير اصفهان"</f>
        <v>مخازن قير اصفهان</v>
      </c>
      <c r="P33" s="3" t="str">
        <f>"فله"</f>
        <v>فله</v>
      </c>
      <c r="Q33" s="3">
        <v>0</v>
      </c>
      <c r="R33" s="3">
        <v>0</v>
      </c>
      <c r="S33" s="3">
        <v>0</v>
      </c>
      <c r="T33" s="3">
        <v>971800050</v>
      </c>
      <c r="U33" s="3" t="str">
        <f>"97/07/22"</f>
        <v>97/07/22</v>
      </c>
      <c r="V33" s="3" t="str">
        <f>"پورباقري ترابر (4914036)"</f>
        <v>پورباقري ترابر (4914036)</v>
      </c>
      <c r="W33" s="3" t="str">
        <f>"قرارگاه سازندگي خاتم الانبياء(ص )"</f>
        <v>قرارگاه سازندگي خاتم الانبياء(ص )</v>
      </c>
      <c r="X33" s="3" t="str">
        <f>"672/97"</f>
        <v>672/97</v>
      </c>
      <c r="Y33" s="3" t="str">
        <f>""</f>
        <v/>
      </c>
      <c r="Z33" s="3">
        <v>97047921</v>
      </c>
      <c r="AA33" s="3" t="str">
        <f>"محمد جواد صابريان اردستاني"</f>
        <v>محمد جواد صابريان اردستاني</v>
      </c>
      <c r="AB3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3" s="3">
        <v>18</v>
      </c>
      <c r="AD33" s="3" t="str">
        <f>"فروش داخلي تهران - وزارت راه - شرکت ساخت و توسعه راهها"</f>
        <v>فروش داخلي تهران - وزارت راه - شرکت ساخت و توسعه راهها</v>
      </c>
      <c r="AE33" s="3" t="str">
        <f>"فروش داخلي"</f>
        <v>فروش داخلي</v>
      </c>
      <c r="AG33" s="3" t="str">
        <f>"97/11/18"</f>
        <v>97/11/18</v>
      </c>
      <c r="AH33" s="3" t="str">
        <f>"23:00"</f>
        <v>23:00</v>
      </c>
      <c r="AI33" s="3" t="str">
        <f>"حواله فروش"</f>
        <v>حواله فروش</v>
      </c>
    </row>
    <row r="34" spans="1:35" x14ac:dyDescent="0.2">
      <c r="A34" s="3" t="str">
        <f>"97/11/18"</f>
        <v>97/11/18</v>
      </c>
      <c r="B34" s="3" t="str">
        <f>"22:20"</f>
        <v>22:20</v>
      </c>
      <c r="C34" s="3" t="str">
        <f>"22:37"</f>
        <v>22:37</v>
      </c>
      <c r="D34" s="3" t="str">
        <f>"قير  PG64-22"</f>
        <v>قير  PG64-22</v>
      </c>
      <c r="E34" s="3" t="str">
        <f>"361ع89 ايران23"</f>
        <v>361ع89 ايران23</v>
      </c>
      <c r="F34" s="3" t="str">
        <f>"احمد شکاري"</f>
        <v>احمد شکاري</v>
      </c>
      <c r="G34" s="3">
        <v>471669</v>
      </c>
      <c r="H34" s="3">
        <v>471967</v>
      </c>
      <c r="I34" s="3">
        <v>4551</v>
      </c>
      <c r="J34" s="3">
        <v>36592</v>
      </c>
      <c r="K34" s="3" t="str">
        <f>"9509889100"</f>
        <v>9509889100</v>
      </c>
      <c r="L34" s="3">
        <v>24620</v>
      </c>
      <c r="M34" s="3">
        <v>24620</v>
      </c>
      <c r="N34" s="3">
        <v>100</v>
      </c>
      <c r="O34" s="3" t="str">
        <f>"مخازن قير اصفهان"</f>
        <v>مخازن قير اصفهان</v>
      </c>
      <c r="P34" s="3" t="str">
        <f>"فله"</f>
        <v>فله</v>
      </c>
      <c r="Q34" s="3">
        <v>0</v>
      </c>
      <c r="R34" s="3">
        <v>0</v>
      </c>
      <c r="S34" s="3">
        <v>0</v>
      </c>
      <c r="T34" s="3">
        <v>971800050</v>
      </c>
      <c r="U34" s="3" t="str">
        <f>"97/07/22"</f>
        <v>97/07/22</v>
      </c>
      <c r="V34" s="3" t="str">
        <f>"پورباقري ترابر (4914036)"</f>
        <v>پورباقري ترابر (4914036)</v>
      </c>
      <c r="W34" s="3" t="str">
        <f>"قرارگاه سازندگي خاتم الانبياء(ص )"</f>
        <v>قرارگاه سازندگي خاتم الانبياء(ص )</v>
      </c>
      <c r="X34" s="3" t="str">
        <f>"672/97"</f>
        <v>672/97</v>
      </c>
      <c r="Y34" s="3" t="str">
        <f>""</f>
        <v/>
      </c>
      <c r="Z34" s="3">
        <v>97047920</v>
      </c>
      <c r="AA34" s="3" t="str">
        <f>"محمد جواد صابريان اردستاني"</f>
        <v>محمد جواد صابريان اردستاني</v>
      </c>
      <c r="AB3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4" s="3">
        <v>18</v>
      </c>
      <c r="AD34" s="3" t="str">
        <f>"فروش داخلي تهران - وزارت راه - شرکت ساخت و توسعه راهها"</f>
        <v>فروش داخلي تهران - وزارت راه - شرکت ساخت و توسعه راهها</v>
      </c>
      <c r="AE34" s="3" t="str">
        <f>"فروش داخلي"</f>
        <v>فروش داخلي</v>
      </c>
      <c r="AG34" s="3" t="str">
        <f>"97/11/18"</f>
        <v>97/11/18</v>
      </c>
      <c r="AH34" s="3" t="str">
        <f>"23:06"</f>
        <v>23:06</v>
      </c>
      <c r="AI34" s="3" t="str">
        <f>"حواله فروش"</f>
        <v>حواله فروش</v>
      </c>
    </row>
    <row r="35" spans="1:35" x14ac:dyDescent="0.2">
      <c r="A35" s="3" t="str">
        <f>"97/11/19"</f>
        <v>97/11/19</v>
      </c>
      <c r="B35" s="3" t="str">
        <f>"12:55"</f>
        <v>12:55</v>
      </c>
      <c r="C35" s="3" t="str">
        <f>"15:39"</f>
        <v>15:39</v>
      </c>
      <c r="D35" s="3" t="str">
        <f>"قير  PG64-22"</f>
        <v>قير  PG64-22</v>
      </c>
      <c r="E35" s="3" t="str">
        <f>"695ع65 ايران23"</f>
        <v>695ع65 ايران23</v>
      </c>
      <c r="F35" s="3" t="str">
        <f>"محمدعلي حلاج"</f>
        <v>محمدعلي حلاج</v>
      </c>
      <c r="G35" s="3">
        <v>392449</v>
      </c>
      <c r="H35" s="3">
        <v>392432</v>
      </c>
      <c r="I35" s="3">
        <v>4552</v>
      </c>
      <c r="J35" s="3">
        <v>36680</v>
      </c>
      <c r="K35" s="3" t="str">
        <f>"9384722081"</f>
        <v>9384722081</v>
      </c>
      <c r="L35" s="3">
        <v>23480</v>
      </c>
      <c r="M35" s="3">
        <v>23480</v>
      </c>
      <c r="N35" s="3">
        <v>100</v>
      </c>
      <c r="O35" s="3" t="str">
        <f>"مخازن قير اصفهان"</f>
        <v>مخازن قير اصفهان</v>
      </c>
      <c r="P35" s="3" t="str">
        <f>"فله"</f>
        <v>فله</v>
      </c>
      <c r="Q35" s="3">
        <v>0</v>
      </c>
      <c r="R35" s="3">
        <v>0</v>
      </c>
      <c r="S35" s="3">
        <v>0</v>
      </c>
      <c r="T35" s="3">
        <v>971800050</v>
      </c>
      <c r="U35" s="3" t="str">
        <f>"97/07/22"</f>
        <v>97/07/22</v>
      </c>
      <c r="V35" s="3" t="str">
        <f>"پورباقري ترابر (4914036)"</f>
        <v>پورباقري ترابر (4914036)</v>
      </c>
      <c r="W35" s="3" t="str">
        <f>"قرارگاه سازندگي خاتم الانبياء(ص )"</f>
        <v>قرارگاه سازندگي خاتم الانبياء(ص )</v>
      </c>
      <c r="X35" s="3" t="str">
        <f>"672/97"</f>
        <v>672/97</v>
      </c>
      <c r="Y35" s="3" t="str">
        <f>""</f>
        <v/>
      </c>
      <c r="Z35" s="3">
        <v>97047999</v>
      </c>
      <c r="AA35" s="3" t="str">
        <f>"اميررضا کيهاني پور"</f>
        <v>اميررضا کيهاني پور</v>
      </c>
      <c r="AB3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5" s="3">
        <v>18</v>
      </c>
      <c r="AD35" s="3" t="str">
        <f>"فروش داخلي تهران - وزارت راه - شرکت ساخت و توسعه راهها"</f>
        <v>فروش داخلي تهران - وزارت راه - شرکت ساخت و توسعه راهها</v>
      </c>
      <c r="AE35" s="3" t="str">
        <f>"فروش داخلي"</f>
        <v>فروش داخلي</v>
      </c>
      <c r="AG35" s="3" t="str">
        <f>"97/11/19"</f>
        <v>97/11/19</v>
      </c>
      <c r="AH35" s="3" t="str">
        <f>"16:24"</f>
        <v>16:24</v>
      </c>
      <c r="AI35" s="3" t="str">
        <f>"حواله فروش"</f>
        <v>حواله فروش</v>
      </c>
    </row>
    <row r="36" spans="1:35" x14ac:dyDescent="0.2">
      <c r="A36" s="3" t="str">
        <f>"97/11/19"</f>
        <v>97/11/19</v>
      </c>
      <c r="B36" s="3" t="str">
        <f>"15:18"</f>
        <v>15:18</v>
      </c>
      <c r="C36" s="3" t="str">
        <f>"15:48"</f>
        <v>15:48</v>
      </c>
      <c r="D36" s="3" t="str">
        <f>"قير  PG64-22"</f>
        <v>قير  PG64-22</v>
      </c>
      <c r="E36" s="3" t="str">
        <f>"914ع62 ايران43"</f>
        <v>914ع62 ايران43</v>
      </c>
      <c r="F36" s="3" t="str">
        <f>"امين اسدي"</f>
        <v>امين اسدي</v>
      </c>
      <c r="G36" s="3">
        <v>412645</v>
      </c>
      <c r="H36" s="3">
        <v>412719</v>
      </c>
      <c r="I36" s="3">
        <v>4553</v>
      </c>
      <c r="J36" s="3">
        <v>36691</v>
      </c>
      <c r="K36" s="3" t="str">
        <f>"9701820333"</f>
        <v>9701820333</v>
      </c>
      <c r="L36" s="3">
        <v>24580</v>
      </c>
      <c r="M36" s="3">
        <v>24580</v>
      </c>
      <c r="N36" s="3">
        <v>100</v>
      </c>
      <c r="O36" s="3" t="str">
        <f>"مخازن قير اصفهان"</f>
        <v>مخازن قير اصفهان</v>
      </c>
      <c r="P36" s="3" t="str">
        <f>"فله"</f>
        <v>فله</v>
      </c>
      <c r="Q36" s="3">
        <v>0</v>
      </c>
      <c r="R36" s="3">
        <v>0</v>
      </c>
      <c r="S36" s="3">
        <v>0</v>
      </c>
      <c r="T36" s="3">
        <v>971800050</v>
      </c>
      <c r="U36" s="3" t="str">
        <f>"97/07/22"</f>
        <v>97/07/22</v>
      </c>
      <c r="V36" s="3" t="str">
        <f>"پورباقري ترابر (4914036)"</f>
        <v>پورباقري ترابر (4914036)</v>
      </c>
      <c r="W36" s="3" t="str">
        <f>"قرارگاه سازندگي خاتم الانبياء(ص )"</f>
        <v>قرارگاه سازندگي خاتم الانبياء(ص )</v>
      </c>
      <c r="X36" s="3" t="str">
        <f>"672/97"</f>
        <v>672/97</v>
      </c>
      <c r="Y36" s="3" t="str">
        <f>""</f>
        <v/>
      </c>
      <c r="Z36" s="3">
        <v>97047863</v>
      </c>
      <c r="AA36" s="3" t="str">
        <f>"حبيب لطفي"</f>
        <v>حبيب لطفي</v>
      </c>
      <c r="AB3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6" s="3">
        <v>18</v>
      </c>
      <c r="AD36" s="3" t="str">
        <f>"فروش داخلي تهران - وزارت راه - شرکت ساخت و توسعه راهها"</f>
        <v>فروش داخلي تهران - وزارت راه - شرکت ساخت و توسعه راهها</v>
      </c>
      <c r="AE36" s="3" t="str">
        <f>"فروش داخلي"</f>
        <v>فروش داخلي</v>
      </c>
      <c r="AG36" s="3" t="str">
        <f>"97/11/19"</f>
        <v>97/11/19</v>
      </c>
      <c r="AH36" s="3" t="str">
        <f>"16:45"</f>
        <v>16:45</v>
      </c>
      <c r="AI36" s="3" t="str">
        <f>"حواله فروش"</f>
        <v>حواله فروش</v>
      </c>
    </row>
    <row r="37" spans="1:35" x14ac:dyDescent="0.2">
      <c r="A37" s="3" t="str">
        <f>"97/11/19"</f>
        <v>97/11/19</v>
      </c>
      <c r="B37" s="3" t="str">
        <f>"15:42"</f>
        <v>15:42</v>
      </c>
      <c r="C37" s="3" t="str">
        <f>"15:55"</f>
        <v>15:55</v>
      </c>
      <c r="D37" s="3" t="str">
        <f>"قير  PG64-22"</f>
        <v>قير  PG64-22</v>
      </c>
      <c r="E37" s="3" t="str">
        <f>"426ع74 ايران43"</f>
        <v>426ع74 ايران43</v>
      </c>
      <c r="F37" s="3" t="str">
        <f>"هادي معصومي"</f>
        <v>هادي معصومي</v>
      </c>
      <c r="G37" s="3">
        <v>412899</v>
      </c>
      <c r="H37" s="3">
        <v>412778</v>
      </c>
      <c r="I37" s="3">
        <v>4555</v>
      </c>
      <c r="J37" s="3">
        <v>36702</v>
      </c>
      <c r="K37" s="3" t="str">
        <f>"9282786123"</f>
        <v>9282786123</v>
      </c>
      <c r="L37" s="3">
        <v>22500</v>
      </c>
      <c r="M37" s="3">
        <v>22500</v>
      </c>
      <c r="N37" s="3">
        <v>100</v>
      </c>
      <c r="O37" s="3" t="str">
        <f>"مخازن قير اصفهان"</f>
        <v>مخازن قير اصفهان</v>
      </c>
      <c r="P37" s="3" t="str">
        <f>"فله"</f>
        <v>فله</v>
      </c>
      <c r="Q37" s="3">
        <v>0</v>
      </c>
      <c r="R37" s="3">
        <v>0</v>
      </c>
      <c r="S37" s="3">
        <v>0</v>
      </c>
      <c r="T37" s="3">
        <v>971800050</v>
      </c>
      <c r="U37" s="3" t="str">
        <f>"97/07/22"</f>
        <v>97/07/22</v>
      </c>
      <c r="V37" s="3" t="str">
        <f>"پورباقري ترابر (4914036)"</f>
        <v>پورباقري ترابر (4914036)</v>
      </c>
      <c r="W37" s="3" t="str">
        <f>"قرارگاه سازندگي خاتم الانبياء(ص )"</f>
        <v>قرارگاه سازندگي خاتم الانبياء(ص )</v>
      </c>
      <c r="X37" s="3" t="str">
        <f>"672/97"</f>
        <v>672/97</v>
      </c>
      <c r="Y37" s="3" t="str">
        <f>""</f>
        <v/>
      </c>
      <c r="Z37" s="3">
        <v>97048022</v>
      </c>
      <c r="AA37" s="3" t="str">
        <f>"حبيب لطفي"</f>
        <v>حبيب لطفي</v>
      </c>
      <c r="AB3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7" s="3">
        <v>18</v>
      </c>
      <c r="AD37" s="3" t="str">
        <f>"فروش داخلي تهران - وزارت راه - شرکت ساخت و توسعه راهها"</f>
        <v>فروش داخلي تهران - وزارت راه - شرکت ساخت و توسعه راهها</v>
      </c>
      <c r="AE37" s="3" t="str">
        <f>"فروش داخلي"</f>
        <v>فروش داخلي</v>
      </c>
      <c r="AG37" s="3" t="str">
        <f>"97/11/19"</f>
        <v>97/11/19</v>
      </c>
      <c r="AH37" s="3" t="str">
        <f>"17:14"</f>
        <v>17:14</v>
      </c>
      <c r="AI37" s="3" t="str">
        <f>"حواله فروش"</f>
        <v>حواله فروش</v>
      </c>
    </row>
    <row r="38" spans="1:35" x14ac:dyDescent="0.2">
      <c r="A38" s="3" t="str">
        <f>"97/11/19"</f>
        <v>97/11/19</v>
      </c>
      <c r="B38" s="3" t="str">
        <f>"15:54"</f>
        <v>15:54</v>
      </c>
      <c r="C38" s="3" t="str">
        <f>"16:20"</f>
        <v>16:20</v>
      </c>
      <c r="D38" s="3" t="str">
        <f>"قير  PG64-22"</f>
        <v>قير  PG64-22</v>
      </c>
      <c r="E38" s="3" t="str">
        <f>"854ع71 ايران23"</f>
        <v>854ع71 ايران23</v>
      </c>
      <c r="F38" s="3" t="str">
        <f>"رسول هوشمندي"</f>
        <v>رسول هوشمندي</v>
      </c>
      <c r="I38" s="3">
        <v>4558</v>
      </c>
      <c r="J38" s="3">
        <v>36709</v>
      </c>
      <c r="K38" s="3" t="str">
        <f>"9506212493"</f>
        <v>9506212493</v>
      </c>
      <c r="L38" s="3">
        <v>24260</v>
      </c>
      <c r="M38" s="3">
        <v>24260</v>
      </c>
      <c r="N38" s="3">
        <v>100</v>
      </c>
      <c r="O38" s="3" t="str">
        <f>"مخازن قير اصفهان"</f>
        <v>مخازن قير اصفهان</v>
      </c>
      <c r="P38" s="3" t="str">
        <f>"فله"</f>
        <v>فله</v>
      </c>
      <c r="Q38" s="3">
        <v>0</v>
      </c>
      <c r="R38" s="3">
        <v>0</v>
      </c>
      <c r="S38" s="3">
        <v>0</v>
      </c>
      <c r="T38" s="3">
        <v>971800050</v>
      </c>
      <c r="U38" s="3" t="str">
        <f>"97/07/22"</f>
        <v>97/07/22</v>
      </c>
      <c r="V38" s="3" t="str">
        <f>"پورباقري ترابر (4914036)"</f>
        <v>پورباقري ترابر (4914036)</v>
      </c>
      <c r="W38" s="3" t="str">
        <f>"قرارگاه سازندگي خاتم الانبياء(ص )"</f>
        <v>قرارگاه سازندگي خاتم الانبياء(ص )</v>
      </c>
      <c r="X38" s="3" t="str">
        <f>"672/97"</f>
        <v>672/97</v>
      </c>
      <c r="Y38" s="3" t="str">
        <f>""</f>
        <v/>
      </c>
      <c r="Z38" s="3">
        <v>97048023</v>
      </c>
      <c r="AA38" s="3" t="str">
        <f>"حبيب لطفي"</f>
        <v>حبيب لطفي</v>
      </c>
      <c r="AB3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8" s="3">
        <v>18</v>
      </c>
      <c r="AD38" s="3" t="str">
        <f>"فروش داخلي تهران - وزارت راه - شرکت ساخت و توسعه راهها"</f>
        <v>فروش داخلي تهران - وزارت راه - شرکت ساخت و توسعه راهها</v>
      </c>
      <c r="AE38" s="3" t="str">
        <f>"فروش داخلي"</f>
        <v>فروش داخلي</v>
      </c>
      <c r="AG38" s="3" t="str">
        <f>"97/11/19"</f>
        <v>97/11/19</v>
      </c>
      <c r="AH38" s="3" t="str">
        <f>"17:32"</f>
        <v>17:32</v>
      </c>
      <c r="AI38" s="3" t="str">
        <f>"حواله فروش"</f>
        <v>حواله فروش</v>
      </c>
    </row>
    <row r="39" spans="1:35" x14ac:dyDescent="0.2">
      <c r="A39" s="3" t="str">
        <f>"97/11/20"</f>
        <v>97/11/20</v>
      </c>
      <c r="B39" s="3" t="str">
        <f>"22:16"</f>
        <v>22:16</v>
      </c>
      <c r="C39" s="3" t="str">
        <f>"22:32"</f>
        <v>22:32</v>
      </c>
      <c r="D39" s="3" t="str">
        <f>"قير  PG64-22"</f>
        <v>قير  PG64-22</v>
      </c>
      <c r="E39" s="3" t="str">
        <f>"922ع61 ايران23"</f>
        <v>922ع61 ايران23</v>
      </c>
      <c r="F39" s="3" t="str">
        <f>"مصطفي صالحي"</f>
        <v>مصطفي صالحي</v>
      </c>
      <c r="G39" s="3">
        <v>471648</v>
      </c>
      <c r="H39" s="3">
        <v>471644</v>
      </c>
      <c r="I39" s="3">
        <v>4562</v>
      </c>
      <c r="J39" s="3">
        <v>36720</v>
      </c>
      <c r="K39" s="3" t="str">
        <f>"9385154648"</f>
        <v>9385154648</v>
      </c>
      <c r="L39" s="3">
        <v>22600</v>
      </c>
      <c r="M39" s="3">
        <v>22600</v>
      </c>
      <c r="N39" s="3">
        <v>100</v>
      </c>
      <c r="O39" s="3" t="str">
        <f>"مخازن قير اصفهان"</f>
        <v>مخازن قير اصفهان</v>
      </c>
      <c r="P39" s="3" t="str">
        <f>"فله"</f>
        <v>فله</v>
      </c>
      <c r="Q39" s="3">
        <v>0</v>
      </c>
      <c r="R39" s="3">
        <v>0</v>
      </c>
      <c r="S39" s="3">
        <v>0</v>
      </c>
      <c r="T39" s="3">
        <v>971800050</v>
      </c>
      <c r="U39" s="3" t="str">
        <f>"97/07/22"</f>
        <v>97/07/22</v>
      </c>
      <c r="V39" s="3" t="str">
        <f>"پورباقري ترابر (4914036)"</f>
        <v>پورباقري ترابر (4914036)</v>
      </c>
      <c r="W39" s="3" t="str">
        <f>"قرارگاه سازندگي خاتم الانبياء(ص )"</f>
        <v>قرارگاه سازندگي خاتم الانبياء(ص )</v>
      </c>
      <c r="X39" s="3" t="str">
        <f>"671/97"</f>
        <v>671/97</v>
      </c>
      <c r="Y39" s="3" t="str">
        <f>""</f>
        <v/>
      </c>
      <c r="Z39" s="3">
        <v>97048055</v>
      </c>
      <c r="AA39" s="3" t="str">
        <f>"محمد جواد صابريان اردستاني"</f>
        <v>محمد جواد صابريان اردستاني</v>
      </c>
      <c r="AB3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39" s="3">
        <v>18</v>
      </c>
      <c r="AD39" s="3" t="str">
        <f>"فروش داخلي تهران - وزارت راه - شرکت ساخت و توسعه راهها"</f>
        <v>فروش داخلي تهران - وزارت راه - شرکت ساخت و توسعه راهها</v>
      </c>
      <c r="AE39" s="3" t="str">
        <f>"فروش داخلي"</f>
        <v>فروش داخلي</v>
      </c>
      <c r="AG39" s="3" t="str">
        <f>"97/11/19"</f>
        <v>97/11/19</v>
      </c>
      <c r="AH39" s="3" t="str">
        <f>"00:09"</f>
        <v>00:09</v>
      </c>
      <c r="AI39" s="3" t="str">
        <f>"حواله فروش"</f>
        <v>حواله فروش</v>
      </c>
    </row>
    <row r="40" spans="1:35" x14ac:dyDescent="0.2">
      <c r="A40" s="3" t="str">
        <f>"97/11/20"</f>
        <v>97/11/20</v>
      </c>
      <c r="B40" s="3" t="str">
        <f>"11:39"</f>
        <v>11:39</v>
      </c>
      <c r="C40" s="3" t="str">
        <f>"15:37"</f>
        <v>15:37</v>
      </c>
      <c r="D40" s="3" t="str">
        <f>"قير  PG64-22"</f>
        <v>قير  PG64-22</v>
      </c>
      <c r="E40" s="3" t="str">
        <f>"253ع57 ايران13"</f>
        <v>253ع57 ايران13</v>
      </c>
      <c r="F40" s="3" t="str">
        <f>"رضا شيرزادي"</f>
        <v>رضا شيرزادي</v>
      </c>
      <c r="G40" s="3">
        <v>392521</v>
      </c>
      <c r="H40" s="3">
        <v>392526</v>
      </c>
      <c r="I40" s="3">
        <v>4566</v>
      </c>
      <c r="J40" s="3">
        <v>36832</v>
      </c>
      <c r="K40" s="3" t="str">
        <f>"963605869"</f>
        <v>963605869</v>
      </c>
      <c r="L40" s="3">
        <v>22800</v>
      </c>
      <c r="M40" s="3">
        <v>22800</v>
      </c>
      <c r="N40" s="3">
        <v>100</v>
      </c>
      <c r="O40" s="3" t="str">
        <f>"مخازن قير اصفهان"</f>
        <v>مخازن قير اصفهان</v>
      </c>
      <c r="P40" s="3" t="str">
        <f>"فله"</f>
        <v>فله</v>
      </c>
      <c r="Q40" s="3">
        <v>0</v>
      </c>
      <c r="R40" s="3">
        <v>0</v>
      </c>
      <c r="S40" s="3">
        <v>0</v>
      </c>
      <c r="T40" s="3">
        <v>971800050</v>
      </c>
      <c r="U40" s="3" t="str">
        <f>"97/07/22"</f>
        <v>97/07/22</v>
      </c>
      <c r="V40" s="3" t="str">
        <f>"پورباقري ترابر (4914036)"</f>
        <v>پورباقري ترابر (4914036)</v>
      </c>
      <c r="W40" s="3" t="str">
        <f>"قرارگاه سازندگي خاتم الانبياء(ص )"</f>
        <v>قرارگاه سازندگي خاتم الانبياء(ص )</v>
      </c>
      <c r="X40" s="3" t="str">
        <f>"674/97"</f>
        <v>674/97</v>
      </c>
      <c r="Y40" s="3" t="str">
        <f>""</f>
        <v/>
      </c>
      <c r="Z40" s="3">
        <v>97048146</v>
      </c>
      <c r="AA40" s="3" t="str">
        <f>"حبيب لطفي"</f>
        <v>حبيب لطفي</v>
      </c>
      <c r="AB4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0" s="3">
        <v>18</v>
      </c>
      <c r="AD40" s="3" t="str">
        <f>"فروش داخلي تهران - وزارت راه - شرکت ساخت و توسعه راهها"</f>
        <v>فروش داخلي تهران - وزارت راه - شرکت ساخت و توسعه راهها</v>
      </c>
      <c r="AE40" s="3" t="str">
        <f>"فروش داخلي"</f>
        <v>فروش داخلي</v>
      </c>
      <c r="AG40" s="3" t="str">
        <f>"97/11/20"</f>
        <v>97/11/20</v>
      </c>
      <c r="AH40" s="3" t="str">
        <f>"15:59"</f>
        <v>15:59</v>
      </c>
      <c r="AI40" s="3" t="str">
        <f>"حواله فروش"</f>
        <v>حواله فروش</v>
      </c>
    </row>
    <row r="41" spans="1:35" x14ac:dyDescent="0.2">
      <c r="A41" s="3" t="str">
        <f>"97/11/20"</f>
        <v>97/11/20</v>
      </c>
      <c r="B41" s="3" t="str">
        <f>"15:51"</f>
        <v>15:51</v>
      </c>
      <c r="C41" s="3" t="str">
        <f>"16:05"</f>
        <v>16:05</v>
      </c>
      <c r="D41" s="3" t="str">
        <f>"قير  PG64-22"</f>
        <v>قير  PG64-22</v>
      </c>
      <c r="E41" s="3" t="str">
        <f>"231ع72 ايران13"</f>
        <v>231ع72 ايران13</v>
      </c>
      <c r="F41" s="3" t="str">
        <f>"مجتبي ايزدي"</f>
        <v>مجتبي ايزدي</v>
      </c>
      <c r="G41" s="3">
        <v>412795</v>
      </c>
      <c r="H41" s="3">
        <v>412632</v>
      </c>
      <c r="I41" s="3">
        <v>4567</v>
      </c>
      <c r="J41" s="3">
        <v>36837</v>
      </c>
      <c r="K41" s="3" t="str">
        <f>"9110218833"</f>
        <v>9110218833</v>
      </c>
      <c r="L41" s="3">
        <v>23520</v>
      </c>
      <c r="M41" s="3">
        <v>23520</v>
      </c>
      <c r="N41" s="3">
        <v>100</v>
      </c>
      <c r="O41" s="3" t="str">
        <f>"مخازن قير اصفهان"</f>
        <v>مخازن قير اصفهان</v>
      </c>
      <c r="P41" s="3" t="str">
        <f>"فله"</f>
        <v>فله</v>
      </c>
      <c r="Q41" s="3">
        <v>0</v>
      </c>
      <c r="R41" s="3">
        <v>0</v>
      </c>
      <c r="S41" s="3">
        <v>0</v>
      </c>
      <c r="T41" s="3">
        <v>971800050</v>
      </c>
      <c r="U41" s="3" t="str">
        <f>"97/07/22"</f>
        <v>97/07/22</v>
      </c>
      <c r="V41" s="3" t="str">
        <f>"پورباقري ترابر (4914036)"</f>
        <v>پورباقري ترابر (4914036)</v>
      </c>
      <c r="W41" s="3" t="str">
        <f>"قرارگاه سازندگي خاتم الانبياء(ص )"</f>
        <v>قرارگاه سازندگي خاتم الانبياء(ص )</v>
      </c>
      <c r="X41" s="3" t="str">
        <f>"674/97"</f>
        <v>674/97</v>
      </c>
      <c r="Y41" s="3" t="str">
        <f>""</f>
        <v/>
      </c>
      <c r="Z41" s="3">
        <v>97048162</v>
      </c>
      <c r="AA41" s="3" t="str">
        <f>"حبيب لطفي"</f>
        <v>حبيب لطفي</v>
      </c>
      <c r="AB4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1" s="3">
        <v>18</v>
      </c>
      <c r="AD41" s="3" t="str">
        <f>"فروش داخلي تهران - وزارت راه - شرکت ساخت و توسعه راهها"</f>
        <v>فروش داخلي تهران - وزارت راه - شرکت ساخت و توسعه راهها</v>
      </c>
      <c r="AE41" s="3" t="str">
        <f>"فروش داخلي"</f>
        <v>فروش داخلي</v>
      </c>
      <c r="AG41" s="3" t="str">
        <f>"97/11/20"</f>
        <v>97/11/20</v>
      </c>
      <c r="AH41" s="3" t="str">
        <f>"16:26"</f>
        <v>16:26</v>
      </c>
      <c r="AI41" s="3" t="str">
        <f>"حواله فروش"</f>
        <v>حواله فروش</v>
      </c>
    </row>
    <row r="42" spans="1:35" x14ac:dyDescent="0.2">
      <c r="A42" s="3" t="str">
        <f>"97/11/20"</f>
        <v>97/11/20</v>
      </c>
      <c r="B42" s="3" t="str">
        <f>"11:43"</f>
        <v>11:43</v>
      </c>
      <c r="C42" s="3" t="str">
        <f>"16:06"</f>
        <v>16:06</v>
      </c>
      <c r="D42" s="3" t="str">
        <f>"قير  PG64-22"</f>
        <v>قير  PG64-22</v>
      </c>
      <c r="E42" s="3" t="str">
        <f>"959ع23 ايران13"</f>
        <v>959ع23 ايران13</v>
      </c>
      <c r="F42" s="3" t="str">
        <f>"حامد توکلي"</f>
        <v>حامد توکلي</v>
      </c>
      <c r="G42" s="3">
        <v>392523</v>
      </c>
      <c r="H42" s="3">
        <v>392522</v>
      </c>
      <c r="I42" s="3">
        <v>4568</v>
      </c>
      <c r="J42" s="3">
        <v>36838</v>
      </c>
      <c r="K42" s="3" t="str">
        <f>"9607149161"</f>
        <v>9607149161</v>
      </c>
      <c r="L42" s="3">
        <v>23660</v>
      </c>
      <c r="M42" s="3">
        <v>23660</v>
      </c>
      <c r="N42" s="3">
        <v>100</v>
      </c>
      <c r="O42" s="3" t="str">
        <f>"مخازن قير اصفهان"</f>
        <v>مخازن قير اصفهان</v>
      </c>
      <c r="P42" s="3" t="str">
        <f>"فله"</f>
        <v>فله</v>
      </c>
      <c r="Q42" s="3">
        <v>0</v>
      </c>
      <c r="R42" s="3">
        <v>0</v>
      </c>
      <c r="S42" s="3">
        <v>0</v>
      </c>
      <c r="T42" s="3">
        <v>971800050</v>
      </c>
      <c r="U42" s="3" t="str">
        <f>"97/07/22"</f>
        <v>97/07/22</v>
      </c>
      <c r="V42" s="3" t="str">
        <f>"پورباقري ترابر (4914036)"</f>
        <v>پورباقري ترابر (4914036)</v>
      </c>
      <c r="W42" s="3" t="str">
        <f>"قرارگاه سازندگي خاتم الانبياء(ص )"</f>
        <v>قرارگاه سازندگي خاتم الانبياء(ص )</v>
      </c>
      <c r="X42" s="3" t="str">
        <f>"674/97"</f>
        <v>674/97</v>
      </c>
      <c r="Y42" s="3" t="str">
        <f>""</f>
        <v/>
      </c>
      <c r="Z42" s="3">
        <v>97048147</v>
      </c>
      <c r="AA42" s="3" t="str">
        <f>"حبيب لطفي"</f>
        <v>حبيب لطفي</v>
      </c>
      <c r="AB4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2" s="3">
        <v>18</v>
      </c>
      <c r="AD42" s="3" t="str">
        <f>"فروش داخلي تهران - وزارت راه - شرکت ساخت و توسعه راهها"</f>
        <v>فروش داخلي تهران - وزارت راه - شرکت ساخت و توسعه راهها</v>
      </c>
      <c r="AE42" s="3" t="str">
        <f>"فروش داخلي"</f>
        <v>فروش داخلي</v>
      </c>
      <c r="AG42" s="3" t="str">
        <f>"97/11/20"</f>
        <v>97/11/20</v>
      </c>
      <c r="AH42" s="3" t="str">
        <f>"16:32"</f>
        <v>16:32</v>
      </c>
      <c r="AI42" s="3" t="str">
        <f>"حواله فروش"</f>
        <v>حواله فروش</v>
      </c>
    </row>
    <row r="43" spans="1:35" x14ac:dyDescent="0.2">
      <c r="A43" s="3" t="str">
        <f>"97/11/20"</f>
        <v>97/11/20</v>
      </c>
      <c r="B43" s="3" t="str">
        <f>"18:09"</f>
        <v>18:09</v>
      </c>
      <c r="C43" s="3" t="str">
        <f>"18:25"</f>
        <v>18:25</v>
      </c>
      <c r="D43" s="3" t="str">
        <f>"قير  PG64-22"</f>
        <v>قير  PG64-22</v>
      </c>
      <c r="E43" s="3" t="str">
        <f>"854ع71 ايران23"</f>
        <v>854ع71 ايران23</v>
      </c>
      <c r="F43" s="3" t="str">
        <f>"مجتبي هوشمندجزي"</f>
        <v>مجتبي هوشمندجزي</v>
      </c>
      <c r="G43" s="3">
        <v>412794</v>
      </c>
      <c r="H43" s="3">
        <v>412771</v>
      </c>
      <c r="I43" s="3">
        <v>4569</v>
      </c>
      <c r="J43" s="3">
        <v>36841</v>
      </c>
      <c r="K43" s="3" t="str">
        <f>"9700869029"</f>
        <v>9700869029</v>
      </c>
      <c r="L43" s="3">
        <v>23740</v>
      </c>
      <c r="M43" s="3">
        <v>23740</v>
      </c>
      <c r="N43" s="3">
        <v>100</v>
      </c>
      <c r="O43" s="3" t="str">
        <f>"مخازن قير اصفهان"</f>
        <v>مخازن قير اصفهان</v>
      </c>
      <c r="P43" s="3" t="str">
        <f>"فله"</f>
        <v>فله</v>
      </c>
      <c r="Q43" s="3">
        <v>0</v>
      </c>
      <c r="R43" s="3">
        <v>0</v>
      </c>
      <c r="S43" s="3">
        <v>0</v>
      </c>
      <c r="T43" s="3">
        <v>971800050</v>
      </c>
      <c r="U43" s="3" t="str">
        <f>"97/07/22"</f>
        <v>97/07/22</v>
      </c>
      <c r="V43" s="3" t="str">
        <f>"پورباقري ترابر (4914036)"</f>
        <v>پورباقري ترابر (4914036)</v>
      </c>
      <c r="W43" s="3" t="str">
        <f>"قرارگاه سازندگي خاتم الانبياء(ص )"</f>
        <v>قرارگاه سازندگي خاتم الانبياء(ص )</v>
      </c>
      <c r="X43" s="3" t="str">
        <f>"674/97"</f>
        <v>674/97</v>
      </c>
      <c r="Y43" s="3" t="str">
        <f>""</f>
        <v/>
      </c>
      <c r="Z43" s="3">
        <v>97048167</v>
      </c>
      <c r="AA43" s="3" t="str">
        <f>"حبيب لطفي"</f>
        <v>حبيب لطفي</v>
      </c>
      <c r="AB4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3" s="3">
        <v>18</v>
      </c>
      <c r="AD43" s="3" t="str">
        <f>"فروش داخلي تهران - وزارت راه - شرکت ساخت و توسعه راهها"</f>
        <v>فروش داخلي تهران - وزارت راه - شرکت ساخت و توسعه راهها</v>
      </c>
      <c r="AE43" s="3" t="str">
        <f>"فروش داخلي"</f>
        <v>فروش داخلي</v>
      </c>
      <c r="AG43" s="3" t="str">
        <f>"97/11/20"</f>
        <v>97/11/20</v>
      </c>
      <c r="AH43" s="3" t="str">
        <f>"18:50"</f>
        <v>18:50</v>
      </c>
      <c r="AI43" s="3" t="str">
        <f>"حواله فروش"</f>
        <v>حواله فروش</v>
      </c>
    </row>
    <row r="44" spans="1:35" x14ac:dyDescent="0.2">
      <c r="A44" s="3" t="str">
        <f>"97/11/21"</f>
        <v>97/11/21</v>
      </c>
      <c r="B44" s="3" t="str">
        <f>"10:47"</f>
        <v>10:47</v>
      </c>
      <c r="C44" s="3" t="str">
        <f>"11:10"</f>
        <v>11:10</v>
      </c>
      <c r="D44" s="3" t="str">
        <f>"قير  PG64-22"</f>
        <v>قير  PG64-22</v>
      </c>
      <c r="E44" s="3" t="str">
        <f>"495ع81 ايران13"</f>
        <v>495ع81 ايران13</v>
      </c>
      <c r="F44" s="3" t="str">
        <f>"کمال اسماعيلي"</f>
        <v>کمال اسماعيلي</v>
      </c>
      <c r="G44" s="3">
        <v>473260</v>
      </c>
      <c r="H44" s="3">
        <v>473436</v>
      </c>
      <c r="I44" s="3">
        <v>4571</v>
      </c>
      <c r="J44" s="3">
        <v>36909</v>
      </c>
      <c r="K44" s="3" t="str">
        <f>"9509524659"</f>
        <v>9509524659</v>
      </c>
      <c r="L44" s="3">
        <v>23920</v>
      </c>
      <c r="M44" s="3">
        <v>23920</v>
      </c>
      <c r="N44" s="3">
        <v>100</v>
      </c>
      <c r="O44" s="3" t="str">
        <f>"مخازن قير اصفهان"</f>
        <v>مخازن قير اصفهان</v>
      </c>
      <c r="P44" s="3" t="str">
        <f>"فله"</f>
        <v>فله</v>
      </c>
      <c r="Q44" s="3">
        <v>0</v>
      </c>
      <c r="R44" s="3">
        <v>0</v>
      </c>
      <c r="S44" s="3">
        <v>0</v>
      </c>
      <c r="T44" s="3">
        <v>971800050</v>
      </c>
      <c r="U44" s="3" t="str">
        <f>"97/07/22"</f>
        <v>97/07/22</v>
      </c>
      <c r="V44" s="3" t="str">
        <f>"پورباقري ترابر (4914036)"</f>
        <v>پورباقري ترابر (4914036)</v>
      </c>
      <c r="W44" s="3" t="str">
        <f>"قرارگاه سازندگي خاتم الانبياء(ص )"</f>
        <v>قرارگاه سازندگي خاتم الانبياء(ص )</v>
      </c>
      <c r="X44" s="3" t="str">
        <f>"676/97"</f>
        <v>676/97</v>
      </c>
      <c r="Y44" s="3" t="str">
        <f>""</f>
        <v/>
      </c>
      <c r="Z44" s="3">
        <v>97048254</v>
      </c>
      <c r="AA44" s="3" t="str">
        <f>"امير حسين مهرابي حبيب آبادي"</f>
        <v>امير حسين مهرابي حبيب آبادي</v>
      </c>
      <c r="AB4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4" s="3">
        <v>18</v>
      </c>
      <c r="AD44" s="3" t="str">
        <f>"فروش داخلي تهران - وزارت راه - شرکت ساخت و توسعه راهها"</f>
        <v>فروش داخلي تهران - وزارت راه - شرکت ساخت و توسعه راهها</v>
      </c>
      <c r="AE44" s="3" t="str">
        <f>"فروش داخلي"</f>
        <v>فروش داخلي</v>
      </c>
      <c r="AG44" s="3" t="str">
        <f>"97/11/21"</f>
        <v>97/11/21</v>
      </c>
      <c r="AH44" s="3" t="str">
        <f>"12:15"</f>
        <v>12:15</v>
      </c>
      <c r="AI44" s="3" t="str">
        <f>"حواله فروش"</f>
        <v>حواله فروش</v>
      </c>
    </row>
    <row r="45" spans="1:35" x14ac:dyDescent="0.2">
      <c r="A45" s="3" t="str">
        <f>"97/11/21"</f>
        <v>97/11/21</v>
      </c>
      <c r="B45" s="3" t="str">
        <f>"10:42"</f>
        <v>10:42</v>
      </c>
      <c r="C45" s="3" t="str">
        <f>"11:34"</f>
        <v>11:34</v>
      </c>
      <c r="D45" s="3" t="str">
        <f>"قير  PG64-22"</f>
        <v>قير  PG64-22</v>
      </c>
      <c r="E45" s="3" t="str">
        <f>"195ع29 ايران44"</f>
        <v>195ع29 ايران44</v>
      </c>
      <c r="F45" s="3" t="str">
        <f>"عليرضا اسماعيل حسين آبادي"</f>
        <v>عليرضا اسماعيل حسين آبادي</v>
      </c>
      <c r="G45" s="3">
        <v>473280</v>
      </c>
      <c r="H45" s="3">
        <v>473718</v>
      </c>
      <c r="I45" s="3">
        <v>4572</v>
      </c>
      <c r="J45" s="3">
        <v>36921</v>
      </c>
      <c r="K45" s="3" t="str">
        <f>"9405154993"</f>
        <v>9405154993</v>
      </c>
      <c r="L45" s="3">
        <v>24860</v>
      </c>
      <c r="M45" s="3">
        <v>24860</v>
      </c>
      <c r="N45" s="3">
        <v>100</v>
      </c>
      <c r="O45" s="3" t="str">
        <f>"مخازن قير اصفهان"</f>
        <v>مخازن قير اصفهان</v>
      </c>
      <c r="P45" s="3" t="str">
        <f>"فله"</f>
        <v>فله</v>
      </c>
      <c r="Q45" s="3">
        <v>0</v>
      </c>
      <c r="R45" s="3">
        <v>0</v>
      </c>
      <c r="S45" s="3">
        <v>0</v>
      </c>
      <c r="T45" s="3">
        <v>971800050</v>
      </c>
      <c r="U45" s="3" t="str">
        <f>"97/07/22"</f>
        <v>97/07/22</v>
      </c>
      <c r="V45" s="3" t="str">
        <f>"پورباقري ترابر (4914036)"</f>
        <v>پورباقري ترابر (4914036)</v>
      </c>
      <c r="W45" s="3" t="str">
        <f>"قرارگاه سازندگي خاتم الانبياء(ص )"</f>
        <v>قرارگاه سازندگي خاتم الانبياء(ص )</v>
      </c>
      <c r="X45" s="3" t="str">
        <f>"676/97"</f>
        <v>676/97</v>
      </c>
      <c r="Y45" s="3" t="str">
        <f>""</f>
        <v/>
      </c>
      <c r="Z45" s="3">
        <v>97048249</v>
      </c>
      <c r="AA45" s="3" t="str">
        <f>"امير حسين مهرابي حبيب آبادي"</f>
        <v>امير حسين مهرابي حبيب آبادي</v>
      </c>
      <c r="AB4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5" s="3">
        <v>18</v>
      </c>
      <c r="AD45" s="3" t="str">
        <f>"فروش داخلي تهران - وزارت راه - شرکت ساخت و توسعه راهها"</f>
        <v>فروش داخلي تهران - وزارت راه - شرکت ساخت و توسعه راهها</v>
      </c>
      <c r="AE45" s="3" t="str">
        <f>"فروش داخلي"</f>
        <v>فروش داخلي</v>
      </c>
      <c r="AG45" s="3" t="str">
        <f>"97/11/21"</f>
        <v>97/11/21</v>
      </c>
      <c r="AH45" s="3" t="str">
        <f>"12:55"</f>
        <v>12:55</v>
      </c>
      <c r="AI45" s="3" t="str">
        <f>"حواله فروش"</f>
        <v>حواله فروش</v>
      </c>
    </row>
    <row r="46" spans="1:35" x14ac:dyDescent="0.2">
      <c r="A46" s="3" t="str">
        <f>"97/11/21"</f>
        <v>97/11/21</v>
      </c>
      <c r="B46" s="3" t="str">
        <f>"13:04"</f>
        <v>13:04</v>
      </c>
      <c r="C46" s="3" t="str">
        <f>"13:17"</f>
        <v>13:17</v>
      </c>
      <c r="D46" s="3" t="str">
        <f>"قير  PG64-22"</f>
        <v>قير  PG64-22</v>
      </c>
      <c r="E46" s="3" t="str">
        <f>"788ع49 ايران43"</f>
        <v>788ع49 ايران43</v>
      </c>
      <c r="F46" s="3" t="str">
        <f>"سيدرضا دهقانيان"</f>
        <v>سيدرضا دهقانيان</v>
      </c>
      <c r="G46" s="3">
        <v>473404</v>
      </c>
      <c r="H46" s="3">
        <v>473406</v>
      </c>
      <c r="I46" s="3">
        <v>4574</v>
      </c>
      <c r="J46" s="3">
        <v>36942</v>
      </c>
      <c r="K46" s="3" t="str">
        <f>"9606779420"</f>
        <v>9606779420</v>
      </c>
      <c r="L46" s="3">
        <v>24900</v>
      </c>
      <c r="M46" s="3">
        <v>24900</v>
      </c>
      <c r="N46" s="3">
        <v>100</v>
      </c>
      <c r="O46" s="3" t="str">
        <f>"مخازن قير اصفهان"</f>
        <v>مخازن قير اصفهان</v>
      </c>
      <c r="P46" s="3" t="str">
        <f>"فله"</f>
        <v>فله</v>
      </c>
      <c r="Q46" s="3">
        <v>0</v>
      </c>
      <c r="R46" s="3">
        <v>0</v>
      </c>
      <c r="S46" s="3">
        <v>0</v>
      </c>
      <c r="T46" s="3">
        <v>971800050</v>
      </c>
      <c r="U46" s="3" t="str">
        <f>"97/07/22"</f>
        <v>97/07/22</v>
      </c>
      <c r="V46" s="3" t="str">
        <f>"پورباقري ترابر (4914036)"</f>
        <v>پورباقري ترابر (4914036)</v>
      </c>
      <c r="W46" s="3" t="str">
        <f>"قرارگاه سازندگي خاتم الانبياء(ص )"</f>
        <v>قرارگاه سازندگي خاتم الانبياء(ص )</v>
      </c>
      <c r="X46" s="3" t="str">
        <f>"676/97"</f>
        <v>676/97</v>
      </c>
      <c r="Y46" s="3" t="str">
        <f>""</f>
        <v/>
      </c>
      <c r="Z46" s="3">
        <v>97048294</v>
      </c>
      <c r="AA46" s="3" t="str">
        <f>"امير حسين مهرابي حبيب آبادي"</f>
        <v>امير حسين مهرابي حبيب آبادي</v>
      </c>
      <c r="AB4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6" s="3">
        <v>18</v>
      </c>
      <c r="AD46" s="3" t="str">
        <f>"فروش داخلي تهران - وزارت راه - شرکت ساخت و توسعه راهها"</f>
        <v>فروش داخلي تهران - وزارت راه - شرکت ساخت و توسعه راهها</v>
      </c>
      <c r="AE46" s="3" t="str">
        <f>"فروش داخلي"</f>
        <v>فروش داخلي</v>
      </c>
      <c r="AG46" s="3" t="str">
        <f>"97/11/21"</f>
        <v>97/11/21</v>
      </c>
      <c r="AH46" s="3" t="str">
        <f>"13:52"</f>
        <v>13:52</v>
      </c>
      <c r="AI46" s="3" t="str">
        <f>"حواله فروش"</f>
        <v>حواله فروش</v>
      </c>
    </row>
    <row r="47" spans="1:35" x14ac:dyDescent="0.2">
      <c r="A47" s="3" t="str">
        <f>"97/11/21"</f>
        <v>97/11/21</v>
      </c>
      <c r="B47" s="3" t="str">
        <f>"15:57"</f>
        <v>15:57</v>
      </c>
      <c r="C47" s="3" t="str">
        <f>"16:13"</f>
        <v>16:13</v>
      </c>
      <c r="D47" s="3" t="str">
        <f>"قير  PG64-22"</f>
        <v>قير  PG64-22</v>
      </c>
      <c r="E47" s="3" t="str">
        <f>"824ع26 ايران43"</f>
        <v>824ع26 ايران43</v>
      </c>
      <c r="F47" s="3" t="str">
        <f>"سيدروح اله دهقانيان"</f>
        <v>سيدروح اله دهقانيان</v>
      </c>
      <c r="G47" s="3">
        <v>392676</v>
      </c>
      <c r="H47" s="3">
        <v>392671</v>
      </c>
      <c r="I47" s="3">
        <v>4575</v>
      </c>
      <c r="J47" s="3">
        <v>36962</v>
      </c>
      <c r="K47" s="3" t="str">
        <f>"9382744066"</f>
        <v>9382744066</v>
      </c>
      <c r="L47" s="3">
        <v>24320</v>
      </c>
      <c r="M47" s="3">
        <v>24320</v>
      </c>
      <c r="N47" s="3">
        <v>100</v>
      </c>
      <c r="O47" s="3" t="str">
        <f>"مخازن قير اصفهان"</f>
        <v>مخازن قير اصفهان</v>
      </c>
      <c r="P47" s="3" t="str">
        <f>"فله"</f>
        <v>فله</v>
      </c>
      <c r="Q47" s="3">
        <v>0</v>
      </c>
      <c r="R47" s="3">
        <v>0</v>
      </c>
      <c r="S47" s="3">
        <v>0</v>
      </c>
      <c r="T47" s="3">
        <v>971800050</v>
      </c>
      <c r="U47" s="3" t="str">
        <f>"97/07/22"</f>
        <v>97/07/22</v>
      </c>
      <c r="V47" s="3" t="str">
        <f>"پورباقري ترابر (4914036)"</f>
        <v>پورباقري ترابر (4914036)</v>
      </c>
      <c r="W47" s="3" t="str">
        <f>"قرارگاه سازندگي خاتم الانبياء(ص )"</f>
        <v>قرارگاه سازندگي خاتم الانبياء(ص )</v>
      </c>
      <c r="X47" s="3" t="str">
        <f>"676/97"</f>
        <v>676/97</v>
      </c>
      <c r="Y47" s="3" t="str">
        <f>""</f>
        <v/>
      </c>
      <c r="Z47" s="3">
        <v>97048295</v>
      </c>
      <c r="AA47" s="3" t="str">
        <f>"سيد علي احمدي"</f>
        <v>سيد علي احمدي</v>
      </c>
      <c r="AB4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7" s="3">
        <v>18</v>
      </c>
      <c r="AD47" s="3" t="str">
        <f>"فروش داخلي تهران - وزارت راه - شرکت ساخت و توسعه راهها"</f>
        <v>فروش داخلي تهران - وزارت راه - شرکت ساخت و توسعه راهها</v>
      </c>
      <c r="AE47" s="3" t="str">
        <f>"فروش داخلي"</f>
        <v>فروش داخلي</v>
      </c>
      <c r="AG47" s="3" t="str">
        <f>"97/11/21"</f>
        <v>97/11/21</v>
      </c>
      <c r="AH47" s="3" t="str">
        <f>"16:46"</f>
        <v>16:46</v>
      </c>
      <c r="AI47" s="3" t="str">
        <f>"حواله فروش"</f>
        <v>حواله فروش</v>
      </c>
    </row>
    <row r="48" spans="1:35" x14ac:dyDescent="0.2">
      <c r="A48" s="3" t="str">
        <f>"97/11/21"</f>
        <v>97/11/21</v>
      </c>
      <c r="B48" s="3" t="str">
        <f>"17:06"</f>
        <v>17:06</v>
      </c>
      <c r="C48" s="3" t="str">
        <f>"17:17"</f>
        <v>17:17</v>
      </c>
      <c r="D48" s="3" t="str">
        <f>"قير  PG64-22"</f>
        <v>قير  PG64-22</v>
      </c>
      <c r="E48" s="3" t="str">
        <f>"426ع74 ايران43"</f>
        <v>426ع74 ايران43</v>
      </c>
      <c r="F48" s="3" t="str">
        <f>"هادي معصومي"</f>
        <v>هادي معصومي</v>
      </c>
      <c r="G48" s="3">
        <v>392392</v>
      </c>
      <c r="H48" s="3">
        <v>392386</v>
      </c>
      <c r="I48" s="3">
        <v>4576</v>
      </c>
      <c r="J48" s="3">
        <v>36978</v>
      </c>
      <c r="K48" s="3" t="str">
        <f>"9282786123"</f>
        <v>9282786123</v>
      </c>
      <c r="L48" s="3">
        <v>22240</v>
      </c>
      <c r="M48" s="3">
        <v>22240</v>
      </c>
      <c r="N48" s="3">
        <v>100</v>
      </c>
      <c r="O48" s="3" t="str">
        <f>"مخازن قير اصفهان"</f>
        <v>مخازن قير اصفهان</v>
      </c>
      <c r="P48" s="3" t="str">
        <f>"فله"</f>
        <v>فله</v>
      </c>
      <c r="Q48" s="3">
        <v>0</v>
      </c>
      <c r="R48" s="3">
        <v>0</v>
      </c>
      <c r="S48" s="3">
        <v>0</v>
      </c>
      <c r="T48" s="3">
        <v>971800050</v>
      </c>
      <c r="U48" s="3" t="str">
        <f>"97/07/22"</f>
        <v>97/07/22</v>
      </c>
      <c r="V48" s="3" t="str">
        <f>"پورباقري ترابر (4914036)"</f>
        <v>پورباقري ترابر (4914036)</v>
      </c>
      <c r="W48" s="3" t="str">
        <f>"قرارگاه سازندگي خاتم الانبياء(ص )"</f>
        <v>قرارگاه سازندگي خاتم الانبياء(ص )</v>
      </c>
      <c r="X48" s="3" t="str">
        <f>"676/97"</f>
        <v>676/97</v>
      </c>
      <c r="Y48" s="3" t="str">
        <f>""</f>
        <v/>
      </c>
      <c r="Z48" s="3">
        <v>97048315</v>
      </c>
      <c r="AA48" s="3" t="str">
        <f>"سيد علي احمدي"</f>
        <v>سيد علي احمدي</v>
      </c>
      <c r="AB4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8" s="3">
        <v>18</v>
      </c>
      <c r="AD48" s="3" t="str">
        <f>"فروش داخلي تهران - وزارت راه - شرکت ساخت و توسعه راهها"</f>
        <v>فروش داخلي تهران - وزارت راه - شرکت ساخت و توسعه راهها</v>
      </c>
      <c r="AE48" s="3" t="str">
        <f>"فروش داخلي"</f>
        <v>فروش داخلي</v>
      </c>
      <c r="AG48" s="3" t="str">
        <f>"97/11/21"</f>
        <v>97/11/21</v>
      </c>
      <c r="AH48" s="3" t="str">
        <f>"17:38"</f>
        <v>17:38</v>
      </c>
      <c r="AI48" s="3" t="str">
        <f>"حواله فروش"</f>
        <v>حواله فروش</v>
      </c>
    </row>
    <row r="49" spans="1:35" x14ac:dyDescent="0.2">
      <c r="A49" s="3" t="str">
        <f>"97/11/21"</f>
        <v>97/11/21</v>
      </c>
      <c r="B49" s="3" t="str">
        <f>"16:40"</f>
        <v>16:40</v>
      </c>
      <c r="C49" s="3" t="str">
        <f>"17:26"</f>
        <v>17:26</v>
      </c>
      <c r="D49" s="3" t="str">
        <f>"قير  PG64-22"</f>
        <v>قير  PG64-22</v>
      </c>
      <c r="E49" s="3" t="str">
        <f>"582ع29 ايران 43"</f>
        <v>582ع29 ايران 43</v>
      </c>
      <c r="F49" s="3" t="str">
        <f>"مسعود امين الرعايا"</f>
        <v>مسعود امين الرعايا</v>
      </c>
      <c r="G49" s="3">
        <v>392394</v>
      </c>
      <c r="H49" s="3">
        <v>392395</v>
      </c>
      <c r="I49" s="3">
        <v>4577</v>
      </c>
      <c r="J49" s="3">
        <v>36979</v>
      </c>
      <c r="K49" s="3" t="str">
        <f>"9383493219"</f>
        <v>9383493219</v>
      </c>
      <c r="L49" s="3">
        <v>22760</v>
      </c>
      <c r="M49" s="3">
        <v>22760</v>
      </c>
      <c r="N49" s="3">
        <v>100</v>
      </c>
      <c r="O49" s="3" t="str">
        <f>"مخازن قير اصفهان"</f>
        <v>مخازن قير اصفهان</v>
      </c>
      <c r="P49" s="3" t="str">
        <f>"فله"</f>
        <v>فله</v>
      </c>
      <c r="Q49" s="3">
        <v>0</v>
      </c>
      <c r="R49" s="3">
        <v>0</v>
      </c>
      <c r="S49" s="3">
        <v>0</v>
      </c>
      <c r="T49" s="3">
        <v>971800050</v>
      </c>
      <c r="U49" s="3" t="str">
        <f>"97/07/22"</f>
        <v>97/07/22</v>
      </c>
      <c r="V49" s="3" t="str">
        <f>"پورباقري ترابر (4914036)"</f>
        <v>پورباقري ترابر (4914036)</v>
      </c>
      <c r="W49" s="3" t="str">
        <f>"قرارگاه سازندگي خاتم الانبياء(ص )"</f>
        <v>قرارگاه سازندگي خاتم الانبياء(ص )</v>
      </c>
      <c r="X49" s="3" t="str">
        <f>"676/97"</f>
        <v>676/97</v>
      </c>
      <c r="Y49" s="3" t="str">
        <f>""</f>
        <v/>
      </c>
      <c r="Z49" s="3">
        <v>97048313</v>
      </c>
      <c r="AA49" s="3" t="str">
        <f>"سيد علي احمدي"</f>
        <v>سيد علي احمدي</v>
      </c>
      <c r="AB4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49" s="3">
        <v>18</v>
      </c>
      <c r="AD49" s="3" t="str">
        <f>"فروش داخلي تهران - وزارت راه - شرکت ساخت و توسعه راهها"</f>
        <v>فروش داخلي تهران - وزارت راه - شرکت ساخت و توسعه راهها</v>
      </c>
      <c r="AE49" s="3" t="str">
        <f>"فروش داخلي"</f>
        <v>فروش داخلي</v>
      </c>
      <c r="AG49" s="3" t="str">
        <f>"97/11/21"</f>
        <v>97/11/21</v>
      </c>
      <c r="AH49" s="3" t="str">
        <f>"17:45"</f>
        <v>17:45</v>
      </c>
      <c r="AI49" s="3" t="str">
        <f>"حواله فروش"</f>
        <v>حواله فروش</v>
      </c>
    </row>
    <row r="50" spans="1:35" x14ac:dyDescent="0.2">
      <c r="A50" s="3" t="str">
        <f>"97/11/22"</f>
        <v>97/11/22</v>
      </c>
      <c r="B50" s="3" t="str">
        <f>"22:10"</f>
        <v>22:10</v>
      </c>
      <c r="C50" s="3" t="str">
        <f>"22:36"</f>
        <v>22:36</v>
      </c>
      <c r="D50" s="3" t="str">
        <f>"قير  PG64-22"</f>
        <v>قير  PG64-22</v>
      </c>
      <c r="E50" s="3" t="str">
        <f>"864ع86 ايران23"</f>
        <v>864ع86 ايران23</v>
      </c>
      <c r="F50" s="3" t="str">
        <f>"عليرضا صادقي"</f>
        <v>عليرضا صادقي</v>
      </c>
      <c r="G50" s="3">
        <v>412776</v>
      </c>
      <c r="H50" s="3">
        <v>412643</v>
      </c>
      <c r="I50" s="3">
        <v>4579</v>
      </c>
      <c r="J50" s="3">
        <v>36987</v>
      </c>
      <c r="K50" s="3" t="str">
        <f>"9405327522"</f>
        <v>9405327522</v>
      </c>
      <c r="L50" s="3">
        <v>22400</v>
      </c>
      <c r="M50" s="3">
        <v>22400</v>
      </c>
      <c r="N50" s="3">
        <v>100</v>
      </c>
      <c r="O50" s="3" t="str">
        <f>"مخازن قير اصفهان"</f>
        <v>مخازن قير اصفهان</v>
      </c>
      <c r="P50" s="3" t="str">
        <f>"فله"</f>
        <v>فله</v>
      </c>
      <c r="Q50" s="3">
        <v>0</v>
      </c>
      <c r="R50" s="3">
        <v>0</v>
      </c>
      <c r="S50" s="3">
        <v>0</v>
      </c>
      <c r="T50" s="3">
        <v>971800050</v>
      </c>
      <c r="U50" s="3" t="str">
        <f>"97/07/22"</f>
        <v>97/07/22</v>
      </c>
      <c r="V50" s="3" t="str">
        <f>"پورباقري ترابر (4914036)"</f>
        <v>پورباقري ترابر (4914036)</v>
      </c>
      <c r="W50" s="3" t="str">
        <f>"قرارگاه سازندگي خاتم الانبياء(ص )"</f>
        <v>قرارگاه سازندگي خاتم الانبياء(ص )</v>
      </c>
      <c r="X50" s="3" t="str">
        <f>"676/97"</f>
        <v>676/97</v>
      </c>
      <c r="Y50" s="3" t="str">
        <f>""</f>
        <v/>
      </c>
      <c r="Z50" s="3">
        <v>97048325</v>
      </c>
      <c r="AA50" s="3" t="str">
        <f>"علي قشقائي فر"</f>
        <v>علي قشقائي فر</v>
      </c>
      <c r="AB5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0" s="3">
        <v>18</v>
      </c>
      <c r="AD50" s="3" t="str">
        <f>"فروش داخلي تهران - وزارت راه - شرکت ساخت و توسعه راهها"</f>
        <v>فروش داخلي تهران - وزارت راه - شرکت ساخت و توسعه راهها</v>
      </c>
      <c r="AE50" s="3" t="str">
        <f>"فروش داخلي"</f>
        <v>فروش داخلي</v>
      </c>
      <c r="AG50" s="3" t="str">
        <f>"97/11/21"</f>
        <v>97/11/21</v>
      </c>
      <c r="AH50" s="3" t="str">
        <f>"00:11"</f>
        <v>00:11</v>
      </c>
      <c r="AI50" s="3" t="str">
        <f>"حواله فروش"</f>
        <v>حواله فروش</v>
      </c>
    </row>
    <row r="51" spans="1:35" x14ac:dyDescent="0.2">
      <c r="A51" s="3" t="str">
        <f>"97/11/22"</f>
        <v>97/11/22</v>
      </c>
      <c r="B51" s="3" t="str">
        <f>"23:39"</f>
        <v>23:39</v>
      </c>
      <c r="C51" s="3" t="str">
        <f>"23:57"</f>
        <v>23:57</v>
      </c>
      <c r="D51" s="3" t="str">
        <f>"قير  PG64-22"</f>
        <v>قير  PG64-22</v>
      </c>
      <c r="E51" s="3" t="str">
        <f>"426ع81 ايران19"</f>
        <v>426ع81 ايران19</v>
      </c>
      <c r="F51" s="3" t="str">
        <f>"علي زماني پور"</f>
        <v>علي زماني پور</v>
      </c>
      <c r="G51" s="3">
        <v>412534</v>
      </c>
      <c r="H51" s="3">
        <v>412750</v>
      </c>
      <c r="I51" s="3">
        <v>4580</v>
      </c>
      <c r="J51" s="3">
        <v>36990</v>
      </c>
      <c r="K51" s="3" t="str">
        <f>"9702472188"</f>
        <v>9702472188</v>
      </c>
      <c r="L51" s="3">
        <v>23600</v>
      </c>
      <c r="M51" s="3">
        <v>23600</v>
      </c>
      <c r="N51" s="3">
        <v>100</v>
      </c>
      <c r="O51" s="3" t="str">
        <f>"مخازن قير اصفهان"</f>
        <v>مخازن قير اصفهان</v>
      </c>
      <c r="P51" s="3" t="str">
        <f>"فله"</f>
        <v>فله</v>
      </c>
      <c r="Q51" s="3">
        <v>0</v>
      </c>
      <c r="R51" s="3">
        <v>0</v>
      </c>
      <c r="S51" s="3">
        <v>0</v>
      </c>
      <c r="T51" s="3">
        <v>971800050</v>
      </c>
      <c r="U51" s="3" t="str">
        <f>"97/07/22"</f>
        <v>97/07/22</v>
      </c>
      <c r="V51" s="3" t="str">
        <f>"پورباقري ترابر (4914036)"</f>
        <v>پورباقري ترابر (4914036)</v>
      </c>
      <c r="W51" s="3" t="str">
        <f>"قرارگاه سازندگي خاتم الانبياء(ص )"</f>
        <v>قرارگاه سازندگي خاتم الانبياء(ص )</v>
      </c>
      <c r="X51" s="3" t="str">
        <f>"676/97"</f>
        <v>676/97</v>
      </c>
      <c r="Y51" s="3" t="str">
        <f>""</f>
        <v/>
      </c>
      <c r="Z51" s="3">
        <v>97048327</v>
      </c>
      <c r="AA51" s="3" t="str">
        <f>"علي قشقائي فر"</f>
        <v>علي قشقائي فر</v>
      </c>
      <c r="AB5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1" s="3">
        <v>18</v>
      </c>
      <c r="AD51" s="3" t="str">
        <f>"فروش داخلي تهران - وزارت راه - شرکت ساخت و توسعه راهها"</f>
        <v>فروش داخلي تهران - وزارت راه - شرکت ساخت و توسعه راهها</v>
      </c>
      <c r="AE51" s="3" t="str">
        <f>"فروش داخلي"</f>
        <v>فروش داخلي</v>
      </c>
      <c r="AG51" s="3" t="str">
        <f>"97/11/21"</f>
        <v>97/11/21</v>
      </c>
      <c r="AH51" s="3" t="str">
        <f>"00:21"</f>
        <v>00:21</v>
      </c>
      <c r="AI51" s="3" t="str">
        <f>"حواله فروش"</f>
        <v>حواله فروش</v>
      </c>
    </row>
    <row r="52" spans="1:35" x14ac:dyDescent="0.2">
      <c r="A52" s="3" t="str">
        <f>"97/11/22"</f>
        <v>97/11/22</v>
      </c>
      <c r="B52" s="3" t="str">
        <f>"07:26"</f>
        <v>07:26</v>
      </c>
      <c r="C52" s="3" t="str">
        <f>"07:44"</f>
        <v>07:44</v>
      </c>
      <c r="D52" s="3" t="str">
        <f>"قير  PG64-22"</f>
        <v>قير  PG64-22</v>
      </c>
      <c r="E52" s="3" t="str">
        <f>"428ع71 ايران43"</f>
        <v>428ع71 ايران43</v>
      </c>
      <c r="F52" s="3" t="str">
        <f>"احسان مشار"</f>
        <v>احسان مشار</v>
      </c>
      <c r="G52" s="3">
        <v>473455</v>
      </c>
      <c r="H52" s="3">
        <v>473558</v>
      </c>
      <c r="I52" s="3">
        <v>4581</v>
      </c>
      <c r="J52" s="3">
        <v>36994</v>
      </c>
      <c r="K52" s="3" t="str">
        <f>"9385816273"</f>
        <v>9385816273</v>
      </c>
      <c r="L52" s="3">
        <v>23700</v>
      </c>
      <c r="M52" s="3">
        <v>23700</v>
      </c>
      <c r="N52" s="3">
        <v>100</v>
      </c>
      <c r="O52" s="3" t="str">
        <f>"مخازن قير اصفهان"</f>
        <v>مخازن قير اصفهان</v>
      </c>
      <c r="P52" s="3" t="str">
        <f>"فله"</f>
        <v>فله</v>
      </c>
      <c r="Q52" s="3">
        <v>0</v>
      </c>
      <c r="R52" s="3">
        <v>0</v>
      </c>
      <c r="S52" s="3">
        <v>0</v>
      </c>
      <c r="T52" s="3">
        <v>971800050</v>
      </c>
      <c r="U52" s="3" t="str">
        <f>"97/07/22"</f>
        <v>97/07/22</v>
      </c>
      <c r="V52" s="3" t="str">
        <f>"پورباقري ترابر (4914036)"</f>
        <v>پورباقري ترابر (4914036)</v>
      </c>
      <c r="W52" s="3" t="str">
        <f>"قرارگاه سازندگي خاتم الانبياء(ص )"</f>
        <v>قرارگاه سازندگي خاتم الانبياء(ص )</v>
      </c>
      <c r="X52" s="3" t="str">
        <f>"679/97"</f>
        <v>679/97</v>
      </c>
      <c r="Y52" s="3" t="str">
        <f>""</f>
        <v/>
      </c>
      <c r="Z52" s="3">
        <v>97048357</v>
      </c>
      <c r="AA52" s="3" t="str">
        <f>"امير حسين مهرابي حبيب آبادي"</f>
        <v>امير حسين مهرابي حبيب آبادي</v>
      </c>
      <c r="AB5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2" s="3">
        <v>18</v>
      </c>
      <c r="AD52" s="3" t="str">
        <f>"فروش داخلي تهران - وزارت راه - شرکت ساخت و توسعه راهها"</f>
        <v>فروش داخلي تهران - وزارت راه - شرکت ساخت و توسعه راهها</v>
      </c>
      <c r="AE52" s="3" t="str">
        <f>"فروش داخلي"</f>
        <v>فروش داخلي</v>
      </c>
      <c r="AG52" s="3" t="str">
        <f>"97/11/22"</f>
        <v>97/11/22</v>
      </c>
      <c r="AH52" s="3" t="str">
        <f>"08:06"</f>
        <v>08:06</v>
      </c>
      <c r="AI52" s="3" t="str">
        <f>"حواله فروش"</f>
        <v>حواله فروش</v>
      </c>
    </row>
    <row r="53" spans="1:35" x14ac:dyDescent="0.2">
      <c r="A53" s="3" t="str">
        <f>"97/11/22"</f>
        <v>97/11/22</v>
      </c>
      <c r="B53" s="3" t="str">
        <f>"07:41"</f>
        <v>07:41</v>
      </c>
      <c r="C53" s="3" t="str">
        <f>"08:00"</f>
        <v>08:00</v>
      </c>
      <c r="D53" s="3" t="str">
        <f>"قير  PG64-22"</f>
        <v>قير  PG64-22</v>
      </c>
      <c r="E53" s="3" t="str">
        <f>"552ع31 ايران13"</f>
        <v>552ع31 ايران13</v>
      </c>
      <c r="F53" s="3" t="str">
        <f>"علي غبيشاوي"</f>
        <v>علي غبيشاوي</v>
      </c>
      <c r="G53" s="3">
        <v>473732</v>
      </c>
      <c r="H53" s="3">
        <v>473458</v>
      </c>
      <c r="I53" s="3">
        <v>4582</v>
      </c>
      <c r="J53" s="3">
        <v>36997</v>
      </c>
      <c r="K53" s="3" t="str">
        <f>"9384920989"</f>
        <v>9384920989</v>
      </c>
      <c r="L53" s="3">
        <v>24580</v>
      </c>
      <c r="M53" s="3">
        <v>24580</v>
      </c>
      <c r="N53" s="3">
        <v>100</v>
      </c>
      <c r="O53" s="3" t="str">
        <f>"مخازن قير اصفهان"</f>
        <v>مخازن قير اصفهان</v>
      </c>
      <c r="P53" s="3" t="str">
        <f>"فله"</f>
        <v>فله</v>
      </c>
      <c r="Q53" s="3">
        <v>0</v>
      </c>
      <c r="R53" s="3">
        <v>0</v>
      </c>
      <c r="S53" s="3">
        <v>0</v>
      </c>
      <c r="T53" s="3">
        <v>971800050</v>
      </c>
      <c r="U53" s="3" t="str">
        <f>"97/07/22"</f>
        <v>97/07/22</v>
      </c>
      <c r="V53" s="3" t="str">
        <f>"پورباقري ترابر (4914036)"</f>
        <v>پورباقري ترابر (4914036)</v>
      </c>
      <c r="W53" s="3" t="str">
        <f>"قرارگاه سازندگي خاتم الانبياء(ص )"</f>
        <v>قرارگاه سازندگي خاتم الانبياء(ص )</v>
      </c>
      <c r="X53" s="3" t="str">
        <f>"679/97"</f>
        <v>679/97</v>
      </c>
      <c r="Y53" s="3" t="str">
        <f>""</f>
        <v/>
      </c>
      <c r="Z53" s="3">
        <v>97048361</v>
      </c>
      <c r="AA53" s="3" t="str">
        <f>"امير حسين مهرابي حبيب آبادي"</f>
        <v>امير حسين مهرابي حبيب آبادي</v>
      </c>
      <c r="AB5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3" s="3">
        <v>18</v>
      </c>
      <c r="AD53" s="3" t="str">
        <f>"فروش داخلي تهران - وزارت راه - شرکت ساخت و توسعه راهها"</f>
        <v>فروش داخلي تهران - وزارت راه - شرکت ساخت و توسعه راهها</v>
      </c>
      <c r="AE53" s="3" t="str">
        <f>"فروش داخلي"</f>
        <v>فروش داخلي</v>
      </c>
      <c r="AG53" s="3" t="str">
        <f>"97/11/22"</f>
        <v>97/11/22</v>
      </c>
      <c r="AH53" s="3" t="str">
        <f>"08:18"</f>
        <v>08:18</v>
      </c>
      <c r="AI53" s="3" t="str">
        <f>"حواله فروش"</f>
        <v>حواله فروش</v>
      </c>
    </row>
    <row r="54" spans="1:35" x14ac:dyDescent="0.2">
      <c r="A54" s="3" t="str">
        <f>"97/11/22"</f>
        <v>97/11/22</v>
      </c>
      <c r="B54" s="3" t="str">
        <f>"15:24"</f>
        <v>15:24</v>
      </c>
      <c r="C54" s="3" t="str">
        <f>"15:49"</f>
        <v>15:49</v>
      </c>
      <c r="D54" s="3" t="str">
        <f>"قير  PG64-22"</f>
        <v>قير  PG64-22</v>
      </c>
      <c r="E54" s="3" t="str">
        <f>"474ع28 ايران13"</f>
        <v>474ع28 ايران13</v>
      </c>
      <c r="F54" s="3" t="str">
        <f>"رسول کمالي"</f>
        <v>رسول کمالي</v>
      </c>
      <c r="G54" s="3">
        <v>392250</v>
      </c>
      <c r="H54" s="3">
        <v>392159</v>
      </c>
      <c r="I54" s="3">
        <v>4583</v>
      </c>
      <c r="J54" s="3">
        <v>37051</v>
      </c>
      <c r="K54" s="3" t="str">
        <f>"9283077224"</f>
        <v>9283077224</v>
      </c>
      <c r="L54" s="3">
        <v>22700</v>
      </c>
      <c r="M54" s="3">
        <v>22700</v>
      </c>
      <c r="N54" s="3">
        <v>100</v>
      </c>
      <c r="O54" s="3" t="str">
        <f>"مخازن قير اصفهان"</f>
        <v>مخازن قير اصفهان</v>
      </c>
      <c r="P54" s="3" t="str">
        <f>"فله"</f>
        <v>فله</v>
      </c>
      <c r="Q54" s="3">
        <v>0</v>
      </c>
      <c r="R54" s="3">
        <v>0</v>
      </c>
      <c r="S54" s="3">
        <v>0</v>
      </c>
      <c r="T54" s="3">
        <v>971800050</v>
      </c>
      <c r="U54" s="3" t="str">
        <f>"97/07/22"</f>
        <v>97/07/22</v>
      </c>
      <c r="V54" s="3" t="str">
        <f>"پورباقري ترابر (4914036)"</f>
        <v>پورباقري ترابر (4914036)</v>
      </c>
      <c r="W54" s="3" t="str">
        <f>"قرارگاه سازندگي خاتم الانبياء(ص )"</f>
        <v>قرارگاه سازندگي خاتم الانبياء(ص )</v>
      </c>
      <c r="X54" s="3" t="str">
        <f>"679/97"</f>
        <v>679/97</v>
      </c>
      <c r="Y54" s="3" t="str">
        <f>""</f>
        <v/>
      </c>
      <c r="Z54" s="3">
        <v>97048406</v>
      </c>
      <c r="AA54" s="3" t="str">
        <f>"حبيب لطفي"</f>
        <v>حبيب لطفي</v>
      </c>
      <c r="AB5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4" s="3">
        <v>18</v>
      </c>
      <c r="AD54" s="3" t="str">
        <f>"فروش داخلي تهران - وزارت راه - شرکت ساخت و توسعه راهها"</f>
        <v>فروش داخلي تهران - وزارت راه - شرکت ساخت و توسعه راهها</v>
      </c>
      <c r="AE54" s="3" t="str">
        <f>"فروش داخلي"</f>
        <v>فروش داخلي</v>
      </c>
      <c r="AG54" s="3" t="str">
        <f>"97/11/22"</f>
        <v>97/11/22</v>
      </c>
      <c r="AH54" s="3" t="str">
        <f>"16:12"</f>
        <v>16:12</v>
      </c>
      <c r="AI54" s="3" t="str">
        <f>"حواله فروش"</f>
        <v>حواله فروش</v>
      </c>
    </row>
    <row r="55" spans="1:35" x14ac:dyDescent="0.2">
      <c r="A55" s="3" t="str">
        <f>"97/11/22"</f>
        <v>97/11/22</v>
      </c>
      <c r="B55" s="3" t="str">
        <f>"15:33"</f>
        <v>15:33</v>
      </c>
      <c r="C55" s="3" t="str">
        <f>"15:54"</f>
        <v>15:54</v>
      </c>
      <c r="D55" s="3" t="str">
        <f>"قير  PG64-22"</f>
        <v>قير  PG64-22</v>
      </c>
      <c r="E55" s="3" t="str">
        <f>"663ع78 ايران43"</f>
        <v>663ع78 ايران43</v>
      </c>
      <c r="F55" s="3" t="str">
        <f>"مجيد ايراني محمودصالحي"</f>
        <v>مجيد ايراني محمودصالحي</v>
      </c>
      <c r="G55" s="3">
        <v>392244</v>
      </c>
      <c r="H55" s="3">
        <v>392301</v>
      </c>
      <c r="I55" s="3">
        <v>4585</v>
      </c>
      <c r="J55" s="3">
        <v>37056</v>
      </c>
      <c r="K55" s="3" t="str">
        <f>"9282519677"</f>
        <v>9282519677</v>
      </c>
      <c r="L55" s="3">
        <v>20940</v>
      </c>
      <c r="M55" s="3">
        <v>20940</v>
      </c>
      <c r="N55" s="3">
        <v>100</v>
      </c>
      <c r="O55" s="3" t="str">
        <f>"مخازن قير اصفهان"</f>
        <v>مخازن قير اصفهان</v>
      </c>
      <c r="P55" s="3" t="str">
        <f>"فله"</f>
        <v>فله</v>
      </c>
      <c r="Q55" s="3">
        <v>0</v>
      </c>
      <c r="R55" s="3">
        <v>0</v>
      </c>
      <c r="S55" s="3">
        <v>0</v>
      </c>
      <c r="T55" s="3">
        <v>971800050</v>
      </c>
      <c r="U55" s="3" t="str">
        <f>"97/07/22"</f>
        <v>97/07/22</v>
      </c>
      <c r="V55" s="3" t="str">
        <f>"پورباقري ترابر (4914036)"</f>
        <v>پورباقري ترابر (4914036)</v>
      </c>
      <c r="W55" s="3" t="str">
        <f>"قرارگاه سازندگي خاتم الانبياء(ص )"</f>
        <v>قرارگاه سازندگي خاتم الانبياء(ص )</v>
      </c>
      <c r="X55" s="3" t="str">
        <f>"679/97"</f>
        <v>679/97</v>
      </c>
      <c r="Y55" s="3" t="str">
        <f>""</f>
        <v/>
      </c>
      <c r="Z55" s="3">
        <v>97048411</v>
      </c>
      <c r="AA55" s="3" t="str">
        <f>"حبيب لطفي"</f>
        <v>حبيب لطفي</v>
      </c>
      <c r="AB5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5" s="3">
        <v>18</v>
      </c>
      <c r="AD55" s="3" t="str">
        <f>"فروش داخلي تهران - وزارت راه - شرکت ساخت و توسعه راهها"</f>
        <v>فروش داخلي تهران - وزارت راه - شرکت ساخت و توسعه راهها</v>
      </c>
      <c r="AE55" s="3" t="str">
        <f>"فروش داخلي"</f>
        <v>فروش داخلي</v>
      </c>
      <c r="AG55" s="3" t="str">
        <f>"97/11/22"</f>
        <v>97/11/22</v>
      </c>
      <c r="AH55" s="3" t="str">
        <f>"16:33"</f>
        <v>16:33</v>
      </c>
      <c r="AI55" s="3" t="str">
        <f>"حواله فروش"</f>
        <v>حواله فروش</v>
      </c>
    </row>
    <row r="56" spans="1:35" x14ac:dyDescent="0.2">
      <c r="A56" s="3" t="str">
        <f>"97/11/23"</f>
        <v>97/11/23</v>
      </c>
      <c r="B56" s="3" t="str">
        <f>"08:58"</f>
        <v>08:58</v>
      </c>
      <c r="C56" s="3" t="str">
        <f>"09:12"</f>
        <v>09:12</v>
      </c>
      <c r="D56" s="3" t="str">
        <f>"قير  PG64-22"</f>
        <v>قير  PG64-22</v>
      </c>
      <c r="E56" s="3" t="str">
        <f>"778ع36 ايران71"</f>
        <v>778ع36 ايران71</v>
      </c>
      <c r="F56" s="3" t="str">
        <f>"بهمن ملك محمدي"</f>
        <v>بهمن ملك محمدي</v>
      </c>
      <c r="G56" s="3">
        <v>388461</v>
      </c>
      <c r="H56" s="3">
        <v>473771</v>
      </c>
      <c r="I56" s="3">
        <v>4587</v>
      </c>
      <c r="J56" s="3">
        <v>37084</v>
      </c>
      <c r="K56" s="3" t="str">
        <f>"9210006540"</f>
        <v>9210006540</v>
      </c>
      <c r="L56" s="3">
        <v>20280</v>
      </c>
      <c r="M56" s="3">
        <v>20280</v>
      </c>
      <c r="N56" s="3">
        <v>100</v>
      </c>
      <c r="O56" s="3" t="str">
        <f>"مخازن قير اصفهان"</f>
        <v>مخازن قير اصفهان</v>
      </c>
      <c r="P56" s="3" t="str">
        <f>"فله"</f>
        <v>فله</v>
      </c>
      <c r="Q56" s="3">
        <v>0</v>
      </c>
      <c r="R56" s="3">
        <v>0</v>
      </c>
      <c r="S56" s="3">
        <v>0</v>
      </c>
      <c r="T56" s="3">
        <v>971800050</v>
      </c>
      <c r="U56" s="3" t="str">
        <f>"97/07/22"</f>
        <v>97/07/22</v>
      </c>
      <c r="V56" s="3" t="str">
        <f>"پورباقري ترابر (4914036)"</f>
        <v>پورباقري ترابر (4914036)</v>
      </c>
      <c r="W56" s="3" t="str">
        <f>"قرارگاه سازندگي خاتم الانبياء(ص )"</f>
        <v>قرارگاه سازندگي خاتم الانبياء(ص )</v>
      </c>
      <c r="X56" s="3" t="str">
        <f>"681/97"</f>
        <v>681/97</v>
      </c>
      <c r="Y56" s="3" t="str">
        <f>""</f>
        <v/>
      </c>
      <c r="Z56" s="3">
        <v>97048477</v>
      </c>
      <c r="AA56" s="3" t="str">
        <f>"امير حسين مهرابي حبيب آبادي"</f>
        <v>امير حسين مهرابي حبيب آبادي</v>
      </c>
      <c r="AB5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6" s="3">
        <v>18</v>
      </c>
      <c r="AD56" s="3" t="str">
        <f>"فروش داخلي تهران - وزارت راه - شرکت ساخت و توسعه راهها"</f>
        <v>فروش داخلي تهران - وزارت راه - شرکت ساخت و توسعه راهها</v>
      </c>
      <c r="AE56" s="3" t="str">
        <f>"فروش داخلي"</f>
        <v>فروش داخلي</v>
      </c>
      <c r="AG56" s="3" t="str">
        <f>"97/11/23"</f>
        <v>97/11/23</v>
      </c>
      <c r="AH56" s="3" t="str">
        <f>"09:30"</f>
        <v>09:30</v>
      </c>
      <c r="AI56" s="3" t="str">
        <f>"حواله فروش"</f>
        <v>حواله فروش</v>
      </c>
    </row>
    <row r="57" spans="1:35" x14ac:dyDescent="0.2">
      <c r="A57" s="3" t="str">
        <f>"97/11/23"</f>
        <v>97/11/23</v>
      </c>
      <c r="B57" s="3" t="str">
        <f>"10:54"</f>
        <v>10:54</v>
      </c>
      <c r="C57" s="3" t="str">
        <f>"11:04"</f>
        <v>11:04</v>
      </c>
      <c r="D57" s="3" t="str">
        <f>"قير  PG64-22"</f>
        <v>قير  PG64-22</v>
      </c>
      <c r="E57" s="3" t="str">
        <f>"255ع27 ايران13"</f>
        <v>255ع27 ايران13</v>
      </c>
      <c r="F57" s="3" t="str">
        <f>"مجيد آقابابايي"</f>
        <v>مجيد آقابابايي</v>
      </c>
      <c r="G57" s="3">
        <v>473882</v>
      </c>
      <c r="H57" s="3">
        <v>473761</v>
      </c>
      <c r="I57" s="3">
        <v>4589</v>
      </c>
      <c r="J57" s="3">
        <v>37113</v>
      </c>
      <c r="K57" s="3" t="str">
        <f>"9380531540"</f>
        <v>9380531540</v>
      </c>
      <c r="L57" s="3">
        <v>22760</v>
      </c>
      <c r="M57" s="3">
        <v>22760</v>
      </c>
      <c r="N57" s="3">
        <v>100</v>
      </c>
      <c r="O57" s="3" t="str">
        <f>"مخازن قير اصفهان"</f>
        <v>مخازن قير اصفهان</v>
      </c>
      <c r="P57" s="3" t="str">
        <f>"فله"</f>
        <v>فله</v>
      </c>
      <c r="Q57" s="3">
        <v>0</v>
      </c>
      <c r="R57" s="3">
        <v>0</v>
      </c>
      <c r="S57" s="3">
        <v>0</v>
      </c>
      <c r="T57" s="3">
        <v>971800050</v>
      </c>
      <c r="U57" s="3" t="str">
        <f>"97/07/22"</f>
        <v>97/07/22</v>
      </c>
      <c r="V57" s="3" t="str">
        <f>"پورباقري ترابر (4914036)"</f>
        <v>پورباقري ترابر (4914036)</v>
      </c>
      <c r="W57" s="3" t="str">
        <f>"قرارگاه سازندگي خاتم الانبياء(ص )"</f>
        <v>قرارگاه سازندگي خاتم الانبياء(ص )</v>
      </c>
      <c r="X57" s="3" t="str">
        <f>"681/97"</f>
        <v>681/97</v>
      </c>
      <c r="Y57" s="3" t="str">
        <f>""</f>
        <v/>
      </c>
      <c r="Z57" s="3">
        <v>97048493</v>
      </c>
      <c r="AA57" s="3" t="str">
        <f>"امير حسين مهرابي حبيب آبادي"</f>
        <v>امير حسين مهرابي حبيب آبادي</v>
      </c>
      <c r="AB5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7" s="3">
        <v>18</v>
      </c>
      <c r="AD57" s="3" t="str">
        <f>"فروش داخلي تهران - وزارت راه - شرکت ساخت و توسعه راهها"</f>
        <v>فروش داخلي تهران - وزارت راه - شرکت ساخت و توسعه راهها</v>
      </c>
      <c r="AE57" s="3" t="str">
        <f>"فروش داخلي"</f>
        <v>فروش داخلي</v>
      </c>
      <c r="AG57" s="3" t="str">
        <f>"97/11/23"</f>
        <v>97/11/23</v>
      </c>
      <c r="AH57" s="3" t="str">
        <f>"11:30"</f>
        <v>11:30</v>
      </c>
      <c r="AI57" s="3" t="str">
        <f>"حواله فروش"</f>
        <v>حواله فروش</v>
      </c>
    </row>
    <row r="58" spans="1:35" x14ac:dyDescent="0.2">
      <c r="A58" s="3" t="str">
        <f>"97/11/23"</f>
        <v>97/11/23</v>
      </c>
      <c r="B58" s="3" t="str">
        <f>"10:59"</f>
        <v>10:59</v>
      </c>
      <c r="C58" s="3" t="str">
        <f>"11:12"</f>
        <v>11:12</v>
      </c>
      <c r="D58" s="3" t="str">
        <f>"قير  PG64-22"</f>
        <v>قير  PG64-22</v>
      </c>
      <c r="E58" s="3" t="str">
        <f>"922ع61 ايران23"</f>
        <v>922ع61 ايران23</v>
      </c>
      <c r="F58" s="3" t="str">
        <f>"مصطفي صالحي"</f>
        <v>مصطفي صالحي</v>
      </c>
      <c r="G58" s="3">
        <v>473748</v>
      </c>
      <c r="H58" s="3">
        <v>473032</v>
      </c>
      <c r="I58" s="3">
        <v>4590</v>
      </c>
      <c r="J58" s="3">
        <v>37115</v>
      </c>
      <c r="K58" s="3" t="str">
        <f>"9385154648"</f>
        <v>9385154648</v>
      </c>
      <c r="L58" s="3">
        <v>21720</v>
      </c>
      <c r="M58" s="3">
        <v>21720</v>
      </c>
      <c r="N58" s="3">
        <v>100</v>
      </c>
      <c r="O58" s="3" t="str">
        <f>"مخازن قير اصفهان"</f>
        <v>مخازن قير اصفهان</v>
      </c>
      <c r="P58" s="3" t="str">
        <f>"فله"</f>
        <v>فله</v>
      </c>
      <c r="Q58" s="3">
        <v>0</v>
      </c>
      <c r="R58" s="3">
        <v>0</v>
      </c>
      <c r="S58" s="3">
        <v>0</v>
      </c>
      <c r="T58" s="3">
        <v>971800050</v>
      </c>
      <c r="U58" s="3" t="str">
        <f>"97/07/22"</f>
        <v>97/07/22</v>
      </c>
      <c r="V58" s="3" t="str">
        <f>"پورباقري ترابر (4914036)"</f>
        <v>پورباقري ترابر (4914036)</v>
      </c>
      <c r="W58" s="3" t="str">
        <f>"قرارگاه سازندگي خاتم الانبياء(ص )"</f>
        <v>قرارگاه سازندگي خاتم الانبياء(ص )</v>
      </c>
      <c r="X58" s="3" t="str">
        <f>"681/97"</f>
        <v>681/97</v>
      </c>
      <c r="Y58" s="3" t="str">
        <f>""</f>
        <v/>
      </c>
      <c r="Z58" s="3">
        <v>97048494</v>
      </c>
      <c r="AA58" s="3" t="str">
        <f>"امير حسين مهرابي حبيب آبادي"</f>
        <v>امير حسين مهرابي حبيب آبادي</v>
      </c>
      <c r="AB5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8" s="3">
        <v>18</v>
      </c>
      <c r="AD58" s="3" t="str">
        <f>"فروش داخلي تهران - وزارت راه - شرکت ساخت و توسعه راهها"</f>
        <v>فروش داخلي تهران - وزارت راه - شرکت ساخت و توسعه راهها</v>
      </c>
      <c r="AE58" s="3" t="str">
        <f>"فروش داخلي"</f>
        <v>فروش داخلي</v>
      </c>
      <c r="AG58" s="3" t="str">
        <f>"97/11/23"</f>
        <v>97/11/23</v>
      </c>
      <c r="AH58" s="3" t="str">
        <f>"11:35"</f>
        <v>11:35</v>
      </c>
      <c r="AI58" s="3" t="str">
        <f>"حواله فروش"</f>
        <v>حواله فروش</v>
      </c>
    </row>
    <row r="59" spans="1:35" x14ac:dyDescent="0.2">
      <c r="A59" s="3" t="str">
        <f>"97/11/23"</f>
        <v>97/11/23</v>
      </c>
      <c r="B59" s="3" t="str">
        <f>"11:40"</f>
        <v>11:40</v>
      </c>
      <c r="C59" s="3" t="str">
        <f>"11:53"</f>
        <v>11:53</v>
      </c>
      <c r="D59" s="3" t="str">
        <f>"قير  PG64-22"</f>
        <v>قير  PG64-22</v>
      </c>
      <c r="E59" s="3" t="str">
        <f>"895ع44 ايران43"</f>
        <v>895ع44 ايران43</v>
      </c>
      <c r="F59" s="3" t="str">
        <f>"منوچهر ربيعي"</f>
        <v>منوچهر ربيعي</v>
      </c>
      <c r="G59" s="3">
        <v>473769</v>
      </c>
      <c r="H59" s="3">
        <v>473194</v>
      </c>
      <c r="I59" s="3">
        <v>4591</v>
      </c>
      <c r="J59" s="3">
        <v>37127</v>
      </c>
      <c r="K59" s="3" t="str">
        <f>"9282343627"</f>
        <v>9282343627</v>
      </c>
      <c r="L59" s="3">
        <v>23700</v>
      </c>
      <c r="M59" s="3">
        <v>23700</v>
      </c>
      <c r="N59" s="3">
        <v>100</v>
      </c>
      <c r="O59" s="3" t="str">
        <f>"مخازن قير اصفهان"</f>
        <v>مخازن قير اصفهان</v>
      </c>
      <c r="P59" s="3" t="str">
        <f>"فله"</f>
        <v>فله</v>
      </c>
      <c r="Q59" s="3">
        <v>0</v>
      </c>
      <c r="R59" s="3">
        <v>0</v>
      </c>
      <c r="S59" s="3">
        <v>0</v>
      </c>
      <c r="T59" s="3">
        <v>971800050</v>
      </c>
      <c r="U59" s="3" t="str">
        <f>"97/07/22"</f>
        <v>97/07/22</v>
      </c>
      <c r="V59" s="3" t="str">
        <f>"پورباقري ترابر (4914036)"</f>
        <v>پورباقري ترابر (4914036)</v>
      </c>
      <c r="W59" s="3" t="str">
        <f>"قرارگاه سازندگي خاتم الانبياء(ص )"</f>
        <v>قرارگاه سازندگي خاتم الانبياء(ص )</v>
      </c>
      <c r="X59" s="3" t="str">
        <f>"681/97"</f>
        <v>681/97</v>
      </c>
      <c r="Y59" s="3" t="str">
        <f>""</f>
        <v/>
      </c>
      <c r="Z59" s="3">
        <v>97048499</v>
      </c>
      <c r="AA59" s="3" t="str">
        <f>"امير حسين مهرابي حبيب آبادي"</f>
        <v>امير حسين مهرابي حبيب آبادي</v>
      </c>
      <c r="AB5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59" s="3">
        <v>18</v>
      </c>
      <c r="AD59" s="3" t="str">
        <f>"فروش داخلي تهران - وزارت راه - شرکت ساخت و توسعه راهها"</f>
        <v>فروش داخلي تهران - وزارت راه - شرکت ساخت و توسعه راهها</v>
      </c>
      <c r="AE59" s="3" t="str">
        <f>"فروش داخلي"</f>
        <v>فروش داخلي</v>
      </c>
      <c r="AG59" s="3" t="str">
        <f>"97/11/23"</f>
        <v>97/11/23</v>
      </c>
      <c r="AH59" s="3" t="str">
        <f>"12:19"</f>
        <v>12:19</v>
      </c>
      <c r="AI59" s="3" t="str">
        <f>"حواله فروش"</f>
        <v>حواله فروش</v>
      </c>
    </row>
    <row r="60" spans="1:35" x14ac:dyDescent="0.2">
      <c r="A60" s="3" t="str">
        <f>"97/11/23"</f>
        <v>97/11/23</v>
      </c>
      <c r="B60" s="3" t="str">
        <f>"11:42"</f>
        <v>11:42</v>
      </c>
      <c r="C60" s="3" t="str">
        <f>"11:55"</f>
        <v>11:55</v>
      </c>
      <c r="D60" s="3" t="str">
        <f>"قير  PG64-22"</f>
        <v>قير  PG64-22</v>
      </c>
      <c r="E60" s="3" t="str">
        <f>"899ع14 ايران13"</f>
        <v>899ع14 ايران13</v>
      </c>
      <c r="F60" s="3" t="str">
        <f>"عبدالعلي کاظم پور"</f>
        <v>عبدالعلي کاظم پور</v>
      </c>
      <c r="G60" s="3">
        <v>388466</v>
      </c>
      <c r="H60" s="3">
        <v>473775</v>
      </c>
      <c r="I60" s="3">
        <v>4592</v>
      </c>
      <c r="J60" s="3">
        <v>37128</v>
      </c>
      <c r="K60" s="3" t="str">
        <f>"9110108599"</f>
        <v>9110108599</v>
      </c>
      <c r="L60" s="3">
        <v>23380</v>
      </c>
      <c r="M60" s="3">
        <v>23380</v>
      </c>
      <c r="N60" s="3">
        <v>100</v>
      </c>
      <c r="O60" s="3" t="str">
        <f>"مخازن قير اصفهان"</f>
        <v>مخازن قير اصفهان</v>
      </c>
      <c r="P60" s="3" t="str">
        <f>"فله"</f>
        <v>فله</v>
      </c>
      <c r="Q60" s="3">
        <v>0</v>
      </c>
      <c r="R60" s="3">
        <v>0</v>
      </c>
      <c r="S60" s="3">
        <v>0</v>
      </c>
      <c r="T60" s="3">
        <v>971800050</v>
      </c>
      <c r="U60" s="3" t="str">
        <f>"97/07/22"</f>
        <v>97/07/22</v>
      </c>
      <c r="V60" s="3" t="str">
        <f>"پورباقري ترابر (4914036)"</f>
        <v>پورباقري ترابر (4914036)</v>
      </c>
      <c r="W60" s="3" t="str">
        <f>"قرارگاه سازندگي خاتم الانبياء(ص )"</f>
        <v>قرارگاه سازندگي خاتم الانبياء(ص )</v>
      </c>
      <c r="X60" s="3" t="str">
        <f>"681/97"</f>
        <v>681/97</v>
      </c>
      <c r="Y60" s="3" t="str">
        <f>""</f>
        <v/>
      </c>
      <c r="Z60" s="3">
        <v>97048500</v>
      </c>
      <c r="AA60" s="3" t="str">
        <f>"امير حسين مهرابي حبيب آبادي"</f>
        <v>امير حسين مهرابي حبيب آبادي</v>
      </c>
      <c r="AB6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0" s="3">
        <v>18</v>
      </c>
      <c r="AD60" s="3" t="str">
        <f>"فروش داخلي تهران - وزارت راه - شرکت ساخت و توسعه راهها"</f>
        <v>فروش داخلي تهران - وزارت راه - شرکت ساخت و توسعه راهها</v>
      </c>
      <c r="AE60" s="3" t="str">
        <f>"فروش داخلي"</f>
        <v>فروش داخلي</v>
      </c>
      <c r="AG60" s="3" t="str">
        <f>"97/11/23"</f>
        <v>97/11/23</v>
      </c>
      <c r="AH60" s="3" t="str">
        <f>"12:24"</f>
        <v>12:24</v>
      </c>
      <c r="AI60" s="3" t="str">
        <f>"حواله فروش"</f>
        <v>حواله فروش</v>
      </c>
    </row>
    <row r="61" spans="1:35" x14ac:dyDescent="0.2">
      <c r="A61" s="3" t="str">
        <f>"97/11/23"</f>
        <v>97/11/23</v>
      </c>
      <c r="B61" s="3" t="str">
        <f>"15:18"</f>
        <v>15:18</v>
      </c>
      <c r="C61" s="3" t="str">
        <f>"15:38"</f>
        <v>15:38</v>
      </c>
      <c r="D61" s="3" t="str">
        <f>"قير  PG64-22"</f>
        <v>قير  PG64-22</v>
      </c>
      <c r="E61" s="3" t="str">
        <f>"355ع18 ايران13"</f>
        <v>355ع18 ايران13</v>
      </c>
      <c r="F61" s="3" t="str">
        <f>"داود تاجمير رياحي"</f>
        <v>داود تاجمير رياحي</v>
      </c>
      <c r="G61" s="3">
        <v>392305</v>
      </c>
      <c r="H61" s="3">
        <v>392249</v>
      </c>
      <c r="I61" s="3">
        <v>4594</v>
      </c>
      <c r="J61" s="3">
        <v>37148</v>
      </c>
      <c r="K61" s="3" t="str">
        <f>"9402498771"</f>
        <v>9402498771</v>
      </c>
      <c r="L61" s="3">
        <v>20740</v>
      </c>
      <c r="M61" s="3">
        <v>20740</v>
      </c>
      <c r="N61" s="3">
        <v>100</v>
      </c>
      <c r="O61" s="3" t="str">
        <f>"مخازن قير اصفهان"</f>
        <v>مخازن قير اصفهان</v>
      </c>
      <c r="P61" s="3" t="str">
        <f>"فله"</f>
        <v>فله</v>
      </c>
      <c r="Q61" s="3">
        <v>0</v>
      </c>
      <c r="R61" s="3">
        <v>0</v>
      </c>
      <c r="S61" s="3">
        <v>0</v>
      </c>
      <c r="T61" s="3">
        <v>971800050</v>
      </c>
      <c r="U61" s="3" t="str">
        <f>"97/07/22"</f>
        <v>97/07/22</v>
      </c>
      <c r="V61" s="3" t="str">
        <f>"پورباقري ترابر (4914036)"</f>
        <v>پورباقري ترابر (4914036)</v>
      </c>
      <c r="W61" s="3" t="str">
        <f>"قرارگاه سازندگي خاتم الانبياء(ص )"</f>
        <v>قرارگاه سازندگي خاتم الانبياء(ص )</v>
      </c>
      <c r="X61" s="3" t="str">
        <f>"681/97"</f>
        <v>681/97</v>
      </c>
      <c r="Y61" s="3" t="str">
        <f>""</f>
        <v/>
      </c>
      <c r="Z61" s="3">
        <v>97048525</v>
      </c>
      <c r="AA61" s="3" t="str">
        <f>"داريوش سليماني مهر"</f>
        <v>داريوش سليماني مهر</v>
      </c>
      <c r="AB6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1" s="3">
        <v>18</v>
      </c>
      <c r="AD61" s="3" t="str">
        <f>"فروش داخلي تهران - وزارت راه - شرکت ساخت و توسعه راهها"</f>
        <v>فروش داخلي تهران - وزارت راه - شرکت ساخت و توسعه راهها</v>
      </c>
      <c r="AE61" s="3" t="str">
        <f>"فروش داخلي"</f>
        <v>فروش داخلي</v>
      </c>
      <c r="AG61" s="3" t="str">
        <f>"97/11/23"</f>
        <v>97/11/23</v>
      </c>
      <c r="AH61" s="3" t="str">
        <f>"15:58"</f>
        <v>15:58</v>
      </c>
      <c r="AI61" s="3" t="str">
        <f>"حواله فروش"</f>
        <v>حواله فروش</v>
      </c>
    </row>
    <row r="62" spans="1:35" x14ac:dyDescent="0.2">
      <c r="A62" s="3" t="str">
        <f>"97/11/23"</f>
        <v>97/11/23</v>
      </c>
      <c r="B62" s="3" t="str">
        <f>"16:51"</f>
        <v>16:51</v>
      </c>
      <c r="C62" s="3" t="str">
        <f>"17:10"</f>
        <v>17:10</v>
      </c>
      <c r="D62" s="3" t="str">
        <f>"قير  PG64-22"</f>
        <v>قير  PG64-22</v>
      </c>
      <c r="E62" s="3" t="str">
        <f>"776ع31 ايران13"</f>
        <v>776ع31 ايران13</v>
      </c>
      <c r="F62" s="3" t="str">
        <f>"عظيم لاري"</f>
        <v>عظيم لاري</v>
      </c>
      <c r="G62" s="3">
        <v>392518</v>
      </c>
      <c r="H62" s="3">
        <v>392404</v>
      </c>
      <c r="I62" s="3">
        <v>4597</v>
      </c>
      <c r="J62" s="3">
        <v>37172</v>
      </c>
      <c r="K62" s="3" t="str">
        <f>"9601663501"</f>
        <v>9601663501</v>
      </c>
      <c r="L62" s="3">
        <v>22740</v>
      </c>
      <c r="M62" s="3">
        <v>22740</v>
      </c>
      <c r="N62" s="3">
        <v>100</v>
      </c>
      <c r="O62" s="3" t="str">
        <f>"مخازن قير اصفهان"</f>
        <v>مخازن قير اصفهان</v>
      </c>
      <c r="P62" s="3" t="str">
        <f>"فله"</f>
        <v>فله</v>
      </c>
      <c r="Q62" s="3">
        <v>0</v>
      </c>
      <c r="R62" s="3">
        <v>0</v>
      </c>
      <c r="S62" s="3">
        <v>0</v>
      </c>
      <c r="T62" s="3">
        <v>971800050</v>
      </c>
      <c r="U62" s="3" t="str">
        <f>"97/07/22"</f>
        <v>97/07/22</v>
      </c>
      <c r="V62" s="3" t="str">
        <f>"پورباقري ترابر (4914036)"</f>
        <v>پورباقري ترابر (4914036)</v>
      </c>
      <c r="W62" s="3" t="str">
        <f>"قرارگاه سازندگي خاتم الانبياء(ص )"</f>
        <v>قرارگاه سازندگي خاتم الانبياء(ص )</v>
      </c>
      <c r="X62" s="3" t="str">
        <f>"681/97"</f>
        <v>681/97</v>
      </c>
      <c r="Y62" s="3" t="str">
        <f>""</f>
        <v/>
      </c>
      <c r="Z62" s="3">
        <v>97048542</v>
      </c>
      <c r="AA62" s="3" t="str">
        <f>"داريوش سليماني مهر"</f>
        <v>داريوش سليماني مهر</v>
      </c>
      <c r="AB6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2" s="3">
        <v>18</v>
      </c>
      <c r="AD62" s="3" t="str">
        <f>"فروش داخلي تهران - وزارت راه - شرکت ساخت و توسعه راهها"</f>
        <v>فروش داخلي تهران - وزارت راه - شرکت ساخت و توسعه راهها</v>
      </c>
      <c r="AE62" s="3" t="str">
        <f>"فروش داخلي"</f>
        <v>فروش داخلي</v>
      </c>
      <c r="AG62" s="3" t="str">
        <f>"97/11/23"</f>
        <v>97/11/23</v>
      </c>
      <c r="AH62" s="3" t="str">
        <f>"17:48"</f>
        <v>17:48</v>
      </c>
      <c r="AI62" s="3" t="str">
        <f>"حواله فروش"</f>
        <v>حواله فروش</v>
      </c>
    </row>
    <row r="63" spans="1:35" x14ac:dyDescent="0.2">
      <c r="A63" s="3" t="str">
        <f>"97/11/23"</f>
        <v>97/11/23</v>
      </c>
      <c r="B63" s="3" t="str">
        <f>"17:00"</f>
        <v>17:00</v>
      </c>
      <c r="C63" s="3" t="str">
        <f>"17:15"</f>
        <v>17:15</v>
      </c>
      <c r="D63" s="3" t="str">
        <f>"قير  PG64-22"</f>
        <v>قير  PG64-22</v>
      </c>
      <c r="E63" s="3" t="str">
        <f>"829ع61 ايران71"</f>
        <v>829ع61 ايران71</v>
      </c>
      <c r="F63" s="3" t="str">
        <f>"مجيد سليمي بني"</f>
        <v>مجيد سليمي بني</v>
      </c>
      <c r="G63" s="3">
        <v>392503</v>
      </c>
      <c r="H63" s="3">
        <v>392256</v>
      </c>
      <c r="I63" s="3">
        <v>4599</v>
      </c>
      <c r="J63" s="3">
        <v>37174</v>
      </c>
      <c r="K63" s="3" t="str">
        <f>"9110144748"</f>
        <v>9110144748</v>
      </c>
      <c r="L63" s="3">
        <v>24020</v>
      </c>
      <c r="M63" s="3">
        <v>24020</v>
      </c>
      <c r="N63" s="3">
        <v>100</v>
      </c>
      <c r="O63" s="3" t="str">
        <f>"مخازن قير اصفهان"</f>
        <v>مخازن قير اصفهان</v>
      </c>
      <c r="P63" s="3" t="str">
        <f>"فله"</f>
        <v>فله</v>
      </c>
      <c r="Q63" s="3">
        <v>0</v>
      </c>
      <c r="R63" s="3">
        <v>0</v>
      </c>
      <c r="S63" s="3">
        <v>0</v>
      </c>
      <c r="T63" s="3">
        <v>971800050</v>
      </c>
      <c r="U63" s="3" t="str">
        <f>"97/07/22"</f>
        <v>97/07/22</v>
      </c>
      <c r="V63" s="3" t="str">
        <f>"پورباقري ترابر (4914036)"</f>
        <v>پورباقري ترابر (4914036)</v>
      </c>
      <c r="W63" s="3" t="str">
        <f>"قرارگاه سازندگي خاتم الانبياء(ص )"</f>
        <v>قرارگاه سازندگي خاتم الانبياء(ص )</v>
      </c>
      <c r="X63" s="3" t="str">
        <f>"681/97"</f>
        <v>681/97</v>
      </c>
      <c r="Y63" s="3" t="str">
        <f>""</f>
        <v/>
      </c>
      <c r="Z63" s="3">
        <v>97048547</v>
      </c>
      <c r="AA63" s="3" t="str">
        <f>"داريوش سليماني مهر"</f>
        <v>داريوش سليماني مهر</v>
      </c>
      <c r="AB6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3" s="3">
        <v>18</v>
      </c>
      <c r="AD63" s="3" t="str">
        <f>"فروش داخلي تهران - وزارت راه - شرکت ساخت و توسعه راهها"</f>
        <v>فروش داخلي تهران - وزارت راه - شرکت ساخت و توسعه راهها</v>
      </c>
      <c r="AE63" s="3" t="str">
        <f>"فروش داخلي"</f>
        <v>فروش داخلي</v>
      </c>
      <c r="AG63" s="3" t="str">
        <f>"97/11/23"</f>
        <v>97/11/23</v>
      </c>
      <c r="AH63" s="3" t="str">
        <f>"18:08"</f>
        <v>18:08</v>
      </c>
      <c r="AI63" s="3" t="str">
        <f>"حواله فروش"</f>
        <v>حواله فروش</v>
      </c>
    </row>
    <row r="64" spans="1:35" x14ac:dyDescent="0.2">
      <c r="A64" s="3" t="str">
        <f>"97/11/23"</f>
        <v>97/11/23</v>
      </c>
      <c r="B64" s="3" t="str">
        <f>"18:06"</f>
        <v>18:06</v>
      </c>
      <c r="C64" s="3" t="str">
        <f>"18:18"</f>
        <v>18:18</v>
      </c>
      <c r="D64" s="3" t="str">
        <f>"قير  PG64-22"</f>
        <v>قير  PG64-22</v>
      </c>
      <c r="E64" s="3" t="str">
        <f>"426ع74 ايران43"</f>
        <v>426ع74 ايران43</v>
      </c>
      <c r="F64" s="3" t="str">
        <f>"هادي معصومي"</f>
        <v>هادي معصومي</v>
      </c>
      <c r="G64" s="3">
        <v>392674</v>
      </c>
      <c r="H64" s="3">
        <v>392668</v>
      </c>
      <c r="I64" s="3">
        <v>4604</v>
      </c>
      <c r="J64" s="3">
        <v>37181</v>
      </c>
      <c r="K64" s="3" t="str">
        <f>"9282786123"</f>
        <v>9282786123</v>
      </c>
      <c r="L64" s="3">
        <v>23260</v>
      </c>
      <c r="M64" s="3">
        <v>23260</v>
      </c>
      <c r="N64" s="3">
        <v>100</v>
      </c>
      <c r="O64" s="3" t="str">
        <f>"مخازن قير اصفهان"</f>
        <v>مخازن قير اصفهان</v>
      </c>
      <c r="P64" s="3" t="str">
        <f>"فله"</f>
        <v>فله</v>
      </c>
      <c r="Q64" s="3">
        <v>0</v>
      </c>
      <c r="R64" s="3">
        <v>0</v>
      </c>
      <c r="S64" s="3">
        <v>0</v>
      </c>
      <c r="T64" s="3">
        <v>971800050</v>
      </c>
      <c r="U64" s="3" t="str">
        <f>"97/07/22"</f>
        <v>97/07/22</v>
      </c>
      <c r="V64" s="3" t="str">
        <f>"پورباقري ترابر (4914036)"</f>
        <v>پورباقري ترابر (4914036)</v>
      </c>
      <c r="W64" s="3" t="str">
        <f>"قرارگاه سازندگي خاتم الانبياء(ص )"</f>
        <v>قرارگاه سازندگي خاتم الانبياء(ص )</v>
      </c>
      <c r="X64" s="3" t="str">
        <f>"681/97"</f>
        <v>681/97</v>
      </c>
      <c r="Y64" s="3" t="str">
        <f>""</f>
        <v/>
      </c>
      <c r="Z64" s="3">
        <v>97048562</v>
      </c>
      <c r="AA64" s="3" t="str">
        <f>"داريوش سليماني مهر"</f>
        <v>داريوش سليماني مهر</v>
      </c>
      <c r="AB6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4" s="3">
        <v>18</v>
      </c>
      <c r="AD64" s="3" t="str">
        <f>"فروش داخلي تهران - وزارت راه - شرکت ساخت و توسعه راهها"</f>
        <v>فروش داخلي تهران - وزارت راه - شرکت ساخت و توسعه راهها</v>
      </c>
      <c r="AE64" s="3" t="str">
        <f>"فروش داخلي"</f>
        <v>فروش داخلي</v>
      </c>
      <c r="AG64" s="3" t="str">
        <f>"97/11/23"</f>
        <v>97/11/23</v>
      </c>
      <c r="AH64" s="3" t="str">
        <f>"19:10"</f>
        <v>19:10</v>
      </c>
      <c r="AI64" s="3" t="str">
        <f>"حواله فروش"</f>
        <v>حواله فروش</v>
      </c>
    </row>
    <row r="65" spans="1:35" x14ac:dyDescent="0.2">
      <c r="A65" s="3" t="str">
        <f>"97/11/24"</f>
        <v>97/11/24</v>
      </c>
      <c r="B65" s="3" t="str">
        <f>"07:52"</f>
        <v>07:52</v>
      </c>
      <c r="C65" s="3" t="str">
        <f>"08:20"</f>
        <v>08:20</v>
      </c>
      <c r="D65" s="3" t="str">
        <f>"قير  PG64-22"</f>
        <v>قير  PG64-22</v>
      </c>
      <c r="E65" s="3" t="str">
        <f>"679ع79 ايران43"</f>
        <v>679ع79 ايران43</v>
      </c>
      <c r="F65" s="3" t="str">
        <f>"احمد زمان پور"</f>
        <v>احمد زمان پور</v>
      </c>
      <c r="G65" s="3">
        <v>473073</v>
      </c>
      <c r="H65" s="3">
        <v>473742</v>
      </c>
      <c r="I65" s="3">
        <v>4609</v>
      </c>
      <c r="J65" s="3">
        <v>37221</v>
      </c>
      <c r="K65" s="3" t="str">
        <f>"9600670528"</f>
        <v>9600670528</v>
      </c>
      <c r="L65" s="3">
        <v>23360</v>
      </c>
      <c r="M65" s="3">
        <v>23360</v>
      </c>
      <c r="N65" s="3">
        <v>100</v>
      </c>
      <c r="O65" s="3" t="str">
        <f>"مخازن قير اصفهان"</f>
        <v>مخازن قير اصفهان</v>
      </c>
      <c r="P65" s="3" t="str">
        <f>"فله"</f>
        <v>فله</v>
      </c>
      <c r="Q65" s="3">
        <v>0</v>
      </c>
      <c r="R65" s="3">
        <v>0</v>
      </c>
      <c r="S65" s="3">
        <v>0</v>
      </c>
      <c r="T65" s="3">
        <v>971800050</v>
      </c>
      <c r="U65" s="3" t="str">
        <f>"97/07/22"</f>
        <v>97/07/22</v>
      </c>
      <c r="V65" s="3" t="str">
        <f>"پورباقري ترابر (4914036)"</f>
        <v>پورباقري ترابر (4914036)</v>
      </c>
      <c r="W65" s="3" t="str">
        <f>"قرارگاه سازندگي خاتم الانبياء(ص )"</f>
        <v>قرارگاه سازندگي خاتم الانبياء(ص )</v>
      </c>
      <c r="X65" s="3" t="str">
        <f>"683/97"</f>
        <v>683/97</v>
      </c>
      <c r="Y65" s="3" t="str">
        <f>""</f>
        <v/>
      </c>
      <c r="Z65" s="3">
        <v>97048645</v>
      </c>
      <c r="AA65" s="3" t="str">
        <f>"مسعود ليموچي"</f>
        <v>مسعود ليموچي</v>
      </c>
      <c r="AB6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5" s="3">
        <v>18</v>
      </c>
      <c r="AD65" s="3" t="str">
        <f>"فروش داخلي تهران - وزارت راه - شرکت ساخت و توسعه راهها"</f>
        <v>فروش داخلي تهران - وزارت راه - شرکت ساخت و توسعه راهها</v>
      </c>
      <c r="AE65" s="3" t="str">
        <f>"فروش داخلي"</f>
        <v>فروش داخلي</v>
      </c>
      <c r="AG65" s="3" t="str">
        <f>"97/11/24"</f>
        <v>97/11/24</v>
      </c>
      <c r="AH65" s="3" t="str">
        <f>"09:04"</f>
        <v>09:04</v>
      </c>
      <c r="AI65" s="3" t="str">
        <f>"حواله فروش"</f>
        <v>حواله فروش</v>
      </c>
    </row>
    <row r="66" spans="1:35" x14ac:dyDescent="0.2">
      <c r="A66" s="3" t="str">
        <f>"97/11/24"</f>
        <v>97/11/24</v>
      </c>
      <c r="B66" s="3" t="str">
        <f>"09:58"</f>
        <v>09:58</v>
      </c>
      <c r="C66" s="3" t="str">
        <f>"10:19"</f>
        <v>10:19</v>
      </c>
      <c r="D66" s="3" t="str">
        <f>"قير  PG64-22"</f>
        <v>قير  PG64-22</v>
      </c>
      <c r="E66" s="3" t="str">
        <f>"157ع49 ايران13"</f>
        <v>157ع49 ايران13</v>
      </c>
      <c r="F66" s="3" t="str">
        <f>"خليل حقيقي"</f>
        <v>خليل حقيقي</v>
      </c>
      <c r="G66" s="3">
        <v>473998</v>
      </c>
      <c r="H66" s="3">
        <v>473994</v>
      </c>
      <c r="I66" s="3">
        <v>4610</v>
      </c>
      <c r="J66" s="3">
        <v>37246</v>
      </c>
      <c r="K66" s="3" t="str">
        <f>"9603606596"</f>
        <v>9603606596</v>
      </c>
      <c r="L66" s="3">
        <v>22640</v>
      </c>
      <c r="M66" s="3">
        <v>22640</v>
      </c>
      <c r="N66" s="3">
        <v>100</v>
      </c>
      <c r="O66" s="3" t="str">
        <f>"مخازن قير اصفهان"</f>
        <v>مخازن قير اصفهان</v>
      </c>
      <c r="P66" s="3" t="str">
        <f>"فله"</f>
        <v>فله</v>
      </c>
      <c r="Q66" s="3">
        <v>0</v>
      </c>
      <c r="R66" s="3">
        <v>0</v>
      </c>
      <c r="S66" s="3">
        <v>0</v>
      </c>
      <c r="T66" s="3">
        <v>971800050</v>
      </c>
      <c r="U66" s="3" t="str">
        <f>"97/07/22"</f>
        <v>97/07/22</v>
      </c>
      <c r="V66" s="3" t="str">
        <f>"پورباقري ترابر (4914036)"</f>
        <v>پورباقري ترابر (4914036)</v>
      </c>
      <c r="W66" s="3" t="str">
        <f>"قرارگاه سازندگي خاتم الانبياء(ص )"</f>
        <v>قرارگاه سازندگي خاتم الانبياء(ص )</v>
      </c>
      <c r="X66" s="3" t="str">
        <f>"683/97"</f>
        <v>683/97</v>
      </c>
      <c r="Y66" s="3" t="str">
        <f>""</f>
        <v/>
      </c>
      <c r="Z66" s="3">
        <v>97048664</v>
      </c>
      <c r="AA66" s="3" t="str">
        <f>"مسعود ليموچي"</f>
        <v>مسعود ليموچي</v>
      </c>
      <c r="AB6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6" s="3">
        <v>18</v>
      </c>
      <c r="AD66" s="3" t="str">
        <f>"فروش داخلي تهران - وزارت راه - شرکت ساخت و توسعه راهها"</f>
        <v>فروش داخلي تهران - وزارت راه - شرکت ساخت و توسعه راهها</v>
      </c>
      <c r="AE66" s="3" t="str">
        <f>"فروش داخلي"</f>
        <v>فروش داخلي</v>
      </c>
      <c r="AG66" s="3" t="str">
        <f>"97/11/24"</f>
        <v>97/11/24</v>
      </c>
      <c r="AH66" s="3" t="str">
        <f>"10:39"</f>
        <v>10:39</v>
      </c>
      <c r="AI66" s="3" t="str">
        <f>"حواله فروش"</f>
        <v>حواله فروش</v>
      </c>
    </row>
    <row r="67" spans="1:35" x14ac:dyDescent="0.2">
      <c r="A67" s="3" t="str">
        <f>"97/11/24"</f>
        <v>97/11/24</v>
      </c>
      <c r="B67" s="3" t="str">
        <f>"11:25"</f>
        <v>11:25</v>
      </c>
      <c r="C67" s="3" t="str">
        <f>"12:06"</f>
        <v>12:06</v>
      </c>
      <c r="D67" s="3" t="str">
        <f>"قير  PG64-22"</f>
        <v>قير  PG64-22</v>
      </c>
      <c r="E67" s="3" t="str">
        <f>"869ع27 ايران13"</f>
        <v>869ع27 ايران13</v>
      </c>
      <c r="F67" s="3" t="str">
        <f>"غلامرضا هاديان"</f>
        <v>غلامرضا هاديان</v>
      </c>
      <c r="G67" s="3">
        <v>473578</v>
      </c>
      <c r="H67" s="3">
        <v>473627</v>
      </c>
      <c r="I67" s="3">
        <v>4612</v>
      </c>
      <c r="J67" s="3">
        <v>37266</v>
      </c>
      <c r="K67" s="3" t="str">
        <f>"9384825803"</f>
        <v>9384825803</v>
      </c>
      <c r="L67" s="3">
        <v>22120</v>
      </c>
      <c r="M67" s="3">
        <v>22120</v>
      </c>
      <c r="N67" s="3">
        <v>100</v>
      </c>
      <c r="O67" s="3" t="str">
        <f>"مخازن قير اصفهان"</f>
        <v>مخازن قير اصفهان</v>
      </c>
      <c r="P67" s="3" t="str">
        <f>"فله"</f>
        <v>فله</v>
      </c>
      <c r="Q67" s="3">
        <v>0</v>
      </c>
      <c r="R67" s="3">
        <v>0</v>
      </c>
      <c r="S67" s="3">
        <v>0</v>
      </c>
      <c r="T67" s="3">
        <v>971800050</v>
      </c>
      <c r="U67" s="3" t="str">
        <f>"97/07/22"</f>
        <v>97/07/22</v>
      </c>
      <c r="V67" s="3" t="str">
        <f>"پورباقري ترابر (4914036)"</f>
        <v>پورباقري ترابر (4914036)</v>
      </c>
      <c r="W67" s="3" t="str">
        <f>"قرارگاه سازندگي خاتم الانبياء(ص )"</f>
        <v>قرارگاه سازندگي خاتم الانبياء(ص )</v>
      </c>
      <c r="X67" s="3" t="str">
        <f>"683/97"</f>
        <v>683/97</v>
      </c>
      <c r="Y67" s="3" t="str">
        <f>""</f>
        <v/>
      </c>
      <c r="Z67" s="3">
        <v>97048683</v>
      </c>
      <c r="AA67" s="3" t="str">
        <f>"مسعود ليموچي"</f>
        <v>مسعود ليموچي</v>
      </c>
      <c r="AB6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7" s="3">
        <v>18</v>
      </c>
      <c r="AD67" s="3" t="str">
        <f>"فروش داخلي تهران - وزارت راه - شرکت ساخت و توسعه راهها"</f>
        <v>فروش داخلي تهران - وزارت راه - شرکت ساخت و توسعه راهها</v>
      </c>
      <c r="AE67" s="3" t="str">
        <f>"فروش داخلي"</f>
        <v>فروش داخلي</v>
      </c>
      <c r="AG67" s="3" t="str">
        <f>"97/11/24"</f>
        <v>97/11/24</v>
      </c>
      <c r="AH67" s="3" t="str">
        <f>"12:27"</f>
        <v>12:27</v>
      </c>
      <c r="AI67" s="3" t="str">
        <f>"حواله فروش"</f>
        <v>حواله فروش</v>
      </c>
    </row>
    <row r="68" spans="1:35" x14ac:dyDescent="0.2">
      <c r="A68" s="3" t="str">
        <f>"97/11/24"</f>
        <v>97/11/24</v>
      </c>
      <c r="B68" s="3" t="str">
        <f>"11:35"</f>
        <v>11:35</v>
      </c>
      <c r="C68" s="3" t="str">
        <f>"12:08"</f>
        <v>12:08</v>
      </c>
      <c r="D68" s="3" t="str">
        <f>"قير  PG64-22"</f>
        <v>قير  PG64-22</v>
      </c>
      <c r="E68" s="3" t="str">
        <f>"776ع44 ايران23"</f>
        <v>776ع44 ايران23</v>
      </c>
      <c r="F68" s="3" t="str">
        <f>"حبيب اله يزداني"</f>
        <v>حبيب اله يزداني</v>
      </c>
      <c r="G68" s="3">
        <v>473900</v>
      </c>
      <c r="H68" s="3">
        <v>388072</v>
      </c>
      <c r="I68" s="3">
        <v>4613</v>
      </c>
      <c r="J68" s="3">
        <v>37267</v>
      </c>
      <c r="K68" s="3" t="str">
        <f>"9605512654"</f>
        <v>9605512654</v>
      </c>
      <c r="L68" s="3">
        <v>24680</v>
      </c>
      <c r="M68" s="3">
        <v>24680</v>
      </c>
      <c r="N68" s="3">
        <v>100</v>
      </c>
      <c r="O68" s="3" t="str">
        <f>"مخازن قير اصفهان"</f>
        <v>مخازن قير اصفهان</v>
      </c>
      <c r="P68" s="3" t="str">
        <f>"فله"</f>
        <v>فله</v>
      </c>
      <c r="Q68" s="3">
        <v>0</v>
      </c>
      <c r="R68" s="3">
        <v>0</v>
      </c>
      <c r="S68" s="3">
        <v>0</v>
      </c>
      <c r="T68" s="3">
        <v>971800050</v>
      </c>
      <c r="U68" s="3" t="str">
        <f>"97/07/22"</f>
        <v>97/07/22</v>
      </c>
      <c r="V68" s="3" t="str">
        <f>"پورباقري ترابر (4914036)"</f>
        <v>پورباقري ترابر (4914036)</v>
      </c>
      <c r="W68" s="3" t="str">
        <f>"قرارگاه سازندگي خاتم الانبياء(ص )"</f>
        <v>قرارگاه سازندگي خاتم الانبياء(ص )</v>
      </c>
      <c r="X68" s="3" t="str">
        <f>"683/97"</f>
        <v>683/97</v>
      </c>
      <c r="Y68" s="3" t="str">
        <f>""</f>
        <v/>
      </c>
      <c r="Z68" s="3">
        <v>97048686</v>
      </c>
      <c r="AA68" s="3" t="str">
        <f>"مسعود ليموچي"</f>
        <v>مسعود ليموچي</v>
      </c>
      <c r="AB6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8" s="3">
        <v>18</v>
      </c>
      <c r="AD68" s="3" t="str">
        <f>"فروش داخلي تهران - وزارت راه - شرکت ساخت و توسعه راهها"</f>
        <v>فروش داخلي تهران - وزارت راه - شرکت ساخت و توسعه راهها</v>
      </c>
      <c r="AE68" s="3" t="str">
        <f>"فروش داخلي"</f>
        <v>فروش داخلي</v>
      </c>
      <c r="AG68" s="3" t="str">
        <f>"97/11/24"</f>
        <v>97/11/24</v>
      </c>
      <c r="AH68" s="3" t="str">
        <f>"12:32"</f>
        <v>12:32</v>
      </c>
      <c r="AI68" s="3" t="str">
        <f>"حواله فروش"</f>
        <v>حواله فروش</v>
      </c>
    </row>
    <row r="69" spans="1:35" x14ac:dyDescent="0.2">
      <c r="A69" s="3" t="str">
        <f>"97/11/24"</f>
        <v>97/11/24</v>
      </c>
      <c r="B69" s="3" t="str">
        <f>"12:40"</f>
        <v>12:40</v>
      </c>
      <c r="C69" s="3" t="str">
        <f>"12:54"</f>
        <v>12:54</v>
      </c>
      <c r="D69" s="3" t="str">
        <f>"قير  PG64-22"</f>
        <v>قير  PG64-22</v>
      </c>
      <c r="E69" s="3" t="str">
        <f>"854ع71 ايران23"</f>
        <v>854ع71 ايران23</v>
      </c>
      <c r="F69" s="3" t="str">
        <f>"مجتبي هوشمندجزي"</f>
        <v>مجتبي هوشمندجزي</v>
      </c>
      <c r="G69" s="3">
        <v>388077</v>
      </c>
      <c r="H69" s="3">
        <v>388075</v>
      </c>
      <c r="I69" s="3">
        <v>4614</v>
      </c>
      <c r="J69" s="3">
        <v>37269</v>
      </c>
      <c r="K69" s="3" t="str">
        <f>"9700869029"</f>
        <v>9700869029</v>
      </c>
      <c r="L69" s="3">
        <v>24340</v>
      </c>
      <c r="M69" s="3">
        <v>24340</v>
      </c>
      <c r="N69" s="3">
        <v>100</v>
      </c>
      <c r="O69" s="3" t="str">
        <f>"مخازن قير اصفهان"</f>
        <v>مخازن قير اصفهان</v>
      </c>
      <c r="P69" s="3" t="str">
        <f>"فله"</f>
        <v>فله</v>
      </c>
      <c r="Q69" s="3">
        <v>0</v>
      </c>
      <c r="R69" s="3">
        <v>0</v>
      </c>
      <c r="S69" s="3">
        <v>0</v>
      </c>
      <c r="T69" s="3">
        <v>971800050</v>
      </c>
      <c r="U69" s="3" t="str">
        <f>"97/07/22"</f>
        <v>97/07/22</v>
      </c>
      <c r="V69" s="3" t="str">
        <f>"پورباقري ترابر (4914036)"</f>
        <v>پورباقري ترابر (4914036)</v>
      </c>
      <c r="W69" s="3" t="str">
        <f>"قرارگاه سازندگي خاتم الانبياء(ص )"</f>
        <v>قرارگاه سازندگي خاتم الانبياء(ص )</v>
      </c>
      <c r="X69" s="3" t="str">
        <f>"683/97"</f>
        <v>683/97</v>
      </c>
      <c r="Y69" s="3" t="str">
        <f>""</f>
        <v/>
      </c>
      <c r="Z69" s="3">
        <v>97048691</v>
      </c>
      <c r="AA69" s="3" t="str">
        <f>"مسعود ليموچي"</f>
        <v>مسعود ليموچي</v>
      </c>
      <c r="AB6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69" s="3">
        <v>18</v>
      </c>
      <c r="AD69" s="3" t="str">
        <f>"فروش داخلي تهران - وزارت راه - شرکت ساخت و توسعه راهها"</f>
        <v>فروش داخلي تهران - وزارت راه - شرکت ساخت و توسعه راهها</v>
      </c>
      <c r="AE69" s="3" t="str">
        <f>"فروش داخلي"</f>
        <v>فروش داخلي</v>
      </c>
      <c r="AG69" s="3" t="str">
        <f>"97/11/24"</f>
        <v>97/11/24</v>
      </c>
      <c r="AH69" s="3" t="str">
        <f>"13:21"</f>
        <v>13:21</v>
      </c>
      <c r="AI69" s="3" t="str">
        <f>"حواله فروش"</f>
        <v>حواله فروش</v>
      </c>
    </row>
    <row r="70" spans="1:35" x14ac:dyDescent="0.2">
      <c r="A70" s="3" t="str">
        <f>"97/11/24"</f>
        <v>97/11/24</v>
      </c>
      <c r="B70" s="3" t="str">
        <f>"12:41"</f>
        <v>12:41</v>
      </c>
      <c r="C70" s="3" t="str">
        <f>"13:01"</f>
        <v>13:01</v>
      </c>
      <c r="D70" s="3" t="str">
        <f>"قير  PG64-22"</f>
        <v>قير  PG64-22</v>
      </c>
      <c r="E70" s="3" t="str">
        <f>"415ع37 ايران23"</f>
        <v>415ع37 ايران23</v>
      </c>
      <c r="F70" s="3" t="str">
        <f>"صفر علي حيدري"</f>
        <v>صفر علي حيدري</v>
      </c>
      <c r="G70" s="3">
        <v>473575</v>
      </c>
      <c r="H70" s="3">
        <v>473572</v>
      </c>
      <c r="I70" s="3">
        <v>4615</v>
      </c>
      <c r="J70" s="3">
        <v>37270</v>
      </c>
      <c r="K70" s="3" t="str">
        <f>"9283083460"</f>
        <v>9283083460</v>
      </c>
      <c r="L70" s="3">
        <v>21600</v>
      </c>
      <c r="M70" s="3">
        <v>21600</v>
      </c>
      <c r="N70" s="3">
        <v>100</v>
      </c>
      <c r="O70" s="3" t="str">
        <f>"مخازن قير اصفهان"</f>
        <v>مخازن قير اصفهان</v>
      </c>
      <c r="P70" s="3" t="str">
        <f>"فله"</f>
        <v>فله</v>
      </c>
      <c r="Q70" s="3">
        <v>0</v>
      </c>
      <c r="R70" s="3">
        <v>0</v>
      </c>
      <c r="S70" s="3">
        <v>0</v>
      </c>
      <c r="T70" s="3">
        <v>971800050</v>
      </c>
      <c r="U70" s="3" t="str">
        <f>"97/07/22"</f>
        <v>97/07/22</v>
      </c>
      <c r="V70" s="3" t="str">
        <f>"پورباقري ترابر (4914036)"</f>
        <v>پورباقري ترابر (4914036)</v>
      </c>
      <c r="W70" s="3" t="str">
        <f>"قرارگاه سازندگي خاتم الانبياء(ص )"</f>
        <v>قرارگاه سازندگي خاتم الانبياء(ص )</v>
      </c>
      <c r="X70" s="3" t="str">
        <f>"683/97"</f>
        <v>683/97</v>
      </c>
      <c r="Y70" s="3" t="str">
        <f>""</f>
        <v/>
      </c>
      <c r="Z70" s="3">
        <v>97048695</v>
      </c>
      <c r="AA70" s="3" t="str">
        <f>"مسعود ليموچي"</f>
        <v>مسعود ليموچي</v>
      </c>
      <c r="AB7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0" s="3">
        <v>18</v>
      </c>
      <c r="AD70" s="3" t="str">
        <f>"فروش داخلي تهران - وزارت راه - شرکت ساخت و توسعه راهها"</f>
        <v>فروش داخلي تهران - وزارت راه - شرکت ساخت و توسعه راهها</v>
      </c>
      <c r="AE70" s="3" t="str">
        <f>"فروش داخلي"</f>
        <v>فروش داخلي</v>
      </c>
      <c r="AG70" s="3" t="str">
        <f>"97/11/24"</f>
        <v>97/11/24</v>
      </c>
      <c r="AH70" s="3" t="str">
        <f>"13:26"</f>
        <v>13:26</v>
      </c>
      <c r="AI70" s="3" t="str">
        <f>"حواله فروش"</f>
        <v>حواله فروش</v>
      </c>
    </row>
    <row r="71" spans="1:35" x14ac:dyDescent="0.2">
      <c r="A71" s="3" t="str">
        <f>"97/11/24"</f>
        <v>97/11/24</v>
      </c>
      <c r="B71" s="3" t="str">
        <f>"15:19"</f>
        <v>15:19</v>
      </c>
      <c r="C71" s="3" t="str">
        <f>"15:36"</f>
        <v>15:36</v>
      </c>
      <c r="D71" s="3" t="str">
        <f>"قير  PG64-22"</f>
        <v>قير  PG64-22</v>
      </c>
      <c r="E71" s="3" t="str">
        <f>"255ع27 ايران13"</f>
        <v>255ع27 ايران13</v>
      </c>
      <c r="F71" s="3" t="str">
        <f>"مجيد آقابابايي"</f>
        <v>مجيد آقابابايي</v>
      </c>
      <c r="G71" s="3">
        <v>392257</v>
      </c>
      <c r="H71" s="3">
        <v>392398</v>
      </c>
      <c r="I71" s="3">
        <v>4616</v>
      </c>
      <c r="J71" s="3">
        <v>37282</v>
      </c>
      <c r="K71" s="3" t="str">
        <f>"9380531540"</f>
        <v>9380531540</v>
      </c>
      <c r="L71" s="3">
        <v>23960</v>
      </c>
      <c r="M71" s="3">
        <v>23960</v>
      </c>
      <c r="N71" s="3">
        <v>100</v>
      </c>
      <c r="O71" s="3" t="str">
        <f>"مخازن قير اصفهان"</f>
        <v>مخازن قير اصفهان</v>
      </c>
      <c r="P71" s="3" t="str">
        <f>"فله"</f>
        <v>فله</v>
      </c>
      <c r="Q71" s="3">
        <v>0</v>
      </c>
      <c r="R71" s="3">
        <v>0</v>
      </c>
      <c r="S71" s="3">
        <v>0</v>
      </c>
      <c r="T71" s="3">
        <v>971800050</v>
      </c>
      <c r="U71" s="3" t="str">
        <f>"97/07/22"</f>
        <v>97/07/22</v>
      </c>
      <c r="V71" s="3" t="str">
        <f>"پورباقري ترابر (4914036)"</f>
        <v>پورباقري ترابر (4914036)</v>
      </c>
      <c r="W71" s="3" t="str">
        <f>"قرارگاه سازندگي خاتم الانبياء(ص )"</f>
        <v>قرارگاه سازندگي خاتم الانبياء(ص )</v>
      </c>
      <c r="X71" s="3" t="str">
        <f>"685/97"</f>
        <v>685/97</v>
      </c>
      <c r="Y71" s="3" t="str">
        <f>""</f>
        <v/>
      </c>
      <c r="Z71" s="3">
        <v>97048706</v>
      </c>
      <c r="AA71" s="3" t="str">
        <f>"مسعود ليموچي"</f>
        <v>مسعود ليموچي</v>
      </c>
      <c r="AB7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1" s="3">
        <v>18</v>
      </c>
      <c r="AD71" s="3" t="str">
        <f>"فروش داخلي تهران - وزارت راه - شرکت ساخت و توسعه راهها"</f>
        <v>فروش داخلي تهران - وزارت راه - شرکت ساخت و توسعه راهها</v>
      </c>
      <c r="AE71" s="3" t="str">
        <f>"فروش داخلي"</f>
        <v>فروش داخلي</v>
      </c>
      <c r="AG71" s="3" t="str">
        <f>"97/11/24"</f>
        <v>97/11/24</v>
      </c>
      <c r="AH71" s="3" t="str">
        <f>"16:03"</f>
        <v>16:03</v>
      </c>
      <c r="AI71" s="3" t="str">
        <f>"حواله فروش"</f>
        <v>حواله فروش</v>
      </c>
    </row>
    <row r="72" spans="1:35" x14ac:dyDescent="0.2">
      <c r="A72" s="3" t="str">
        <f>"97/11/24"</f>
        <v>97/11/24</v>
      </c>
      <c r="B72" s="3" t="str">
        <f>"15:14"</f>
        <v>15:14</v>
      </c>
      <c r="C72" s="3" t="str">
        <f>"15:38"</f>
        <v>15:38</v>
      </c>
      <c r="D72" s="3" t="str">
        <f>"قير  PG64-22"</f>
        <v>قير  PG64-22</v>
      </c>
      <c r="E72" s="3" t="str">
        <f>"488ع59 ايران43"</f>
        <v>488ع59 ايران43</v>
      </c>
      <c r="F72" s="3" t="str">
        <f>"حميد رضا حميدي حشمتي"</f>
        <v>حميد رضا حميدي حشمتي</v>
      </c>
      <c r="G72" s="3">
        <v>392265</v>
      </c>
      <c r="H72" s="3">
        <v>392245</v>
      </c>
      <c r="I72" s="3">
        <v>4617</v>
      </c>
      <c r="J72" s="3">
        <v>37284</v>
      </c>
      <c r="K72" s="3" t="str">
        <f>"9601944460"</f>
        <v>9601944460</v>
      </c>
      <c r="L72" s="3">
        <v>25820</v>
      </c>
      <c r="M72" s="3">
        <v>25820</v>
      </c>
      <c r="N72" s="3">
        <v>100</v>
      </c>
      <c r="O72" s="3" t="str">
        <f>"مخازن قير اصفهان"</f>
        <v>مخازن قير اصفهان</v>
      </c>
      <c r="P72" s="3" t="str">
        <f>"فله"</f>
        <v>فله</v>
      </c>
      <c r="Q72" s="3">
        <v>0</v>
      </c>
      <c r="R72" s="3">
        <v>0</v>
      </c>
      <c r="S72" s="3">
        <v>0</v>
      </c>
      <c r="T72" s="3">
        <v>971800050</v>
      </c>
      <c r="U72" s="3" t="str">
        <f>"97/07/22"</f>
        <v>97/07/22</v>
      </c>
      <c r="V72" s="3" t="str">
        <f>"پورباقري ترابر (4914036)"</f>
        <v>پورباقري ترابر (4914036)</v>
      </c>
      <c r="W72" s="3" t="str">
        <f>"قرارگاه سازندگي خاتم الانبياء(ص )"</f>
        <v>قرارگاه سازندگي خاتم الانبياء(ص )</v>
      </c>
      <c r="X72" s="3" t="str">
        <f>"685/97"</f>
        <v>685/97</v>
      </c>
      <c r="Y72" s="3" t="str">
        <f>""</f>
        <v/>
      </c>
      <c r="Z72" s="3">
        <v>97048704</v>
      </c>
      <c r="AA72" s="3" t="str">
        <f>"مسعود ليموچي"</f>
        <v>مسعود ليموچي</v>
      </c>
      <c r="AB7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2" s="3">
        <v>18</v>
      </c>
      <c r="AD72" s="3" t="str">
        <f>"فروش داخلي تهران - وزارت راه - شرکت ساخت و توسعه راهها"</f>
        <v>فروش داخلي تهران - وزارت راه - شرکت ساخت و توسعه راهها</v>
      </c>
      <c r="AE72" s="3" t="str">
        <f>"فروش داخلي"</f>
        <v>فروش داخلي</v>
      </c>
      <c r="AG72" s="3" t="str">
        <f>"97/11/24"</f>
        <v>97/11/24</v>
      </c>
      <c r="AH72" s="3" t="str">
        <f>"16:13"</f>
        <v>16:13</v>
      </c>
      <c r="AI72" s="3" t="str">
        <f>"حواله فروش"</f>
        <v>حواله فروش</v>
      </c>
    </row>
    <row r="73" spans="1:35" x14ac:dyDescent="0.2">
      <c r="A73" s="3" t="str">
        <f>"97/11/24"</f>
        <v>97/11/24</v>
      </c>
      <c r="B73" s="3" t="str">
        <f>"15:28"</f>
        <v>15:28</v>
      </c>
      <c r="C73" s="3" t="str">
        <f>"15:42"</f>
        <v>15:42</v>
      </c>
      <c r="D73" s="3" t="str">
        <f>"قير  PG64-22"</f>
        <v>قير  PG64-22</v>
      </c>
      <c r="E73" s="3" t="str">
        <f>"339ع59 ايران43"</f>
        <v>339ع59 ايران43</v>
      </c>
      <c r="F73" s="3" t="str">
        <f>"مجيد يزداني"</f>
        <v>مجيد يزداني</v>
      </c>
      <c r="G73" s="3">
        <v>392516</v>
      </c>
      <c r="H73" s="3">
        <v>392381</v>
      </c>
      <c r="I73" s="3">
        <v>4618</v>
      </c>
      <c r="J73" s="3">
        <v>37288</v>
      </c>
      <c r="K73" s="3" t="str">
        <f>"9210017070"</f>
        <v>9210017070</v>
      </c>
      <c r="L73" s="3">
        <v>21860</v>
      </c>
      <c r="M73" s="3">
        <v>21860</v>
      </c>
      <c r="N73" s="3">
        <v>100</v>
      </c>
      <c r="O73" s="3" t="str">
        <f>"مخازن قير اصفهان"</f>
        <v>مخازن قير اصفهان</v>
      </c>
      <c r="P73" s="3" t="str">
        <f>"فله"</f>
        <v>فله</v>
      </c>
      <c r="Q73" s="3">
        <v>0</v>
      </c>
      <c r="R73" s="3">
        <v>0</v>
      </c>
      <c r="S73" s="3">
        <v>0</v>
      </c>
      <c r="T73" s="3">
        <v>971800050</v>
      </c>
      <c r="U73" s="3" t="str">
        <f>"97/07/22"</f>
        <v>97/07/22</v>
      </c>
      <c r="V73" s="3" t="str">
        <f>"پورباقري ترابر (4914036)"</f>
        <v>پورباقري ترابر (4914036)</v>
      </c>
      <c r="W73" s="3" t="str">
        <f>"قرارگاه سازندگي خاتم الانبياء(ص )"</f>
        <v>قرارگاه سازندگي خاتم الانبياء(ص )</v>
      </c>
      <c r="X73" s="3" t="str">
        <f>"685/97"</f>
        <v>685/97</v>
      </c>
      <c r="Y73" s="3" t="str">
        <f>""</f>
        <v/>
      </c>
      <c r="Z73" s="3">
        <v>97048709</v>
      </c>
      <c r="AA73" s="3" t="str">
        <f>"مسعود ليموچي"</f>
        <v>مسعود ليموچي</v>
      </c>
      <c r="AB7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3" s="3">
        <v>18</v>
      </c>
      <c r="AD73" s="3" t="str">
        <f>"فروش داخلي تهران - وزارت راه - شرکت ساخت و توسعه راهها"</f>
        <v>فروش داخلي تهران - وزارت راه - شرکت ساخت و توسعه راهها</v>
      </c>
      <c r="AE73" s="3" t="str">
        <f>"فروش داخلي"</f>
        <v>فروش داخلي</v>
      </c>
      <c r="AG73" s="3" t="str">
        <f>"97/11/24"</f>
        <v>97/11/24</v>
      </c>
      <c r="AH73" s="3" t="str">
        <f>"16:38"</f>
        <v>16:38</v>
      </c>
      <c r="AI73" s="3" t="str">
        <f>"حواله فروش"</f>
        <v>حواله فروش</v>
      </c>
    </row>
    <row r="74" spans="1:35" x14ac:dyDescent="0.2">
      <c r="A74" s="3" t="str">
        <f>"97/11/24"</f>
        <v>97/11/24</v>
      </c>
      <c r="B74" s="3" t="str">
        <f>"19:07"</f>
        <v>19:07</v>
      </c>
      <c r="C74" s="3" t="str">
        <f>"19:22"</f>
        <v>19:22</v>
      </c>
      <c r="D74" s="3" t="str">
        <f>"قير  PG64-22"</f>
        <v>قير  PG64-22</v>
      </c>
      <c r="E74" s="3" t="str">
        <f>"643ع96 ايران23"</f>
        <v>643ع96 ايران23</v>
      </c>
      <c r="F74" s="3" t="str">
        <f>"حميد رجبي"</f>
        <v>حميد رجبي</v>
      </c>
      <c r="G74" s="3">
        <v>392763</v>
      </c>
      <c r="H74" s="3">
        <v>392767</v>
      </c>
      <c r="I74" s="3">
        <v>4621</v>
      </c>
      <c r="J74" s="3">
        <v>37308</v>
      </c>
      <c r="K74" s="3" t="str">
        <f>"9110199773"</f>
        <v>9110199773</v>
      </c>
      <c r="L74" s="3">
        <v>23900</v>
      </c>
      <c r="M74" s="3">
        <v>23900</v>
      </c>
      <c r="N74" s="3">
        <v>100</v>
      </c>
      <c r="O74" s="3" t="str">
        <f>"مخازن قير اصفهان"</f>
        <v>مخازن قير اصفهان</v>
      </c>
      <c r="P74" s="3" t="str">
        <f>"فله"</f>
        <v>فله</v>
      </c>
      <c r="Q74" s="3">
        <v>0</v>
      </c>
      <c r="R74" s="3">
        <v>0</v>
      </c>
      <c r="S74" s="3">
        <v>0</v>
      </c>
      <c r="T74" s="3">
        <v>971800050</v>
      </c>
      <c r="U74" s="3" t="str">
        <f>"97/07/22"</f>
        <v>97/07/22</v>
      </c>
      <c r="V74" s="3" t="str">
        <f>"پورباقري ترابر (4914036)"</f>
        <v>پورباقري ترابر (4914036)</v>
      </c>
      <c r="W74" s="3" t="str">
        <f>"قرارگاه سازندگي خاتم الانبياء(ص )"</f>
        <v>قرارگاه سازندگي خاتم الانبياء(ص )</v>
      </c>
      <c r="X74" s="3" t="str">
        <f>"685/97"</f>
        <v>685/97</v>
      </c>
      <c r="Y74" s="3" t="str">
        <f>""</f>
        <v/>
      </c>
      <c r="Z74" s="3">
        <v>97048736</v>
      </c>
      <c r="AA74" s="3" t="str">
        <f>"مسعود ليموچي"</f>
        <v>مسعود ليموچي</v>
      </c>
      <c r="AB7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4" s="3">
        <v>18</v>
      </c>
      <c r="AD74" s="3" t="str">
        <f>"فروش داخلي تهران - وزارت راه - شرکت ساخت و توسعه راهها"</f>
        <v>فروش داخلي تهران - وزارت راه - شرکت ساخت و توسعه راهها</v>
      </c>
      <c r="AE74" s="3" t="str">
        <f>"فروش داخلي"</f>
        <v>فروش داخلي</v>
      </c>
      <c r="AG74" s="3" t="str">
        <f>"97/11/24"</f>
        <v>97/11/24</v>
      </c>
      <c r="AH74" s="3" t="str">
        <f>"19:52"</f>
        <v>19:52</v>
      </c>
      <c r="AI74" s="3" t="str">
        <f>"حواله فروش"</f>
        <v>حواله فروش</v>
      </c>
    </row>
    <row r="75" spans="1:35" x14ac:dyDescent="0.2">
      <c r="A75" s="3" t="str">
        <f>"97/11/24"</f>
        <v>97/11/24</v>
      </c>
      <c r="B75" s="3" t="str">
        <f>"19:04"</f>
        <v>19:04</v>
      </c>
      <c r="C75" s="3" t="str">
        <f>"19:30"</f>
        <v>19:30</v>
      </c>
      <c r="D75" s="3" t="str">
        <f>"قير  PG64-22"</f>
        <v>قير  PG64-22</v>
      </c>
      <c r="E75" s="3" t="str">
        <f>"136ع99 ايران45"</f>
        <v>136ع99 ايران45</v>
      </c>
      <c r="F75" s="3" t="str">
        <f>"مهدي داغلي"</f>
        <v>مهدي داغلي</v>
      </c>
      <c r="G75" s="3">
        <v>392764</v>
      </c>
      <c r="H75" s="3">
        <v>392761</v>
      </c>
      <c r="I75" s="3">
        <v>4622</v>
      </c>
      <c r="J75" s="3">
        <v>37310</v>
      </c>
      <c r="K75" s="3" t="str">
        <f>"9385246141"</f>
        <v>9385246141</v>
      </c>
      <c r="L75" s="3">
        <v>23640</v>
      </c>
      <c r="M75" s="3">
        <v>23640</v>
      </c>
      <c r="N75" s="3">
        <v>100</v>
      </c>
      <c r="O75" s="3" t="str">
        <f>"مخازن قير اصفهان"</f>
        <v>مخازن قير اصفهان</v>
      </c>
      <c r="P75" s="3" t="str">
        <f>"فله"</f>
        <v>فله</v>
      </c>
      <c r="Q75" s="3">
        <v>0</v>
      </c>
      <c r="R75" s="3">
        <v>0</v>
      </c>
      <c r="S75" s="3">
        <v>0</v>
      </c>
      <c r="T75" s="3">
        <v>971800050</v>
      </c>
      <c r="U75" s="3" t="str">
        <f>"97/07/22"</f>
        <v>97/07/22</v>
      </c>
      <c r="V75" s="3" t="str">
        <f>"پورباقري ترابر (4914036)"</f>
        <v>پورباقري ترابر (4914036)</v>
      </c>
      <c r="W75" s="3" t="str">
        <f>"قرارگاه سازندگي خاتم الانبياء(ص )"</f>
        <v>قرارگاه سازندگي خاتم الانبياء(ص )</v>
      </c>
      <c r="X75" s="3" t="str">
        <f>"685/97"</f>
        <v>685/97</v>
      </c>
      <c r="Y75" s="3" t="str">
        <f>""</f>
        <v/>
      </c>
      <c r="Z75" s="3">
        <v>97048735</v>
      </c>
      <c r="AA75" s="3" t="str">
        <f>"مسعود ليموچي"</f>
        <v>مسعود ليموچي</v>
      </c>
      <c r="AB7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5" s="3">
        <v>18</v>
      </c>
      <c r="AD75" s="3" t="str">
        <f>"فروش داخلي تهران - وزارت راه - شرکت ساخت و توسعه راهها"</f>
        <v>فروش داخلي تهران - وزارت راه - شرکت ساخت و توسعه راهها</v>
      </c>
      <c r="AE75" s="3" t="str">
        <f>"فروش داخلي"</f>
        <v>فروش داخلي</v>
      </c>
      <c r="AG75" s="3" t="str">
        <f>"97/11/24"</f>
        <v>97/11/24</v>
      </c>
      <c r="AH75" s="3" t="str">
        <f>"20:00"</f>
        <v>20:00</v>
      </c>
      <c r="AI75" s="3" t="str">
        <f>"حواله فروش"</f>
        <v>حواله فروش</v>
      </c>
    </row>
    <row r="76" spans="1:35" x14ac:dyDescent="0.2">
      <c r="A76" s="3" t="str">
        <f>"97/11/24"</f>
        <v>97/11/24</v>
      </c>
      <c r="B76" s="3" t="str">
        <f>"22:25"</f>
        <v>22:25</v>
      </c>
      <c r="C76" s="3" t="str">
        <f>"22:40"</f>
        <v>22:40</v>
      </c>
      <c r="D76" s="3" t="str">
        <f>"قير  PG64-22"</f>
        <v>قير  PG64-22</v>
      </c>
      <c r="E76" s="3" t="str">
        <f>"235ع15 ايران65"</f>
        <v>235ع15 ايران65</v>
      </c>
      <c r="F76" s="3" t="str">
        <f>"عليرضا تاختي"</f>
        <v>عليرضا تاختي</v>
      </c>
      <c r="G76" s="3">
        <v>412789</v>
      </c>
      <c r="H76" s="3">
        <v>412709</v>
      </c>
      <c r="I76" s="3">
        <v>4623</v>
      </c>
      <c r="J76" s="3">
        <v>37317</v>
      </c>
      <c r="K76" s="3" t="str">
        <f>"9402158285"</f>
        <v>9402158285</v>
      </c>
      <c r="L76" s="3">
        <v>24100</v>
      </c>
      <c r="M76" s="3">
        <v>24100</v>
      </c>
      <c r="N76" s="3">
        <v>100</v>
      </c>
      <c r="O76" s="3" t="str">
        <f>"مخازن قير اصفهان"</f>
        <v>مخازن قير اصفهان</v>
      </c>
      <c r="P76" s="3" t="str">
        <f>"فله"</f>
        <v>فله</v>
      </c>
      <c r="Q76" s="3">
        <v>0</v>
      </c>
      <c r="R76" s="3">
        <v>0</v>
      </c>
      <c r="S76" s="3">
        <v>0</v>
      </c>
      <c r="T76" s="3">
        <v>971800050</v>
      </c>
      <c r="U76" s="3" t="str">
        <f>"97/07/22"</f>
        <v>97/07/22</v>
      </c>
      <c r="V76" s="3" t="str">
        <f>"پورباقري ترابر (4914036)"</f>
        <v>پورباقري ترابر (4914036)</v>
      </c>
      <c r="W76" s="3" t="str">
        <f>"قرارگاه سازندگي خاتم الانبياء(ص )"</f>
        <v>قرارگاه سازندگي خاتم الانبياء(ص )</v>
      </c>
      <c r="X76" s="3" t="str">
        <f>"683/97"</f>
        <v>683/97</v>
      </c>
      <c r="Y76" s="3" t="str">
        <f>""</f>
        <v/>
      </c>
      <c r="Z76" s="3">
        <v>97048750</v>
      </c>
      <c r="AA76" s="3" t="str">
        <f>"مسعود ليموچي"</f>
        <v>مسعود ليموچي</v>
      </c>
      <c r="AB7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6" s="3">
        <v>18</v>
      </c>
      <c r="AD76" s="3" t="str">
        <f>"فروش داخلي تهران - وزارت راه - شرکت ساخت و توسعه راهها"</f>
        <v>فروش داخلي تهران - وزارت راه - شرکت ساخت و توسعه راهها</v>
      </c>
      <c r="AE76" s="3" t="str">
        <f>"فروش داخلي"</f>
        <v>فروش داخلي</v>
      </c>
      <c r="AG76" s="3" t="str">
        <f>"97/11/24"</f>
        <v>97/11/24</v>
      </c>
      <c r="AH76" s="3" t="str">
        <f>"23:06"</f>
        <v>23:06</v>
      </c>
      <c r="AI76" s="3" t="str">
        <f>"حواله فروش"</f>
        <v>حواله فروش</v>
      </c>
    </row>
    <row r="77" spans="1:35" x14ac:dyDescent="0.2">
      <c r="A77" s="3" t="str">
        <f>"97/11/24"</f>
        <v>97/11/24</v>
      </c>
      <c r="B77" s="3" t="str">
        <f>"22:29"</f>
        <v>22:29</v>
      </c>
      <c r="C77" s="3" t="str">
        <f>"22:42"</f>
        <v>22:42</v>
      </c>
      <c r="D77" s="3" t="str">
        <f>"قير  PG64-22"</f>
        <v>قير  PG64-22</v>
      </c>
      <c r="E77" s="3" t="str">
        <f>"778ع11 ايران65"</f>
        <v>778ع11 ايران65</v>
      </c>
      <c r="F77" s="3" t="str">
        <f>"محمد صاحب الزماني"</f>
        <v>محمد صاحب الزماني</v>
      </c>
      <c r="G77" s="3">
        <v>412593</v>
      </c>
      <c r="H77" s="3">
        <v>412784</v>
      </c>
      <c r="I77" s="3">
        <v>4624</v>
      </c>
      <c r="J77" s="3">
        <v>37319</v>
      </c>
      <c r="K77" s="3" t="str">
        <f>"9404207116"</f>
        <v>9404207116</v>
      </c>
      <c r="L77" s="3">
        <v>23440</v>
      </c>
      <c r="M77" s="3">
        <v>23440</v>
      </c>
      <c r="N77" s="3">
        <v>100</v>
      </c>
      <c r="O77" s="3" t="str">
        <f>"مخازن قير اصفهان"</f>
        <v>مخازن قير اصفهان</v>
      </c>
      <c r="P77" s="3" t="str">
        <f>"فله"</f>
        <v>فله</v>
      </c>
      <c r="Q77" s="3">
        <v>0</v>
      </c>
      <c r="R77" s="3">
        <v>0</v>
      </c>
      <c r="S77" s="3">
        <v>0</v>
      </c>
      <c r="T77" s="3">
        <v>971800050</v>
      </c>
      <c r="U77" s="3" t="str">
        <f>"97/07/22"</f>
        <v>97/07/22</v>
      </c>
      <c r="V77" s="3" t="str">
        <f>"پورباقري ترابر (4914036)"</f>
        <v>پورباقري ترابر (4914036)</v>
      </c>
      <c r="W77" s="3" t="str">
        <f>"قرارگاه سازندگي خاتم الانبياء(ص )"</f>
        <v>قرارگاه سازندگي خاتم الانبياء(ص )</v>
      </c>
      <c r="X77" s="3" t="str">
        <f>"685/97"</f>
        <v>685/97</v>
      </c>
      <c r="Y77" s="3" t="str">
        <f>""</f>
        <v/>
      </c>
      <c r="Z77" s="3">
        <v>97048751</v>
      </c>
      <c r="AA77" s="3" t="str">
        <f>"مسعود ليموچي"</f>
        <v>مسعود ليموچي</v>
      </c>
      <c r="AB7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7" s="3">
        <v>18</v>
      </c>
      <c r="AD77" s="3" t="str">
        <f>"فروش داخلي تهران - وزارت راه - شرکت ساخت و توسعه راهها"</f>
        <v>فروش داخلي تهران - وزارت راه - شرکت ساخت و توسعه راهها</v>
      </c>
      <c r="AE77" s="3" t="str">
        <f>"فروش داخلي"</f>
        <v>فروش داخلي</v>
      </c>
      <c r="AG77" s="3" t="str">
        <f>"97/11/24"</f>
        <v>97/11/24</v>
      </c>
      <c r="AH77" s="3" t="str">
        <f>"23:15"</f>
        <v>23:15</v>
      </c>
      <c r="AI77" s="3" t="str">
        <f>"حواله فروش"</f>
        <v>حواله فروش</v>
      </c>
    </row>
    <row r="78" spans="1:35" x14ac:dyDescent="0.2">
      <c r="A78" s="3" t="str">
        <f>"97/11/25"</f>
        <v>97/11/25</v>
      </c>
      <c r="B78" s="3" t="str">
        <f>"10:23"</f>
        <v>10:23</v>
      </c>
      <c r="C78" s="3" t="str">
        <f>"10:35"</f>
        <v>10:35</v>
      </c>
      <c r="D78" s="3" t="str">
        <f>"قير  PG64-22"</f>
        <v>قير  PG64-22</v>
      </c>
      <c r="E78" s="3" t="str">
        <f>"971ع65 ايران43"</f>
        <v>971ع65 ايران43</v>
      </c>
      <c r="F78" s="3" t="str">
        <f>"محمد حسين عربيان"</f>
        <v>محمد حسين عربيان</v>
      </c>
      <c r="G78" s="3">
        <v>471954</v>
      </c>
      <c r="H78" s="3">
        <v>393874</v>
      </c>
      <c r="I78" s="3">
        <v>4625</v>
      </c>
      <c r="J78" s="3">
        <v>37353</v>
      </c>
      <c r="K78" s="3" t="str">
        <f>"9382207766"</f>
        <v>9382207766</v>
      </c>
      <c r="L78" s="3">
        <v>21680</v>
      </c>
      <c r="M78" s="3">
        <v>21680</v>
      </c>
      <c r="N78" s="3">
        <v>100</v>
      </c>
      <c r="O78" s="3" t="str">
        <f>"مخازن قير اصفهان"</f>
        <v>مخازن قير اصفهان</v>
      </c>
      <c r="P78" s="3" t="str">
        <f>"فله"</f>
        <v>فله</v>
      </c>
      <c r="Q78" s="3">
        <v>0</v>
      </c>
      <c r="R78" s="3">
        <v>0</v>
      </c>
      <c r="S78" s="3">
        <v>0</v>
      </c>
      <c r="T78" s="3">
        <v>971800050</v>
      </c>
      <c r="U78" s="3" t="str">
        <f>"97/07/22"</f>
        <v>97/07/22</v>
      </c>
      <c r="V78" s="3" t="str">
        <f>"پورباقري ترابر (4914036)"</f>
        <v>پورباقري ترابر (4914036)</v>
      </c>
      <c r="W78" s="3" t="str">
        <f>"قرارگاه سازندگي خاتم الانبياء(ص )"</f>
        <v>قرارگاه سازندگي خاتم الانبياء(ص )</v>
      </c>
      <c r="X78" s="3" t="str">
        <f>"686/97"</f>
        <v>686/97</v>
      </c>
      <c r="Y78" s="3" t="str">
        <f>""</f>
        <v/>
      </c>
      <c r="Z78" s="3">
        <v>97048789</v>
      </c>
      <c r="AA78" s="3" t="str">
        <f>"محمد جواد صابريان اردستاني"</f>
        <v>محمد جواد صابريان اردستاني</v>
      </c>
      <c r="AB7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8" s="3">
        <v>18</v>
      </c>
      <c r="AD78" s="3" t="str">
        <f>"فروش داخلي تهران - وزارت راه - شرکت ساخت و توسعه راهها"</f>
        <v>فروش داخلي تهران - وزارت راه - شرکت ساخت و توسعه راهها</v>
      </c>
      <c r="AE78" s="3" t="str">
        <f>"فروش داخلي"</f>
        <v>فروش داخلي</v>
      </c>
      <c r="AG78" s="3" t="str">
        <f>"97/11/25"</f>
        <v>97/11/25</v>
      </c>
      <c r="AH78" s="3" t="str">
        <f>"10:58"</f>
        <v>10:58</v>
      </c>
      <c r="AI78" s="3" t="str">
        <f>"حواله فروش"</f>
        <v>حواله فروش</v>
      </c>
    </row>
    <row r="79" spans="1:35" x14ac:dyDescent="0.2">
      <c r="A79" s="3" t="str">
        <f>"97/11/25"</f>
        <v>97/11/25</v>
      </c>
      <c r="B79" s="3" t="str">
        <f>"12:03"</f>
        <v>12:03</v>
      </c>
      <c r="C79" s="3" t="str">
        <f>"12:18"</f>
        <v>12:18</v>
      </c>
      <c r="D79" s="3" t="str">
        <f>"قير  PG64-22"</f>
        <v>قير  PG64-22</v>
      </c>
      <c r="E79" s="3" t="str">
        <f>"922ع61 ايران23"</f>
        <v>922ع61 ايران23</v>
      </c>
      <c r="F79" s="3" t="str">
        <f>"مصطفي صالحي"</f>
        <v>مصطفي صالحي</v>
      </c>
      <c r="G79" s="3">
        <v>471988</v>
      </c>
      <c r="H79" s="3">
        <v>471860</v>
      </c>
      <c r="I79" s="3">
        <v>4626</v>
      </c>
      <c r="J79" s="3">
        <v>37374</v>
      </c>
      <c r="K79" s="3" t="str">
        <f>"9385154648"</f>
        <v>9385154648</v>
      </c>
      <c r="L79" s="3">
        <v>23080</v>
      </c>
      <c r="M79" s="3">
        <v>23080</v>
      </c>
      <c r="N79" s="3">
        <v>100</v>
      </c>
      <c r="O79" s="3" t="str">
        <f>"مخازن قير اصفهان"</f>
        <v>مخازن قير اصفهان</v>
      </c>
      <c r="P79" s="3" t="str">
        <f>"فله"</f>
        <v>فله</v>
      </c>
      <c r="Q79" s="3">
        <v>0</v>
      </c>
      <c r="R79" s="3">
        <v>0</v>
      </c>
      <c r="S79" s="3">
        <v>0</v>
      </c>
      <c r="T79" s="3">
        <v>971800050</v>
      </c>
      <c r="U79" s="3" t="str">
        <f>"97/07/22"</f>
        <v>97/07/22</v>
      </c>
      <c r="V79" s="3" t="str">
        <f>"پورباقري ترابر (4914036)"</f>
        <v>پورباقري ترابر (4914036)</v>
      </c>
      <c r="W79" s="3" t="str">
        <f>"قرارگاه سازندگي خاتم الانبياء(ص )"</f>
        <v>قرارگاه سازندگي خاتم الانبياء(ص )</v>
      </c>
      <c r="X79" s="3" t="str">
        <f>"686/97"</f>
        <v>686/97</v>
      </c>
      <c r="Y79" s="3" t="str">
        <f>""</f>
        <v/>
      </c>
      <c r="Z79" s="3">
        <v>97048806</v>
      </c>
      <c r="AA79" s="3" t="str">
        <f>"محمد جواد صابريان اردستاني"</f>
        <v>محمد جواد صابريان اردستاني</v>
      </c>
      <c r="AB7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79" s="3">
        <v>18</v>
      </c>
      <c r="AD79" s="3" t="str">
        <f>"فروش داخلي تهران - وزارت راه - شرکت ساخت و توسعه راهها"</f>
        <v>فروش داخلي تهران - وزارت راه - شرکت ساخت و توسعه راهها</v>
      </c>
      <c r="AE79" s="3" t="str">
        <f>"فروش داخلي"</f>
        <v>فروش داخلي</v>
      </c>
      <c r="AG79" s="3" t="str">
        <f>"97/11/25"</f>
        <v>97/11/25</v>
      </c>
      <c r="AH79" s="3" t="str">
        <f>"12:38"</f>
        <v>12:38</v>
      </c>
      <c r="AI79" s="3" t="str">
        <f>"حواله فروش"</f>
        <v>حواله فروش</v>
      </c>
    </row>
    <row r="80" spans="1:35" x14ac:dyDescent="0.2">
      <c r="A80" s="3" t="str">
        <f>"97/11/25"</f>
        <v>97/11/25</v>
      </c>
      <c r="B80" s="3" t="str">
        <f>"12:22"</f>
        <v>12:22</v>
      </c>
      <c r="C80" s="3" t="str">
        <f>"12:36"</f>
        <v>12:36</v>
      </c>
      <c r="D80" s="3" t="str">
        <f>"قير  PG64-22"</f>
        <v>قير  PG64-22</v>
      </c>
      <c r="E80" s="3" t="str">
        <f>"214ع48 ايران43"</f>
        <v>214ع48 ايران43</v>
      </c>
      <c r="F80" s="3" t="str">
        <f>"محمد مولويان"</f>
        <v>محمد مولويان</v>
      </c>
      <c r="G80" s="3">
        <v>471852</v>
      </c>
      <c r="H80" s="3">
        <v>471855</v>
      </c>
      <c r="I80" s="3">
        <v>4627</v>
      </c>
      <c r="J80" s="3">
        <v>37376</v>
      </c>
      <c r="K80" s="3" t="str">
        <f>"9606478475"</f>
        <v>9606478475</v>
      </c>
      <c r="L80" s="3">
        <v>24300</v>
      </c>
      <c r="M80" s="3">
        <v>24300</v>
      </c>
      <c r="N80" s="3">
        <v>100</v>
      </c>
      <c r="O80" s="3" t="str">
        <f>"مخازن قير اصفهان"</f>
        <v>مخازن قير اصفهان</v>
      </c>
      <c r="P80" s="3" t="str">
        <f>"فله"</f>
        <v>فله</v>
      </c>
      <c r="Q80" s="3">
        <v>0</v>
      </c>
      <c r="R80" s="3">
        <v>0</v>
      </c>
      <c r="S80" s="3">
        <v>0</v>
      </c>
      <c r="T80" s="3">
        <v>971800050</v>
      </c>
      <c r="U80" s="3" t="str">
        <f>"97/07/22"</f>
        <v>97/07/22</v>
      </c>
      <c r="V80" s="3" t="str">
        <f>"پورباقري ترابر (4914036)"</f>
        <v>پورباقري ترابر (4914036)</v>
      </c>
      <c r="W80" s="3" t="str">
        <f>"قرارگاه سازندگي خاتم الانبياء(ص )"</f>
        <v>قرارگاه سازندگي خاتم الانبياء(ص )</v>
      </c>
      <c r="X80" s="3" t="str">
        <f>"686/97"</f>
        <v>686/97</v>
      </c>
      <c r="Y80" s="3" t="str">
        <f>""</f>
        <v/>
      </c>
      <c r="Z80" s="3">
        <v>97048811</v>
      </c>
      <c r="AA80" s="3" t="str">
        <f>"محمد جواد صابريان اردستاني"</f>
        <v>محمد جواد صابريان اردستاني</v>
      </c>
      <c r="AB8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0" s="3">
        <v>18</v>
      </c>
      <c r="AD80" s="3" t="str">
        <f>"فروش داخلي تهران - وزارت راه - شرکت ساخت و توسعه راهها"</f>
        <v>فروش داخلي تهران - وزارت راه - شرکت ساخت و توسعه راهها</v>
      </c>
      <c r="AE80" s="3" t="str">
        <f>"فروش داخلي"</f>
        <v>فروش داخلي</v>
      </c>
      <c r="AG80" s="3" t="str">
        <f>"97/11/25"</f>
        <v>97/11/25</v>
      </c>
      <c r="AH80" s="3" t="str">
        <f>"12:55"</f>
        <v>12:55</v>
      </c>
      <c r="AI80" s="3" t="str">
        <f>"حواله فروش"</f>
        <v>حواله فروش</v>
      </c>
    </row>
    <row r="81" spans="1:35" x14ac:dyDescent="0.2">
      <c r="A81" s="3" t="str">
        <f>"97/11/25"</f>
        <v>97/11/25</v>
      </c>
      <c r="B81" s="3" t="str">
        <f>"15:27"</f>
        <v>15:27</v>
      </c>
      <c r="C81" s="3" t="str">
        <f>"15:42"</f>
        <v>15:42</v>
      </c>
      <c r="D81" s="3" t="str">
        <f>"قير  PG64-22"</f>
        <v>قير  PG64-22</v>
      </c>
      <c r="E81" s="3" t="str">
        <f>"914ع62 ايران43"</f>
        <v>914ع62 ايران43</v>
      </c>
      <c r="F81" s="3" t="str">
        <f>"امين اسدي"</f>
        <v>امين اسدي</v>
      </c>
      <c r="G81" s="3">
        <v>388118</v>
      </c>
      <c r="H81" s="3">
        <v>473782</v>
      </c>
      <c r="I81" s="3">
        <v>4628</v>
      </c>
      <c r="J81" s="3">
        <v>37398</v>
      </c>
      <c r="K81" s="3" t="str">
        <f>"9701820333"</f>
        <v>9701820333</v>
      </c>
      <c r="L81" s="3">
        <v>25400</v>
      </c>
      <c r="M81" s="3">
        <v>25400</v>
      </c>
      <c r="N81" s="3">
        <v>100</v>
      </c>
      <c r="O81" s="3" t="str">
        <f>"مخازن قير اصفهان"</f>
        <v>مخازن قير اصفهان</v>
      </c>
      <c r="P81" s="3" t="str">
        <f>"فله"</f>
        <v>فله</v>
      </c>
      <c r="Q81" s="3">
        <v>0</v>
      </c>
      <c r="R81" s="3">
        <v>0</v>
      </c>
      <c r="S81" s="3">
        <v>0</v>
      </c>
      <c r="T81" s="3">
        <v>971800050</v>
      </c>
      <c r="U81" s="3" t="str">
        <f>"97/07/22"</f>
        <v>97/07/22</v>
      </c>
      <c r="V81" s="3" t="str">
        <f>"پورباقري ترابر (4914036)"</f>
        <v>پورباقري ترابر (4914036)</v>
      </c>
      <c r="W81" s="3" t="str">
        <f>"قرارگاه سازندگي خاتم الانبياء(ص )"</f>
        <v>قرارگاه سازندگي خاتم الانبياء(ص )</v>
      </c>
      <c r="X81" s="3" t="str">
        <f>"683/97"</f>
        <v>683/97</v>
      </c>
      <c r="Y81" s="3" t="str">
        <f>""</f>
        <v/>
      </c>
      <c r="Z81" s="3">
        <v>97048837</v>
      </c>
      <c r="AA81" s="3" t="str">
        <f>"مسعود ليموچي"</f>
        <v>مسعود ليموچي</v>
      </c>
      <c r="AB8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1" s="3">
        <v>18</v>
      </c>
      <c r="AD81" s="3" t="str">
        <f>"فروش داخلي تهران - وزارت راه - شرکت ساخت و توسعه راهها"</f>
        <v>فروش داخلي تهران - وزارت راه - شرکت ساخت و توسعه راهها</v>
      </c>
      <c r="AE81" s="3" t="str">
        <f>"فروش داخلي"</f>
        <v>فروش داخلي</v>
      </c>
      <c r="AG81" s="3" t="str">
        <f>"97/11/25"</f>
        <v>97/11/25</v>
      </c>
      <c r="AH81" s="3" t="str">
        <f>"16:11"</f>
        <v>16:11</v>
      </c>
      <c r="AI81" s="3" t="str">
        <f>"حواله فروش"</f>
        <v>حواله فروش</v>
      </c>
    </row>
    <row r="82" spans="1:35" x14ac:dyDescent="0.2">
      <c r="A82" s="3" t="str">
        <f>"97/11/25"</f>
        <v>97/11/25</v>
      </c>
      <c r="B82" s="3" t="str">
        <f>"15:23"</f>
        <v>15:23</v>
      </c>
      <c r="C82" s="3" t="str">
        <f>"15:40"</f>
        <v>15:40</v>
      </c>
      <c r="D82" s="3" t="str">
        <f>"قير  PG64-22"</f>
        <v>قير  PG64-22</v>
      </c>
      <c r="E82" s="3" t="str">
        <f>"258ع41 ايران13"</f>
        <v>258ع41 ايران13</v>
      </c>
      <c r="F82" s="3" t="str">
        <f>"محمد پاليده"</f>
        <v>محمد پاليده</v>
      </c>
      <c r="G82" s="3">
        <v>473785</v>
      </c>
      <c r="H82" s="3">
        <v>473991</v>
      </c>
      <c r="I82" s="3">
        <v>4629</v>
      </c>
      <c r="J82" s="3">
        <v>37401</v>
      </c>
      <c r="K82" s="3" t="str">
        <f>"9405326917"</f>
        <v>9405326917</v>
      </c>
      <c r="L82" s="3">
        <v>24440</v>
      </c>
      <c r="M82" s="3">
        <v>24440</v>
      </c>
      <c r="N82" s="3">
        <v>100</v>
      </c>
      <c r="O82" s="3" t="str">
        <f>"مخازن قير اصفهان"</f>
        <v>مخازن قير اصفهان</v>
      </c>
      <c r="P82" s="3" t="str">
        <f>"فله"</f>
        <v>فله</v>
      </c>
      <c r="Q82" s="3">
        <v>0</v>
      </c>
      <c r="R82" s="3">
        <v>0</v>
      </c>
      <c r="S82" s="3">
        <v>0</v>
      </c>
      <c r="T82" s="3">
        <v>971800050</v>
      </c>
      <c r="U82" s="3" t="str">
        <f>"97/07/22"</f>
        <v>97/07/22</v>
      </c>
      <c r="V82" s="3" t="str">
        <f>"پورباقري ترابر (4914036)"</f>
        <v>پورباقري ترابر (4914036)</v>
      </c>
      <c r="W82" s="3" t="str">
        <f>"قرارگاه سازندگي خاتم الانبياء(ص )"</f>
        <v>قرارگاه سازندگي خاتم الانبياء(ص )</v>
      </c>
      <c r="X82" s="3" t="str">
        <f>"683/97"</f>
        <v>683/97</v>
      </c>
      <c r="Y82" s="3" t="str">
        <f>""</f>
        <v/>
      </c>
      <c r="Z82" s="3">
        <v>97048834</v>
      </c>
      <c r="AA82" s="3" t="str">
        <f>"مسعود ليموچي"</f>
        <v>مسعود ليموچي</v>
      </c>
      <c r="AB8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2" s="3">
        <v>18</v>
      </c>
      <c r="AD82" s="3" t="str">
        <f>"فروش داخلي تهران - وزارت راه - شرکت ساخت و توسعه راهها"</f>
        <v>فروش داخلي تهران - وزارت راه - شرکت ساخت و توسعه راهها</v>
      </c>
      <c r="AE82" s="3" t="str">
        <f>"فروش داخلي"</f>
        <v>فروش داخلي</v>
      </c>
      <c r="AG82" s="3" t="str">
        <f>"97/11/25"</f>
        <v>97/11/25</v>
      </c>
      <c r="AH82" s="3" t="str">
        <f>"16:19"</f>
        <v>16:19</v>
      </c>
      <c r="AI82" s="3" t="str">
        <f>"حواله فروش"</f>
        <v>حواله فروش</v>
      </c>
    </row>
    <row r="83" spans="1:35" x14ac:dyDescent="0.2">
      <c r="A83" s="3" t="str">
        <f>"97/11/25"</f>
        <v>97/11/25</v>
      </c>
      <c r="B83" s="3" t="str">
        <f>"17:22"</f>
        <v>17:22</v>
      </c>
      <c r="C83" s="3" t="str">
        <f>"17:49"</f>
        <v>17:49</v>
      </c>
      <c r="D83" s="3" t="str">
        <f>"قير  PG64-22"</f>
        <v>قير  PG64-22</v>
      </c>
      <c r="E83" s="3" t="str">
        <f>"426ع74 ايران43"</f>
        <v>426ع74 ايران43</v>
      </c>
      <c r="F83" s="3" t="str">
        <f>"هادي معصومي"</f>
        <v>هادي معصومي</v>
      </c>
      <c r="G83" s="3">
        <v>473972</v>
      </c>
      <c r="H83" s="3">
        <v>473987</v>
      </c>
      <c r="I83" s="3">
        <v>4630</v>
      </c>
      <c r="J83" s="3">
        <v>37429</v>
      </c>
      <c r="K83" s="3" t="str">
        <f>"9282786123"</f>
        <v>9282786123</v>
      </c>
      <c r="L83" s="3">
        <v>23700</v>
      </c>
      <c r="M83" s="3">
        <v>23700</v>
      </c>
      <c r="N83" s="3">
        <v>100</v>
      </c>
      <c r="O83" s="3" t="str">
        <f>"مخازن قير اصفهان"</f>
        <v>مخازن قير اصفهان</v>
      </c>
      <c r="P83" s="3" t="str">
        <f>"فله"</f>
        <v>فله</v>
      </c>
      <c r="Q83" s="3">
        <v>0</v>
      </c>
      <c r="R83" s="3">
        <v>0</v>
      </c>
      <c r="S83" s="3">
        <v>0</v>
      </c>
      <c r="T83" s="3">
        <v>971800050</v>
      </c>
      <c r="U83" s="3" t="str">
        <f>"97/07/22"</f>
        <v>97/07/22</v>
      </c>
      <c r="V83" s="3" t="str">
        <f>"پورباقري ترابر (4914036)"</f>
        <v>پورباقري ترابر (4914036)</v>
      </c>
      <c r="W83" s="3" t="str">
        <f>"قرارگاه سازندگي خاتم الانبياء(ص )"</f>
        <v>قرارگاه سازندگي خاتم الانبياء(ص )</v>
      </c>
      <c r="X83" s="3" t="str">
        <f>"683/97"</f>
        <v>683/97</v>
      </c>
      <c r="Y83" s="3" t="str">
        <f>""</f>
        <v/>
      </c>
      <c r="Z83" s="3">
        <v>97048865</v>
      </c>
      <c r="AA83" s="3" t="str">
        <f>"مسعود ليموچي"</f>
        <v>مسعود ليموچي</v>
      </c>
      <c r="AB8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3" s="3">
        <v>18</v>
      </c>
      <c r="AD83" s="3" t="str">
        <f>"فروش داخلي تهران - وزارت راه - شرکت ساخت و توسعه راهها"</f>
        <v>فروش داخلي تهران - وزارت راه - شرکت ساخت و توسعه راهها</v>
      </c>
      <c r="AE83" s="3" t="str">
        <f>"فروش داخلي"</f>
        <v>فروش داخلي</v>
      </c>
      <c r="AG83" s="3" t="str">
        <f>"97/11/25"</f>
        <v>97/11/25</v>
      </c>
      <c r="AH83" s="3" t="str">
        <f>"18:09"</f>
        <v>18:09</v>
      </c>
      <c r="AI83" s="3" t="str">
        <f>"حواله فروش"</f>
        <v>حواله فروش</v>
      </c>
    </row>
    <row r="84" spans="1:35" x14ac:dyDescent="0.2">
      <c r="A84" s="3" t="str">
        <f>"97/11/25"</f>
        <v>97/11/25</v>
      </c>
      <c r="B84" s="3" t="str">
        <f>"19:33"</f>
        <v>19:33</v>
      </c>
      <c r="C84" s="3" t="str">
        <f>"19:51"</f>
        <v>19:51</v>
      </c>
      <c r="D84" s="3" t="str">
        <f>"قير  PG64-22"</f>
        <v>قير  PG64-22</v>
      </c>
      <c r="E84" s="3" t="str">
        <f>"811ع71 ايران13"</f>
        <v>811ع71 ايران13</v>
      </c>
      <c r="F84" s="3" t="str">
        <f>"عباسعلي گندم کاران"</f>
        <v>عباسعلي گندم کاران</v>
      </c>
      <c r="G84" s="3">
        <v>473976</v>
      </c>
      <c r="H84" s="3">
        <v>473974</v>
      </c>
      <c r="I84" s="3">
        <v>4631</v>
      </c>
      <c r="J84" s="3">
        <v>37433</v>
      </c>
      <c r="K84" s="3" t="str">
        <f>"9401447141"</f>
        <v>9401447141</v>
      </c>
      <c r="L84" s="3">
        <v>25200</v>
      </c>
      <c r="M84" s="3">
        <v>25200</v>
      </c>
      <c r="N84" s="3">
        <v>100</v>
      </c>
      <c r="O84" s="3" t="str">
        <f>"مخازن قير اصفهان"</f>
        <v>مخازن قير اصفهان</v>
      </c>
      <c r="P84" s="3" t="str">
        <f>"فله"</f>
        <v>فله</v>
      </c>
      <c r="Q84" s="3">
        <v>0</v>
      </c>
      <c r="R84" s="3">
        <v>0</v>
      </c>
      <c r="S84" s="3">
        <v>0</v>
      </c>
      <c r="T84" s="3">
        <v>971800050</v>
      </c>
      <c r="U84" s="3" t="str">
        <f>"97/07/22"</f>
        <v>97/07/22</v>
      </c>
      <c r="V84" s="3" t="str">
        <f>"پورباقري ترابر (4914036)"</f>
        <v>پورباقري ترابر (4914036)</v>
      </c>
      <c r="W84" s="3" t="str">
        <f>"قرارگاه سازندگي خاتم الانبياء(ص )"</f>
        <v>قرارگاه سازندگي خاتم الانبياء(ص )</v>
      </c>
      <c r="X84" s="3" t="str">
        <f>"683/97"</f>
        <v>683/97</v>
      </c>
      <c r="Y84" s="3" t="str">
        <f>""</f>
        <v/>
      </c>
      <c r="Z84" s="3">
        <v>97048876</v>
      </c>
      <c r="AA84" s="3" t="str">
        <f>"مسعود ليموچي"</f>
        <v>مسعود ليموچي</v>
      </c>
      <c r="AB8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4" s="3">
        <v>18</v>
      </c>
      <c r="AD84" s="3" t="str">
        <f>"فروش داخلي تهران - وزارت راه - شرکت ساخت و توسعه راهها"</f>
        <v>فروش داخلي تهران - وزارت راه - شرکت ساخت و توسعه راهها</v>
      </c>
      <c r="AE84" s="3" t="str">
        <f>"فروش داخلي"</f>
        <v>فروش داخلي</v>
      </c>
      <c r="AG84" s="3" t="str">
        <f>"97/11/25"</f>
        <v>97/11/25</v>
      </c>
      <c r="AH84" s="3" t="str">
        <f>"20:17"</f>
        <v>20:17</v>
      </c>
      <c r="AI84" s="3" t="str">
        <f>"حواله فروش"</f>
        <v>حواله فروش</v>
      </c>
    </row>
    <row r="85" spans="1:35" x14ac:dyDescent="0.2">
      <c r="A85" s="3" t="str">
        <f>"97/11/25"</f>
        <v>97/11/25</v>
      </c>
      <c r="B85" s="3" t="str">
        <f>"19:35"</f>
        <v>19:35</v>
      </c>
      <c r="C85" s="3" t="str">
        <f>"19:49"</f>
        <v>19:49</v>
      </c>
      <c r="D85" s="3" t="str">
        <f>"قير  PG64-22"</f>
        <v>قير  PG64-22</v>
      </c>
      <c r="E85" s="3" t="str">
        <f>"237ع86 ايران13"</f>
        <v>237ع86 ايران13</v>
      </c>
      <c r="F85" s="3" t="str">
        <f>"محسن مطلبي"</f>
        <v>محسن مطلبي</v>
      </c>
      <c r="G85" s="3">
        <v>473841</v>
      </c>
      <c r="H85" s="3">
        <v>473845</v>
      </c>
      <c r="I85" s="3">
        <v>4632</v>
      </c>
      <c r="J85" s="3">
        <v>37434</v>
      </c>
      <c r="K85" s="3" t="str">
        <f>"9401281317"</f>
        <v>9401281317</v>
      </c>
      <c r="L85" s="3">
        <v>24880</v>
      </c>
      <c r="M85" s="3">
        <v>24880</v>
      </c>
      <c r="N85" s="3">
        <v>100</v>
      </c>
      <c r="O85" s="3" t="str">
        <f>"مخازن قير اصفهان"</f>
        <v>مخازن قير اصفهان</v>
      </c>
      <c r="P85" s="3" t="str">
        <f>"فله"</f>
        <v>فله</v>
      </c>
      <c r="Q85" s="3">
        <v>0</v>
      </c>
      <c r="R85" s="3">
        <v>0</v>
      </c>
      <c r="S85" s="3">
        <v>0</v>
      </c>
      <c r="T85" s="3">
        <v>971800050</v>
      </c>
      <c r="U85" s="3" t="str">
        <f>"97/07/22"</f>
        <v>97/07/22</v>
      </c>
      <c r="V85" s="3" t="str">
        <f>"پورباقري ترابر (4914036)"</f>
        <v>پورباقري ترابر (4914036)</v>
      </c>
      <c r="W85" s="3" t="str">
        <f>"قرارگاه سازندگي خاتم الانبياء(ص )"</f>
        <v>قرارگاه سازندگي خاتم الانبياء(ص )</v>
      </c>
      <c r="X85" s="3" t="str">
        <f>"683/97"</f>
        <v>683/97</v>
      </c>
      <c r="Y85" s="3" t="str">
        <f>""</f>
        <v/>
      </c>
      <c r="Z85" s="3">
        <v>97048877</v>
      </c>
      <c r="AA85" s="3" t="str">
        <f>"مسعود ليموچي"</f>
        <v>مسعود ليموچي</v>
      </c>
      <c r="AB8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5" s="3">
        <v>18</v>
      </c>
      <c r="AD85" s="3" t="str">
        <f>"فروش داخلي تهران - وزارت راه - شرکت ساخت و توسعه راهها"</f>
        <v>فروش داخلي تهران - وزارت راه - شرکت ساخت و توسعه راهها</v>
      </c>
      <c r="AE85" s="3" t="str">
        <f>"فروش داخلي"</f>
        <v>فروش داخلي</v>
      </c>
      <c r="AG85" s="3" t="str">
        <f>"97/11/25"</f>
        <v>97/11/25</v>
      </c>
      <c r="AH85" s="3" t="str">
        <f>"20:20"</f>
        <v>20:20</v>
      </c>
      <c r="AI85" s="3" t="str">
        <f>"حواله فروش"</f>
        <v>حواله فروش</v>
      </c>
    </row>
    <row r="86" spans="1:35" x14ac:dyDescent="0.2">
      <c r="A86" s="3" t="str">
        <f>"97/11/26"</f>
        <v>97/11/26</v>
      </c>
      <c r="B86" s="3" t="str">
        <f>"22:36"</f>
        <v>22:36</v>
      </c>
      <c r="C86" s="3" t="str">
        <f>"23:26"</f>
        <v>23:26</v>
      </c>
      <c r="D86" s="3" t="str">
        <f>"قير  PG64-22"</f>
        <v>قير  PG64-22</v>
      </c>
      <c r="E86" s="3" t="str">
        <f>"138ع19 ايران43"</f>
        <v>138ع19 ايران43</v>
      </c>
      <c r="F86" s="3" t="str">
        <f>"موسي عليپور"</f>
        <v>موسي عليپور</v>
      </c>
      <c r="G86" s="3">
        <v>392543</v>
      </c>
      <c r="H86" s="3">
        <v>392889</v>
      </c>
      <c r="I86" s="3">
        <v>4633</v>
      </c>
      <c r="J86" s="3">
        <v>37437</v>
      </c>
      <c r="K86" s="3" t="str">
        <f>"9281799758"</f>
        <v>9281799758</v>
      </c>
      <c r="L86" s="3">
        <v>23820</v>
      </c>
      <c r="M86" s="3">
        <v>23820</v>
      </c>
      <c r="N86" s="3">
        <v>100</v>
      </c>
      <c r="O86" s="3" t="str">
        <f>"مخازن قير اصفهان"</f>
        <v>مخازن قير اصفهان</v>
      </c>
      <c r="P86" s="3" t="str">
        <f>"فله"</f>
        <v>فله</v>
      </c>
      <c r="Q86" s="3">
        <v>0</v>
      </c>
      <c r="R86" s="3">
        <v>0</v>
      </c>
      <c r="S86" s="3">
        <v>0</v>
      </c>
      <c r="T86" s="3">
        <v>971800050</v>
      </c>
      <c r="U86" s="3" t="str">
        <f>"97/07/22"</f>
        <v>97/07/22</v>
      </c>
      <c r="V86" s="3" t="str">
        <f>"پورباقري ترابر (4914036)"</f>
        <v>پورباقري ترابر (4914036)</v>
      </c>
      <c r="W86" s="3" t="str">
        <f>"قرارگاه سازندگي خاتم الانبياء(ص )"</f>
        <v>قرارگاه سازندگي خاتم الانبياء(ص )</v>
      </c>
      <c r="X86" s="3" t="str">
        <f>"687/97"</f>
        <v>687/97</v>
      </c>
      <c r="Y86" s="3" t="str">
        <f>""</f>
        <v/>
      </c>
      <c r="Z86" s="3">
        <v>97048886</v>
      </c>
      <c r="AA86" s="3" t="str">
        <f>"داريوش سليماني مهر"</f>
        <v>داريوش سليماني مهر</v>
      </c>
      <c r="AB8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6" s="3">
        <v>18</v>
      </c>
      <c r="AD86" s="3" t="str">
        <f>"فروش داخلي تهران - وزارت راه - شرکت ساخت و توسعه راهها"</f>
        <v>فروش داخلي تهران - وزارت راه - شرکت ساخت و توسعه راهها</v>
      </c>
      <c r="AE86" s="3" t="str">
        <f>"فروش داخلي"</f>
        <v>فروش داخلي</v>
      </c>
      <c r="AG86" s="3" t="str">
        <f>"97/11/25"</f>
        <v>97/11/25</v>
      </c>
      <c r="AH86" s="3" t="str">
        <f>"00:23"</f>
        <v>00:23</v>
      </c>
      <c r="AI86" s="3" t="str">
        <f>"حواله فروش"</f>
        <v>حواله فروش</v>
      </c>
    </row>
    <row r="87" spans="1:35" x14ac:dyDescent="0.2">
      <c r="A87" s="3" t="str">
        <f>"97/11/26"</f>
        <v>97/11/26</v>
      </c>
      <c r="B87" s="3" t="str">
        <f>"15:18"</f>
        <v>15:18</v>
      </c>
      <c r="C87" s="3" t="str">
        <f>"15:35"</f>
        <v>15:35</v>
      </c>
      <c r="D87" s="3" t="str">
        <f>"قير  PG64-22"</f>
        <v>قير  PG64-22</v>
      </c>
      <c r="E87" s="3" t="str">
        <f>"474ع28 ايران13"</f>
        <v>474ع28 ايران13</v>
      </c>
      <c r="F87" s="3" t="str">
        <f>"رسول کمالي"</f>
        <v>رسول کمالي</v>
      </c>
      <c r="G87" s="3">
        <v>473685</v>
      </c>
      <c r="H87" s="3">
        <v>473684</v>
      </c>
      <c r="I87" s="3">
        <v>4634</v>
      </c>
      <c r="J87" s="3">
        <v>37491</v>
      </c>
      <c r="K87" s="3" t="str">
        <f>"9283077224"</f>
        <v>9283077224</v>
      </c>
      <c r="L87" s="3">
        <v>24160</v>
      </c>
      <c r="M87" s="3">
        <v>24160</v>
      </c>
      <c r="N87" s="3">
        <v>100</v>
      </c>
      <c r="O87" s="3" t="str">
        <f>"مخازن قير اصفهان"</f>
        <v>مخازن قير اصفهان</v>
      </c>
      <c r="P87" s="3" t="str">
        <f>"فله"</f>
        <v>فله</v>
      </c>
      <c r="Q87" s="3">
        <v>0</v>
      </c>
      <c r="R87" s="3">
        <v>0</v>
      </c>
      <c r="S87" s="3">
        <v>0</v>
      </c>
      <c r="T87" s="3">
        <v>971800050</v>
      </c>
      <c r="U87" s="3" t="str">
        <f>"97/07/22"</f>
        <v>97/07/22</v>
      </c>
      <c r="V87" s="3" t="str">
        <f>"پورباقري ترابر (4914036)"</f>
        <v>پورباقري ترابر (4914036)</v>
      </c>
      <c r="W87" s="3" t="str">
        <f>"قرارگاه سازندگي خاتم الانبياء(ص )"</f>
        <v>قرارگاه سازندگي خاتم الانبياء(ص )</v>
      </c>
      <c r="X87" s="3" t="str">
        <f>"687/97"</f>
        <v>687/97</v>
      </c>
      <c r="Y87" s="3" t="str">
        <f>""</f>
        <v/>
      </c>
      <c r="Z87" s="3">
        <v>97048934</v>
      </c>
      <c r="AA87" s="3" t="str">
        <f>"مسعود ليموچي"</f>
        <v>مسعود ليموچي</v>
      </c>
      <c r="AB8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7" s="3">
        <v>18</v>
      </c>
      <c r="AD87" s="3" t="str">
        <f>"فروش داخلي تهران - وزارت راه - شرکت ساخت و توسعه راهها"</f>
        <v>فروش داخلي تهران - وزارت راه - شرکت ساخت و توسعه راهها</v>
      </c>
      <c r="AE87" s="3" t="str">
        <f>"فروش داخلي"</f>
        <v>فروش داخلي</v>
      </c>
      <c r="AG87" s="3" t="str">
        <f>"97/11/26"</f>
        <v>97/11/26</v>
      </c>
      <c r="AH87" s="3" t="str">
        <f>"16:07"</f>
        <v>16:07</v>
      </c>
      <c r="AI87" s="3" t="str">
        <f>"حواله فروش"</f>
        <v>حواله فروش</v>
      </c>
    </row>
    <row r="88" spans="1:35" x14ac:dyDescent="0.2">
      <c r="A88" s="3" t="str">
        <f>"97/11/26"</f>
        <v>97/11/26</v>
      </c>
      <c r="B88" s="3" t="str">
        <f>"16:03"</f>
        <v>16:03</v>
      </c>
      <c r="C88" s="3" t="str">
        <f>"16:24"</f>
        <v>16:24</v>
      </c>
      <c r="D88" s="3" t="str">
        <f>"قير  PG64-22"</f>
        <v>قير  PG64-22</v>
      </c>
      <c r="E88" s="3" t="str">
        <f>"819ع33 ايران43"</f>
        <v>819ع33 ايران43</v>
      </c>
      <c r="F88" s="3" t="str">
        <f>"مصطفي قانع"</f>
        <v>مصطفي قانع</v>
      </c>
      <c r="G88" s="3">
        <v>473681</v>
      </c>
      <c r="H88" s="3">
        <v>473688</v>
      </c>
      <c r="I88" s="3">
        <v>4635</v>
      </c>
      <c r="J88" s="3">
        <v>37503</v>
      </c>
      <c r="K88" s="3" t="str">
        <f>"9383607604"</f>
        <v>9383607604</v>
      </c>
      <c r="L88" s="3">
        <v>23660</v>
      </c>
      <c r="M88" s="3">
        <v>23660</v>
      </c>
      <c r="N88" s="3">
        <v>100</v>
      </c>
      <c r="O88" s="3" t="str">
        <f>"مخازن قير اصفهان"</f>
        <v>مخازن قير اصفهان</v>
      </c>
      <c r="P88" s="3" t="str">
        <f>"فله"</f>
        <v>فله</v>
      </c>
      <c r="Q88" s="3">
        <v>0</v>
      </c>
      <c r="R88" s="3">
        <v>0</v>
      </c>
      <c r="S88" s="3">
        <v>0</v>
      </c>
      <c r="T88" s="3">
        <v>971800050</v>
      </c>
      <c r="U88" s="3" t="str">
        <f>"97/07/22"</f>
        <v>97/07/22</v>
      </c>
      <c r="V88" s="3" t="str">
        <f>"پورباقري ترابر (4914036)"</f>
        <v>پورباقري ترابر (4914036)</v>
      </c>
      <c r="W88" s="3" t="str">
        <f>"قرارگاه سازندگي خاتم الانبياء(ص )"</f>
        <v>قرارگاه سازندگي خاتم الانبياء(ص )</v>
      </c>
      <c r="X88" s="3" t="str">
        <f>"689/97"</f>
        <v>689/97</v>
      </c>
      <c r="Y88" s="3" t="str">
        <f>""</f>
        <v/>
      </c>
      <c r="Z88" s="3">
        <v>97048943</v>
      </c>
      <c r="AA88" s="3" t="str">
        <f>"مسعود ليموچي"</f>
        <v>مسعود ليموچي</v>
      </c>
      <c r="AB8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8" s="3">
        <v>18</v>
      </c>
      <c r="AD88" s="3" t="str">
        <f>"فروش داخلي تهران - وزارت راه - شرکت ساخت و توسعه راهها"</f>
        <v>فروش داخلي تهران - وزارت راه - شرکت ساخت و توسعه راهها</v>
      </c>
      <c r="AE88" s="3" t="str">
        <f>"فروش داخلي"</f>
        <v>فروش داخلي</v>
      </c>
      <c r="AG88" s="3" t="str">
        <f>"97/11/26"</f>
        <v>97/11/26</v>
      </c>
      <c r="AH88" s="3" t="str">
        <f>"17:42"</f>
        <v>17:42</v>
      </c>
      <c r="AI88" s="3" t="str">
        <f>"حواله فروش"</f>
        <v>حواله فروش</v>
      </c>
    </row>
    <row r="89" spans="1:35" x14ac:dyDescent="0.2">
      <c r="A89" s="3" t="str">
        <f>"97/11/26"</f>
        <v>97/11/26</v>
      </c>
      <c r="B89" s="3" t="str">
        <f>"17:20"</f>
        <v>17:20</v>
      </c>
      <c r="C89" s="3" t="str">
        <f>"17:50"</f>
        <v>17:50</v>
      </c>
      <c r="D89" s="3" t="str">
        <f>"قير  PG64-22"</f>
        <v>قير  PG64-22</v>
      </c>
      <c r="E89" s="3" t="str">
        <f>"776ع44 ايران23"</f>
        <v>776ع44 ايران23</v>
      </c>
      <c r="F89" s="3" t="str">
        <f>"حبيب اله يزداني"</f>
        <v>حبيب اله يزداني</v>
      </c>
      <c r="G89" s="3">
        <v>473817</v>
      </c>
      <c r="H89" s="3">
        <v>473820</v>
      </c>
      <c r="I89" s="3">
        <v>4639</v>
      </c>
      <c r="J89" s="3">
        <v>37521</v>
      </c>
      <c r="K89" s="3" t="str">
        <f>"9605512654"</f>
        <v>9605512654</v>
      </c>
      <c r="L89" s="3">
        <v>24680</v>
      </c>
      <c r="M89" s="3">
        <v>24680</v>
      </c>
      <c r="N89" s="3">
        <v>100</v>
      </c>
      <c r="O89" s="3" t="str">
        <f>"مخازن قير اصفهان"</f>
        <v>مخازن قير اصفهان</v>
      </c>
      <c r="P89" s="3" t="str">
        <f>"فله"</f>
        <v>فله</v>
      </c>
      <c r="Q89" s="3">
        <v>0</v>
      </c>
      <c r="R89" s="3">
        <v>0</v>
      </c>
      <c r="S89" s="3">
        <v>0</v>
      </c>
      <c r="T89" s="3">
        <v>971800050</v>
      </c>
      <c r="U89" s="3" t="str">
        <f>"97/07/22"</f>
        <v>97/07/22</v>
      </c>
      <c r="V89" s="3" t="str">
        <f>"پورباقري ترابر (4914036)"</f>
        <v>پورباقري ترابر (4914036)</v>
      </c>
      <c r="W89" s="3" t="str">
        <f>"قرارگاه سازندگي خاتم الانبياء(ص )"</f>
        <v>قرارگاه سازندگي خاتم الانبياء(ص )</v>
      </c>
      <c r="X89" s="3" t="str">
        <f>"689/97"</f>
        <v>689/97</v>
      </c>
      <c r="Y89" s="3" t="str">
        <f>""</f>
        <v/>
      </c>
      <c r="Z89" s="3">
        <v>97048968</v>
      </c>
      <c r="AA89" s="3" t="str">
        <f>"مسعود ليموچي"</f>
        <v>مسعود ليموچي</v>
      </c>
      <c r="AB8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89" s="3">
        <v>18</v>
      </c>
      <c r="AD89" s="3" t="str">
        <f>"فروش داخلي تهران - وزارت راه - شرکت ساخت و توسعه راهها"</f>
        <v>فروش داخلي تهران - وزارت راه - شرکت ساخت و توسعه راهها</v>
      </c>
      <c r="AE89" s="3" t="str">
        <f>"فروش داخلي"</f>
        <v>فروش داخلي</v>
      </c>
      <c r="AG89" s="3" t="str">
        <f>"97/11/26"</f>
        <v>97/11/26</v>
      </c>
      <c r="AH89" s="3" t="str">
        <f>"19:27"</f>
        <v>19:27</v>
      </c>
      <c r="AI89" s="3" t="str">
        <f>"حواله فروش"</f>
        <v>حواله فروش</v>
      </c>
    </row>
    <row r="90" spans="1:35" x14ac:dyDescent="0.2">
      <c r="A90" s="3" t="str">
        <f>"97/11/26"</f>
        <v>97/11/26</v>
      </c>
      <c r="B90" s="3" t="str">
        <f>"22:17"</f>
        <v>22:17</v>
      </c>
      <c r="C90" s="3" t="str">
        <f>"22:35"</f>
        <v>22:35</v>
      </c>
      <c r="D90" s="3" t="str">
        <f>"قير  PG64-22"</f>
        <v>قير  PG64-22</v>
      </c>
      <c r="E90" s="3" t="str">
        <f>"643ع96 ايران23"</f>
        <v>643ع96 ايران23</v>
      </c>
      <c r="F90" s="3" t="str">
        <f>"حميد رجبي"</f>
        <v>حميد رجبي</v>
      </c>
      <c r="G90" s="3">
        <v>392640</v>
      </c>
      <c r="H90" s="3">
        <v>392117</v>
      </c>
      <c r="I90" s="3">
        <v>4641</v>
      </c>
      <c r="J90" s="3">
        <v>37533</v>
      </c>
      <c r="K90" s="3" t="str">
        <f>"9110199773"</f>
        <v>9110199773</v>
      </c>
      <c r="L90" s="3">
        <v>23720</v>
      </c>
      <c r="M90" s="3">
        <v>23720</v>
      </c>
      <c r="N90" s="3">
        <v>100</v>
      </c>
      <c r="O90" s="3" t="str">
        <f>"مخازن قير اصفهان"</f>
        <v>مخازن قير اصفهان</v>
      </c>
      <c r="P90" s="3" t="str">
        <f>"فله"</f>
        <v>فله</v>
      </c>
      <c r="Q90" s="3">
        <v>0</v>
      </c>
      <c r="R90" s="3">
        <v>0</v>
      </c>
      <c r="S90" s="3">
        <v>0</v>
      </c>
      <c r="T90" s="3">
        <v>971800050</v>
      </c>
      <c r="U90" s="3" t="str">
        <f>"97/07/22"</f>
        <v>97/07/22</v>
      </c>
      <c r="V90" s="3" t="str">
        <f>"پورباقري ترابر (4914036)"</f>
        <v>پورباقري ترابر (4914036)</v>
      </c>
      <c r="W90" s="3" t="str">
        <f>"قرارگاه سازندگي خاتم الانبياء(ص )"</f>
        <v>قرارگاه سازندگي خاتم الانبياء(ص )</v>
      </c>
      <c r="X90" s="3" t="str">
        <f>"689/97"</f>
        <v>689/97</v>
      </c>
      <c r="Y90" s="3" t="str">
        <f>""</f>
        <v/>
      </c>
      <c r="Z90" s="3">
        <v>97048999</v>
      </c>
      <c r="AA90" s="3" t="str">
        <f>"مسعود ليموچي"</f>
        <v>مسعود ليموچي</v>
      </c>
      <c r="AB9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0" s="3">
        <v>18</v>
      </c>
      <c r="AD90" s="3" t="str">
        <f>"فروش داخلي تهران - وزارت راه - شرکت ساخت و توسعه راهها"</f>
        <v>فروش داخلي تهران - وزارت راه - شرکت ساخت و توسعه راهها</v>
      </c>
      <c r="AE90" s="3" t="str">
        <f>"فروش داخلي"</f>
        <v>فروش داخلي</v>
      </c>
      <c r="AG90" s="3" t="str">
        <f>"97/11/26"</f>
        <v>97/11/26</v>
      </c>
      <c r="AH90" s="3" t="str">
        <f>"22:56"</f>
        <v>22:56</v>
      </c>
      <c r="AI90" s="3" t="str">
        <f>"حواله فروش"</f>
        <v>حواله فروش</v>
      </c>
    </row>
    <row r="91" spans="1:35" x14ac:dyDescent="0.2">
      <c r="A91" s="3" t="str">
        <f>"97/11/27"</f>
        <v>97/11/27</v>
      </c>
      <c r="B91" s="3" t="str">
        <f>"11:54"</f>
        <v>11:54</v>
      </c>
      <c r="C91" s="3" t="str">
        <f>"12:05"</f>
        <v>12:05</v>
      </c>
      <c r="D91" s="3" t="str">
        <f>"قير  PG64-22"</f>
        <v>قير  PG64-22</v>
      </c>
      <c r="E91" s="3" t="str">
        <f>"253ع72 ايران13"</f>
        <v>253ع72 ايران13</v>
      </c>
      <c r="F91" s="3" t="str">
        <f>"اکبر فاني"</f>
        <v>اکبر فاني</v>
      </c>
      <c r="G91" s="3">
        <v>471719</v>
      </c>
      <c r="H91" s="3">
        <v>471581</v>
      </c>
      <c r="I91" s="3">
        <v>4645</v>
      </c>
      <c r="J91" s="3">
        <v>37593</v>
      </c>
      <c r="K91" s="3" t="str">
        <f>"9281899198"</f>
        <v>9281899198</v>
      </c>
      <c r="L91" s="3">
        <v>24000</v>
      </c>
      <c r="M91" s="3">
        <v>24000</v>
      </c>
      <c r="N91" s="3">
        <v>100</v>
      </c>
      <c r="O91" s="3" t="str">
        <f>"مخازن قير اصفهان"</f>
        <v>مخازن قير اصفهان</v>
      </c>
      <c r="P91" s="3" t="str">
        <f>"فله"</f>
        <v>فله</v>
      </c>
      <c r="Q91" s="3">
        <v>0</v>
      </c>
      <c r="R91" s="3">
        <v>0</v>
      </c>
      <c r="S91" s="3">
        <v>0</v>
      </c>
      <c r="T91" s="3">
        <v>971800050</v>
      </c>
      <c r="U91" s="3" t="str">
        <f>"97/07/22"</f>
        <v>97/07/22</v>
      </c>
      <c r="V91" s="3" t="str">
        <f>"پورباقري ترابر (4914036)"</f>
        <v>پورباقري ترابر (4914036)</v>
      </c>
      <c r="W91" s="3" t="str">
        <f>"قرارگاه سازندگي خاتم الانبياء(ص )"</f>
        <v>قرارگاه سازندگي خاتم الانبياء(ص )</v>
      </c>
      <c r="X91" s="3" t="str">
        <f>"691/97"</f>
        <v>691/97</v>
      </c>
      <c r="Y91" s="3" t="str">
        <f>""</f>
        <v/>
      </c>
      <c r="Z91" s="3">
        <v>97049028</v>
      </c>
      <c r="AA91" s="3" t="str">
        <f>"محمد جواد صابريان اردستاني"</f>
        <v>محمد جواد صابريان اردستاني</v>
      </c>
      <c r="AB9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1" s="3">
        <v>18</v>
      </c>
      <c r="AD91" s="3" t="str">
        <f>"فروش داخلي تهران - وزارت راه - شرکت ساخت و توسعه راهها"</f>
        <v>فروش داخلي تهران - وزارت راه - شرکت ساخت و توسعه راهها</v>
      </c>
      <c r="AE91" s="3" t="str">
        <f>"فروش داخلي"</f>
        <v>فروش داخلي</v>
      </c>
      <c r="AG91" s="3" t="str">
        <f>"97/11/27"</f>
        <v>97/11/27</v>
      </c>
      <c r="AH91" s="3" t="str">
        <f>"13:19"</f>
        <v>13:19</v>
      </c>
      <c r="AI91" s="3" t="str">
        <f>"حواله فروش"</f>
        <v>حواله فروش</v>
      </c>
    </row>
    <row r="92" spans="1:35" x14ac:dyDescent="0.2">
      <c r="A92" s="3" t="str">
        <f>"97/11/28"</f>
        <v>97/11/28</v>
      </c>
      <c r="B92" s="3" t="str">
        <f>"18:48"</f>
        <v>18:48</v>
      </c>
      <c r="C92" s="3" t="str">
        <f>"18:57"</f>
        <v>18:57</v>
      </c>
      <c r="D92" s="3" t="str">
        <f>"قير  PG64-22"</f>
        <v>قير  PG64-22</v>
      </c>
      <c r="E92" s="3" t="str">
        <f>"995ع66 ايران13"</f>
        <v>995ع66 ايران13</v>
      </c>
      <c r="F92" s="3" t="str">
        <f>"مرتضي حميدي"</f>
        <v>مرتضي حميدي</v>
      </c>
      <c r="G92" s="3">
        <v>473515</v>
      </c>
      <c r="H92" s="3">
        <v>473183</v>
      </c>
      <c r="I92" s="3">
        <v>4650</v>
      </c>
      <c r="J92" s="3">
        <v>37777</v>
      </c>
      <c r="K92" s="3" t="str">
        <f>"9602299647"</f>
        <v>9602299647</v>
      </c>
      <c r="L92" s="3">
        <v>24820</v>
      </c>
      <c r="M92" s="3">
        <v>24820</v>
      </c>
      <c r="N92" s="3">
        <v>100</v>
      </c>
      <c r="O92" s="3" t="str">
        <f>"مخازن قير اصفهان"</f>
        <v>مخازن قير اصفهان</v>
      </c>
      <c r="P92" s="3" t="str">
        <f>"فله"</f>
        <v>فله</v>
      </c>
      <c r="Q92" s="3">
        <v>0</v>
      </c>
      <c r="R92" s="3">
        <v>0</v>
      </c>
      <c r="S92" s="3">
        <v>0</v>
      </c>
      <c r="T92" s="3">
        <v>971800050</v>
      </c>
      <c r="U92" s="3" t="str">
        <f>"97/07/22"</f>
        <v>97/07/22</v>
      </c>
      <c r="V92" s="3" t="str">
        <f>"پورباقري ترابر (4914036)"</f>
        <v>پورباقري ترابر (4914036)</v>
      </c>
      <c r="W92" s="3" t="str">
        <f>"قرارگاه سازندگي خاتم الانبياء(ص )"</f>
        <v>قرارگاه سازندگي خاتم الانبياء(ص )</v>
      </c>
      <c r="X92" s="3" t="str">
        <f>"692/97"</f>
        <v>692/97</v>
      </c>
      <c r="Y92" s="3" t="str">
        <f>""</f>
        <v/>
      </c>
      <c r="Z92" s="3">
        <v>97049252</v>
      </c>
      <c r="AA92" s="3" t="str">
        <f>"مسعود ليموچي"</f>
        <v>مسعود ليموچي</v>
      </c>
      <c r="AB9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2" s="3">
        <v>18</v>
      </c>
      <c r="AD92" s="3" t="str">
        <f>"فروش داخلي تهران - وزارت راه - شرکت ساخت و توسعه راهها"</f>
        <v>فروش داخلي تهران - وزارت راه - شرکت ساخت و توسعه راهها</v>
      </c>
      <c r="AE92" s="3" t="str">
        <f>"فروش داخلي"</f>
        <v>فروش داخلي</v>
      </c>
      <c r="AG92" s="3" t="str">
        <f>"97/11/28"</f>
        <v>97/11/28</v>
      </c>
      <c r="AH92" s="3" t="str">
        <f>"19:17"</f>
        <v>19:17</v>
      </c>
      <c r="AI92" s="3" t="str">
        <f>"حواله فروش"</f>
        <v>حواله فروش</v>
      </c>
    </row>
    <row r="93" spans="1:35" x14ac:dyDescent="0.2">
      <c r="A93" s="3" t="str">
        <f>"97/11/30"</f>
        <v>97/11/30</v>
      </c>
      <c r="B93" s="3" t="str">
        <f>"12:06"</f>
        <v>12:06</v>
      </c>
      <c r="C93" s="3" t="str">
        <f>"12:20"</f>
        <v>12:20</v>
      </c>
      <c r="D93" s="3" t="str">
        <f>"قير  PG64-22"</f>
        <v>قير  PG64-22</v>
      </c>
      <c r="E93" s="3" t="str">
        <f>"354ع18 ايران13"</f>
        <v>354ع18 ايران13</v>
      </c>
      <c r="F93" s="3" t="str">
        <f>"سعيد صالحي"</f>
        <v>سعيد صالحي</v>
      </c>
      <c r="G93" s="3">
        <v>399226</v>
      </c>
      <c r="H93" s="3">
        <v>399224</v>
      </c>
      <c r="I93" s="3">
        <v>4664</v>
      </c>
      <c r="J93" s="3">
        <v>38079</v>
      </c>
      <c r="K93" s="3" t="str">
        <f>"9406997906"</f>
        <v>9406997906</v>
      </c>
      <c r="L93" s="3">
        <v>25080</v>
      </c>
      <c r="M93" s="3">
        <v>25080</v>
      </c>
      <c r="N93" s="3">
        <v>100</v>
      </c>
      <c r="O93" s="3" t="str">
        <f>"مخازن قير اصفهان"</f>
        <v>مخازن قير اصفهان</v>
      </c>
      <c r="P93" s="3" t="str">
        <f>"فله"</f>
        <v>فله</v>
      </c>
      <c r="Q93" s="3">
        <v>0</v>
      </c>
      <c r="R93" s="3">
        <v>0</v>
      </c>
      <c r="S93" s="3">
        <v>0</v>
      </c>
      <c r="T93" s="3">
        <v>971800050</v>
      </c>
      <c r="U93" s="3" t="str">
        <f>"97/07/22"</f>
        <v>97/07/22</v>
      </c>
      <c r="V93" s="3" t="str">
        <f>"پورباقري ترابر (4914036)"</f>
        <v>پورباقري ترابر (4914036)</v>
      </c>
      <c r="W93" s="3" t="str">
        <f>"قرارگاه سازندگي خاتم الانبياء(ص )"</f>
        <v>قرارگاه سازندگي خاتم الانبياء(ص )</v>
      </c>
      <c r="X93" s="3" t="str">
        <f>"698/97"</f>
        <v>698/97</v>
      </c>
      <c r="Y93" s="3" t="str">
        <f>""</f>
        <v/>
      </c>
      <c r="Z93" s="3">
        <v>97049577</v>
      </c>
      <c r="AA93" s="3" t="str">
        <f>"امين فلاحي"</f>
        <v>امين فلاحي</v>
      </c>
      <c r="AB9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3" s="3">
        <v>18</v>
      </c>
      <c r="AD93" s="3" t="str">
        <f>"فروش داخلي تهران - وزارت راه - شرکت ساخت و توسعه راهها"</f>
        <v>فروش داخلي تهران - وزارت راه - شرکت ساخت و توسعه راهها</v>
      </c>
      <c r="AE93" s="3" t="str">
        <f>"فروش داخلي"</f>
        <v>فروش داخلي</v>
      </c>
      <c r="AG93" s="3" t="str">
        <f>"97/11/30"</f>
        <v>97/11/30</v>
      </c>
      <c r="AH93" s="3" t="str">
        <f>"13:37"</f>
        <v>13:37</v>
      </c>
      <c r="AI93" s="3" t="str">
        <f>"حواله فروش"</f>
        <v>حواله فروش</v>
      </c>
    </row>
    <row r="94" spans="1:35" x14ac:dyDescent="0.2">
      <c r="A94" s="3" t="str">
        <f>"97/12/01"</f>
        <v>97/12/01</v>
      </c>
      <c r="B94" s="3" t="str">
        <f>"18:56"</f>
        <v>18:56</v>
      </c>
      <c r="C94" s="3" t="str">
        <f>"19:10"</f>
        <v>19:10</v>
      </c>
      <c r="D94" s="3" t="str">
        <f>"قير  PG64-22"</f>
        <v>قير  PG64-22</v>
      </c>
      <c r="E94" s="3" t="str">
        <f>"866ع51 ايران13"</f>
        <v>866ع51 ايران13</v>
      </c>
      <c r="F94" s="3" t="str">
        <f>"پرويز حيدري"</f>
        <v>پرويز حيدري</v>
      </c>
      <c r="G94" s="3">
        <v>471198</v>
      </c>
      <c r="H94" s="3">
        <v>471127</v>
      </c>
      <c r="I94" s="3">
        <v>4679</v>
      </c>
      <c r="J94" s="3">
        <v>38303</v>
      </c>
      <c r="K94" s="3" t="str">
        <f>"9110108848"</f>
        <v>9110108848</v>
      </c>
      <c r="L94" s="3">
        <v>24260</v>
      </c>
      <c r="M94" s="3">
        <v>24260</v>
      </c>
      <c r="N94" s="3">
        <v>100</v>
      </c>
      <c r="O94" s="3" t="str">
        <f>"مخازن قير اصفهان"</f>
        <v>مخازن قير اصفهان</v>
      </c>
      <c r="P94" s="3" t="str">
        <f>"فله"</f>
        <v>فله</v>
      </c>
      <c r="Q94" s="3">
        <v>0</v>
      </c>
      <c r="R94" s="3">
        <v>0</v>
      </c>
      <c r="S94" s="3">
        <v>0</v>
      </c>
      <c r="T94" s="3">
        <v>971800050</v>
      </c>
      <c r="U94" s="3" t="str">
        <f>"97/07/22"</f>
        <v>97/07/22</v>
      </c>
      <c r="V94" s="3" t="str">
        <f>"پورباقري ترابر (4914036)"</f>
        <v>پورباقري ترابر (4914036)</v>
      </c>
      <c r="W94" s="3" t="str">
        <f>"قرارگاه سازندگي خاتم الانبياء(ص )"</f>
        <v>قرارگاه سازندگي خاتم الانبياء(ص )</v>
      </c>
      <c r="X94" s="3" t="str">
        <f>"701/97"</f>
        <v>701/97</v>
      </c>
      <c r="Y94" s="3" t="str">
        <f>""</f>
        <v/>
      </c>
      <c r="Z94" s="3">
        <v>97049819</v>
      </c>
      <c r="AA94" s="3" t="str">
        <f>"محمد جواد صابريان اردستاني"</f>
        <v>محمد جواد صابريان اردستاني</v>
      </c>
      <c r="AB9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4" s="3">
        <v>18</v>
      </c>
      <c r="AD94" s="3" t="str">
        <f>"فروش داخلي تهران - وزارت راه - شرکت ساخت و توسعه راهها"</f>
        <v>فروش داخلي تهران - وزارت راه - شرکت ساخت و توسعه راهها</v>
      </c>
      <c r="AE94" s="3" t="str">
        <f>"فروش داخلي"</f>
        <v>فروش داخلي</v>
      </c>
      <c r="AG94" s="3" t="str">
        <f>"97/12/01"</f>
        <v>97/12/01</v>
      </c>
      <c r="AH94" s="3" t="str">
        <f>"19:34"</f>
        <v>19:34</v>
      </c>
      <c r="AI94" s="3" t="str">
        <f>"حواله فروش"</f>
        <v>حواله فروش</v>
      </c>
    </row>
    <row r="95" spans="1:35" x14ac:dyDescent="0.2">
      <c r="A95" s="3" t="str">
        <f>"97/12/01"</f>
        <v>97/12/01</v>
      </c>
      <c r="B95" s="3" t="str">
        <f>"22:13"</f>
        <v>22:13</v>
      </c>
      <c r="C95" s="3" t="str">
        <f>"22:34"</f>
        <v>22:34</v>
      </c>
      <c r="D95" s="3" t="str">
        <f>"قير  PG64-22"</f>
        <v>قير  PG64-22</v>
      </c>
      <c r="E95" s="3" t="str">
        <f>"787ع35 ايران23"</f>
        <v>787ع35 ايران23</v>
      </c>
      <c r="F95" s="3" t="str">
        <f>"عليرضا ابوعليزاده"</f>
        <v>عليرضا ابوعليزاده</v>
      </c>
      <c r="G95" s="3">
        <v>444970</v>
      </c>
      <c r="H95" s="3">
        <v>444963</v>
      </c>
      <c r="I95" s="3">
        <v>4680</v>
      </c>
      <c r="J95" s="3">
        <v>38314</v>
      </c>
      <c r="K95" s="3" t="str">
        <f>"9402495461"</f>
        <v>9402495461</v>
      </c>
      <c r="L95" s="3">
        <v>24380</v>
      </c>
      <c r="M95" s="3">
        <v>24380</v>
      </c>
      <c r="N95" s="3">
        <v>100</v>
      </c>
      <c r="O95" s="3" t="str">
        <f>"مخازن قير اصفهان"</f>
        <v>مخازن قير اصفهان</v>
      </c>
      <c r="P95" s="3" t="str">
        <f>"فله"</f>
        <v>فله</v>
      </c>
      <c r="Q95" s="3">
        <v>0</v>
      </c>
      <c r="R95" s="3">
        <v>0</v>
      </c>
      <c r="S95" s="3">
        <v>0</v>
      </c>
      <c r="T95" s="3">
        <v>971800050</v>
      </c>
      <c r="U95" s="3" t="str">
        <f>"97/07/22"</f>
        <v>97/07/22</v>
      </c>
      <c r="V95" s="3" t="str">
        <f>"پورباقري ترابر (4914036)"</f>
        <v>پورباقري ترابر (4914036)</v>
      </c>
      <c r="W95" s="3" t="str">
        <f>"قرارگاه سازندگي خاتم الانبياء(ص )"</f>
        <v>قرارگاه سازندگي خاتم الانبياء(ص )</v>
      </c>
      <c r="X95" s="3" t="str">
        <f>"701/97"</f>
        <v>701/97</v>
      </c>
      <c r="Y95" s="3" t="str">
        <f>""</f>
        <v/>
      </c>
      <c r="Z95" s="3">
        <v>97049838</v>
      </c>
      <c r="AA95" s="3" t="str">
        <f>"مسعود ليموچي"</f>
        <v>مسعود ليموچي</v>
      </c>
      <c r="AB9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5" s="3">
        <v>18</v>
      </c>
      <c r="AD95" s="3" t="str">
        <f>"فروش داخلي تهران - وزارت راه - شرکت ساخت و توسعه راهها"</f>
        <v>فروش داخلي تهران - وزارت راه - شرکت ساخت و توسعه راهها</v>
      </c>
      <c r="AE95" s="3" t="str">
        <f>"فروش داخلي"</f>
        <v>فروش داخلي</v>
      </c>
      <c r="AG95" s="3" t="str">
        <f>"97/12/01"</f>
        <v>97/12/01</v>
      </c>
      <c r="AH95" s="3" t="str">
        <f>"23:08"</f>
        <v>23:08</v>
      </c>
      <c r="AI95" s="3" t="str">
        <f>"حواله فروش"</f>
        <v>حواله فروش</v>
      </c>
    </row>
    <row r="96" spans="1:35" x14ac:dyDescent="0.2">
      <c r="A96" s="3" t="str">
        <f>"97/12/02"</f>
        <v>97/12/02</v>
      </c>
      <c r="B96" s="3" t="str">
        <f>"22:14"</f>
        <v>22:14</v>
      </c>
      <c r="C96" s="3" t="str">
        <f>"22:42"</f>
        <v>22:42</v>
      </c>
      <c r="D96" s="3" t="str">
        <f>"قير  PG64-22"</f>
        <v>قير  PG64-22</v>
      </c>
      <c r="E96" s="3" t="str">
        <f>"941ع75 ايران 43"</f>
        <v>941ع75 ايران 43</v>
      </c>
      <c r="F96" s="3" t="str">
        <f>"جمال محمديان"</f>
        <v>جمال محمديان</v>
      </c>
      <c r="G96" s="3">
        <v>444965</v>
      </c>
      <c r="H96" s="3">
        <v>444952</v>
      </c>
      <c r="I96" s="3">
        <v>4681</v>
      </c>
      <c r="J96" s="3">
        <v>38317</v>
      </c>
      <c r="K96" s="3" t="str">
        <f>"9381505682"</f>
        <v>9381505682</v>
      </c>
      <c r="L96" s="3">
        <v>23780</v>
      </c>
      <c r="M96" s="3">
        <v>23780</v>
      </c>
      <c r="N96" s="3">
        <v>100</v>
      </c>
      <c r="O96" s="3" t="str">
        <f>"مخازن قير اصفهان"</f>
        <v>مخازن قير اصفهان</v>
      </c>
      <c r="P96" s="3" t="str">
        <f>"فله"</f>
        <v>فله</v>
      </c>
      <c r="Q96" s="3">
        <v>0</v>
      </c>
      <c r="R96" s="3">
        <v>0</v>
      </c>
      <c r="S96" s="3">
        <v>0</v>
      </c>
      <c r="T96" s="3">
        <v>971800050</v>
      </c>
      <c r="U96" s="3" t="str">
        <f>"97/07/22"</f>
        <v>97/07/22</v>
      </c>
      <c r="V96" s="3" t="str">
        <f>"پورباقري ترابر (4914036)"</f>
        <v>پورباقري ترابر (4914036)</v>
      </c>
      <c r="W96" s="3" t="str">
        <f>"قرارگاه سازندگي خاتم الانبياء(ص )"</f>
        <v>قرارگاه سازندگي خاتم الانبياء(ص )</v>
      </c>
      <c r="X96" s="3" t="str">
        <f>"701/97"</f>
        <v>701/97</v>
      </c>
      <c r="Y96" s="3" t="str">
        <f>""</f>
        <v/>
      </c>
      <c r="Z96" s="3">
        <v>97049839</v>
      </c>
      <c r="AA96" s="3" t="str">
        <f>"مسعود ليموچي"</f>
        <v>مسعود ليموچي</v>
      </c>
      <c r="AB9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6" s="3">
        <v>18</v>
      </c>
      <c r="AD96" s="3" t="str">
        <f>"فروش داخلي تهران - وزارت راه - شرکت ساخت و توسعه راهها"</f>
        <v>فروش داخلي تهران - وزارت راه - شرکت ساخت و توسعه راهها</v>
      </c>
      <c r="AE96" s="3" t="str">
        <f>"فروش داخلي"</f>
        <v>فروش داخلي</v>
      </c>
      <c r="AG96" s="3" t="str">
        <f>"97/12/01"</f>
        <v>97/12/01</v>
      </c>
      <c r="AH96" s="3" t="str">
        <f>"00:19"</f>
        <v>00:19</v>
      </c>
      <c r="AI96" s="3" t="str">
        <f>"حواله فروش"</f>
        <v>حواله فروش</v>
      </c>
    </row>
    <row r="97" spans="1:35" x14ac:dyDescent="0.2">
      <c r="A97" s="3" t="str">
        <f>"97/12/02"</f>
        <v>97/12/02</v>
      </c>
      <c r="B97" s="3" t="str">
        <f>"08:13"</f>
        <v>08:13</v>
      </c>
      <c r="C97" s="3" t="str">
        <f>"08:28"</f>
        <v>08:28</v>
      </c>
      <c r="D97" s="3" t="str">
        <f>"قير  PG64-22"</f>
        <v>قير  PG64-22</v>
      </c>
      <c r="E97" s="3" t="str">
        <f>"138ع19 ايران43"</f>
        <v>138ع19 ايران43</v>
      </c>
      <c r="F97" s="3" t="str">
        <f>"موسي عليپور"</f>
        <v>موسي عليپور</v>
      </c>
      <c r="G97" s="3">
        <v>399311</v>
      </c>
      <c r="H97" s="3">
        <v>399316</v>
      </c>
      <c r="I97" s="3">
        <v>4683</v>
      </c>
      <c r="J97" s="3">
        <v>38333</v>
      </c>
      <c r="K97" s="3" t="str">
        <f>"9281799758"</f>
        <v>9281799758</v>
      </c>
      <c r="L97" s="3">
        <v>25140</v>
      </c>
      <c r="M97" s="3">
        <v>25140</v>
      </c>
      <c r="N97" s="3">
        <v>100</v>
      </c>
      <c r="O97" s="3" t="str">
        <f>"مخازن قير اصفهان"</f>
        <v>مخازن قير اصفهان</v>
      </c>
      <c r="P97" s="3" t="str">
        <f>"فله"</f>
        <v>فله</v>
      </c>
      <c r="Q97" s="3">
        <v>0</v>
      </c>
      <c r="R97" s="3">
        <v>0</v>
      </c>
      <c r="S97" s="3">
        <v>0</v>
      </c>
      <c r="T97" s="3">
        <v>971800050</v>
      </c>
      <c r="U97" s="3" t="str">
        <f>"97/07/22"</f>
        <v>97/07/22</v>
      </c>
      <c r="V97" s="3" t="str">
        <f>"پورباقري ترابر (4914036)"</f>
        <v>پورباقري ترابر (4914036)</v>
      </c>
      <c r="W97" s="3" t="str">
        <f>"قرارگاه سازندگي خاتم الانبياء(ص )"</f>
        <v>قرارگاه سازندگي خاتم الانبياء(ص )</v>
      </c>
      <c r="X97" s="3" t="str">
        <f>"704/97"</f>
        <v>704/97</v>
      </c>
      <c r="Y97" s="3" t="str">
        <f>""</f>
        <v/>
      </c>
      <c r="Z97" s="3">
        <v>97049875</v>
      </c>
      <c r="AA97" s="3" t="str">
        <f>"محمد جواد صابريان اردستاني"</f>
        <v>محمد جواد صابريان اردستاني</v>
      </c>
      <c r="AB9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7" s="3">
        <v>18</v>
      </c>
      <c r="AD97" s="3" t="str">
        <f>"فروش داخلي تهران - وزارت راه - شرکت ساخت و توسعه راهها"</f>
        <v>فروش داخلي تهران - وزارت راه - شرکت ساخت و توسعه راهها</v>
      </c>
      <c r="AE97" s="3" t="str">
        <f>"فروش داخلي"</f>
        <v>فروش داخلي</v>
      </c>
      <c r="AG97" s="3" t="str">
        <f>"97/12/02"</f>
        <v>97/12/02</v>
      </c>
      <c r="AH97" s="3" t="str">
        <f>"08:57"</f>
        <v>08:57</v>
      </c>
      <c r="AI97" s="3" t="str">
        <f>"حواله فروش"</f>
        <v>حواله فروش</v>
      </c>
    </row>
    <row r="98" spans="1:35" x14ac:dyDescent="0.2">
      <c r="A98" s="3" t="str">
        <f>"97/12/02"</f>
        <v>97/12/02</v>
      </c>
      <c r="B98" s="3" t="str">
        <f>"10:56"</f>
        <v>10:56</v>
      </c>
      <c r="C98" s="3" t="str">
        <f>"11:09"</f>
        <v>11:09</v>
      </c>
      <c r="D98" s="3" t="str">
        <f>"قير  PG64-22"</f>
        <v>قير  PG64-22</v>
      </c>
      <c r="E98" s="3" t="str">
        <f>"656ع76 ايران23"</f>
        <v>656ع76 ايران23</v>
      </c>
      <c r="F98" s="3" t="str">
        <f>"عليرضا اسلامي"</f>
        <v>عليرضا اسلامي</v>
      </c>
      <c r="G98" s="3">
        <v>399090</v>
      </c>
      <c r="H98" s="3">
        <v>399405</v>
      </c>
      <c r="I98" s="3">
        <v>4689</v>
      </c>
      <c r="J98" s="3">
        <v>38388</v>
      </c>
      <c r="K98" s="3" t="str">
        <f>"9383961667"</f>
        <v>9383961667</v>
      </c>
      <c r="L98" s="3">
        <v>25000</v>
      </c>
      <c r="M98" s="3">
        <v>25000</v>
      </c>
      <c r="N98" s="3">
        <v>100</v>
      </c>
      <c r="O98" s="3" t="str">
        <f>"مخازن قير اصفهان"</f>
        <v>مخازن قير اصفهان</v>
      </c>
      <c r="P98" s="3" t="str">
        <f>"فله"</f>
        <v>فله</v>
      </c>
      <c r="Q98" s="3">
        <v>0</v>
      </c>
      <c r="R98" s="3">
        <v>0</v>
      </c>
      <c r="S98" s="3">
        <v>0</v>
      </c>
      <c r="T98" s="3">
        <v>971800050</v>
      </c>
      <c r="U98" s="3" t="str">
        <f>"97/07/22"</f>
        <v>97/07/22</v>
      </c>
      <c r="V98" s="3" t="str">
        <f>"پورباقري ترابر (4914036)"</f>
        <v>پورباقري ترابر (4914036)</v>
      </c>
      <c r="W98" s="3" t="str">
        <f>"قرارگاه سازندگي خاتم الانبياء(ص )"</f>
        <v>قرارگاه سازندگي خاتم الانبياء(ص )</v>
      </c>
      <c r="X98" s="3" t="str">
        <f>"704/97"</f>
        <v>704/97</v>
      </c>
      <c r="Y98" s="3" t="str">
        <f>""</f>
        <v/>
      </c>
      <c r="Z98" s="3">
        <v>97049905</v>
      </c>
      <c r="AA98" s="3" t="str">
        <f>"محمد جواد صابريان اردستاني"</f>
        <v>محمد جواد صابريان اردستاني</v>
      </c>
      <c r="AB98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8" s="3">
        <v>18</v>
      </c>
      <c r="AD98" s="3" t="str">
        <f>"فروش داخلي تهران - وزارت راه - شرکت ساخت و توسعه راهها"</f>
        <v>فروش داخلي تهران - وزارت راه - شرکت ساخت و توسعه راهها</v>
      </c>
      <c r="AE98" s="3" t="str">
        <f>"فروش داخلي"</f>
        <v>فروش داخلي</v>
      </c>
      <c r="AG98" s="3" t="str">
        <f>"97/12/02"</f>
        <v>97/12/02</v>
      </c>
      <c r="AH98" s="3" t="str">
        <f>"12:42"</f>
        <v>12:42</v>
      </c>
      <c r="AI98" s="3" t="str">
        <f>"حواله فروش"</f>
        <v>حواله فروش</v>
      </c>
    </row>
    <row r="99" spans="1:35" x14ac:dyDescent="0.2">
      <c r="A99" s="3" t="str">
        <f>"97/12/02"</f>
        <v>97/12/02</v>
      </c>
      <c r="B99" s="3" t="str">
        <f>"11:29"</f>
        <v>11:29</v>
      </c>
      <c r="C99" s="3" t="str">
        <f>"11:45"</f>
        <v>11:45</v>
      </c>
      <c r="D99" s="3" t="str">
        <f>"قير  PG64-22"</f>
        <v>قير  PG64-22</v>
      </c>
      <c r="E99" s="3" t="str">
        <f>"354ع18 ايران13"</f>
        <v>354ع18 ايران13</v>
      </c>
      <c r="F99" s="3" t="str">
        <f>"سعيد صالحي"</f>
        <v>سعيد صالحي</v>
      </c>
      <c r="G99" s="3">
        <v>399081</v>
      </c>
      <c r="H99" s="3">
        <v>399381</v>
      </c>
      <c r="I99" s="3">
        <v>4690</v>
      </c>
      <c r="J99" s="3">
        <v>38399</v>
      </c>
      <c r="K99" s="3" t="str">
        <f>"9406997906"</f>
        <v>9406997906</v>
      </c>
      <c r="L99" s="3">
        <v>25380</v>
      </c>
      <c r="M99" s="3">
        <v>25380</v>
      </c>
      <c r="N99" s="3">
        <v>100</v>
      </c>
      <c r="O99" s="3" t="str">
        <f>"مخازن قير اصفهان"</f>
        <v>مخازن قير اصفهان</v>
      </c>
      <c r="P99" s="3" t="str">
        <f>"فله"</f>
        <v>فله</v>
      </c>
      <c r="Q99" s="3">
        <v>0</v>
      </c>
      <c r="R99" s="3">
        <v>0</v>
      </c>
      <c r="S99" s="3">
        <v>0</v>
      </c>
      <c r="T99" s="3">
        <v>971800050</v>
      </c>
      <c r="U99" s="3" t="str">
        <f>"97/07/22"</f>
        <v>97/07/22</v>
      </c>
      <c r="V99" s="3" t="str">
        <f>"پورباقري ترابر (4914036)"</f>
        <v>پورباقري ترابر (4914036)</v>
      </c>
      <c r="W99" s="3" t="str">
        <f>"قرارگاه سازندگي خاتم الانبياء(ص )"</f>
        <v>قرارگاه سازندگي خاتم الانبياء(ص )</v>
      </c>
      <c r="X99" s="3" t="str">
        <f>"704/97"</f>
        <v>704/97</v>
      </c>
      <c r="Y99" s="3" t="str">
        <f>""</f>
        <v/>
      </c>
      <c r="Z99" s="3">
        <v>97049924</v>
      </c>
      <c r="AA99" s="3" t="str">
        <f>"محمد جواد صابريان اردستاني"</f>
        <v>محمد جواد صابريان اردستاني</v>
      </c>
      <c r="AB99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99" s="3">
        <v>18</v>
      </c>
      <c r="AD99" s="3" t="str">
        <f>"فروش داخلي تهران - وزارت راه - شرکت ساخت و توسعه راهها"</f>
        <v>فروش داخلي تهران - وزارت راه - شرکت ساخت و توسعه راهها</v>
      </c>
      <c r="AE99" s="3" t="str">
        <f>"فروش داخلي"</f>
        <v>فروش داخلي</v>
      </c>
      <c r="AG99" s="3" t="str">
        <f>"97/12/02"</f>
        <v>97/12/02</v>
      </c>
      <c r="AH99" s="3" t="str">
        <f>"13:05"</f>
        <v>13:05</v>
      </c>
      <c r="AI99" s="3" t="str">
        <f>"حواله فروش"</f>
        <v>حواله فروش</v>
      </c>
    </row>
    <row r="100" spans="1:35" x14ac:dyDescent="0.2">
      <c r="A100" s="3" t="str">
        <f>"97/12/07"</f>
        <v>97/12/07</v>
      </c>
      <c r="B100" s="3" t="str">
        <f>"18:55"</f>
        <v>18:55</v>
      </c>
      <c r="C100" s="3" t="str">
        <f>"19:16"</f>
        <v>19:16</v>
      </c>
      <c r="D100" s="3" t="str">
        <f>"قير  PG64-22"</f>
        <v>قير  PG64-22</v>
      </c>
      <c r="E100" s="3" t="str">
        <f>"457ع63 ايران13"</f>
        <v>457ع63 ايران13</v>
      </c>
      <c r="F100" s="3" t="str">
        <f>"محمد مهدي مسلمي"</f>
        <v>محمد مهدي مسلمي</v>
      </c>
      <c r="G100" s="3">
        <v>460102</v>
      </c>
      <c r="H100" s="3">
        <v>460066</v>
      </c>
      <c r="I100" s="3">
        <v>4724</v>
      </c>
      <c r="J100" s="3">
        <v>39132</v>
      </c>
      <c r="K100" s="3" t="str">
        <f>"9402140758"</f>
        <v>9402140758</v>
      </c>
      <c r="L100" s="3">
        <v>24000</v>
      </c>
      <c r="M100" s="3">
        <v>24000</v>
      </c>
      <c r="N100" s="3">
        <v>100</v>
      </c>
      <c r="O100" s="3" t="str">
        <f>"مخازن قير اصفهان"</f>
        <v>مخازن قير اصفهان</v>
      </c>
      <c r="P100" s="3" t="str">
        <f>"فله"</f>
        <v>فله</v>
      </c>
      <c r="Q100" s="3">
        <v>0</v>
      </c>
      <c r="R100" s="3">
        <v>0</v>
      </c>
      <c r="S100" s="3">
        <v>0</v>
      </c>
      <c r="T100" s="3">
        <v>971800050</v>
      </c>
      <c r="U100" s="3" t="str">
        <f>"97/07/22"</f>
        <v>97/07/22</v>
      </c>
      <c r="V100" s="3" t="str">
        <f>"پورباقري ترابر (4914036)"</f>
        <v>پورباقري ترابر (4914036)</v>
      </c>
      <c r="W100" s="3" t="str">
        <f>"قرارگاه سازندگي خاتم الانبياء(ص )"</f>
        <v>قرارگاه سازندگي خاتم الانبياء(ص )</v>
      </c>
      <c r="X100" s="3" t="str">
        <f>"711/97"</f>
        <v>711/97</v>
      </c>
      <c r="Y100" s="3" t="str">
        <f>""</f>
        <v/>
      </c>
      <c r="Z100" s="3">
        <v>97050678</v>
      </c>
      <c r="AA100" s="3" t="str">
        <f>"داريوش سليماني مهر"</f>
        <v>داريوش سليماني مهر</v>
      </c>
      <c r="AB100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0" s="3">
        <v>18</v>
      </c>
      <c r="AD100" s="3" t="str">
        <f>"فروش داخلي تهران - وزارت راه - شرکت ساخت و توسعه راهها"</f>
        <v>فروش داخلي تهران - وزارت راه - شرکت ساخت و توسعه راهها</v>
      </c>
      <c r="AE100" s="3" t="str">
        <f>"فروش داخلي"</f>
        <v>فروش داخلي</v>
      </c>
      <c r="AG100" s="3" t="str">
        <f>"97/12/07"</f>
        <v>97/12/07</v>
      </c>
      <c r="AH100" s="3" t="str">
        <f>"20:33"</f>
        <v>20:33</v>
      </c>
      <c r="AI100" s="3" t="str">
        <f>"حواله فروش"</f>
        <v>حواله فروش</v>
      </c>
    </row>
    <row r="101" spans="1:35" x14ac:dyDescent="0.2">
      <c r="A101" s="3" t="str">
        <f>"97/12/07"</f>
        <v>97/12/07</v>
      </c>
      <c r="B101" s="3" t="str">
        <f>"18:57"</f>
        <v>18:57</v>
      </c>
      <c r="C101" s="3" t="str">
        <f>"19:17"</f>
        <v>19:17</v>
      </c>
      <c r="D101" s="3" t="str">
        <f>"قير  PG64-22"</f>
        <v>قير  PG64-22</v>
      </c>
      <c r="E101" s="3" t="str">
        <f>"776ع31 ايران13"</f>
        <v>776ع31 ايران13</v>
      </c>
      <c r="F101" s="3" t="str">
        <f>"عظيم لاري"</f>
        <v>عظيم لاري</v>
      </c>
      <c r="G101" s="3">
        <v>460104</v>
      </c>
      <c r="H101" s="3">
        <v>460107</v>
      </c>
      <c r="I101" s="3">
        <v>4725</v>
      </c>
      <c r="J101" s="3">
        <v>39133</v>
      </c>
      <c r="K101" s="3" t="str">
        <f>"9601663501"</f>
        <v>9601663501</v>
      </c>
      <c r="L101" s="3">
        <v>24360</v>
      </c>
      <c r="M101" s="3">
        <v>24360</v>
      </c>
      <c r="N101" s="3">
        <v>100</v>
      </c>
      <c r="O101" s="3" t="str">
        <f>"مخازن قير اصفهان"</f>
        <v>مخازن قير اصفهان</v>
      </c>
      <c r="P101" s="3" t="str">
        <f>"فله"</f>
        <v>فله</v>
      </c>
      <c r="Q101" s="3">
        <v>0</v>
      </c>
      <c r="R101" s="3">
        <v>0</v>
      </c>
      <c r="S101" s="3">
        <v>0</v>
      </c>
      <c r="T101" s="3">
        <v>971800050</v>
      </c>
      <c r="U101" s="3" t="str">
        <f>"97/07/22"</f>
        <v>97/07/22</v>
      </c>
      <c r="V101" s="3" t="str">
        <f>"پورباقري ترابر (4914036)"</f>
        <v>پورباقري ترابر (4914036)</v>
      </c>
      <c r="W101" s="3" t="str">
        <f>"قرارگاه سازندگي خاتم الانبياء(ص )"</f>
        <v>قرارگاه سازندگي خاتم الانبياء(ص )</v>
      </c>
      <c r="X101" s="3" t="str">
        <f>"711/97"</f>
        <v>711/97</v>
      </c>
      <c r="Y101" s="3" t="str">
        <f>""</f>
        <v/>
      </c>
      <c r="Z101" s="3">
        <v>97050440</v>
      </c>
      <c r="AA101" s="3" t="str">
        <f>"داريوش سليماني مهر"</f>
        <v>داريوش سليماني مهر</v>
      </c>
      <c r="AB101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1" s="3">
        <v>18</v>
      </c>
      <c r="AD101" s="3" t="str">
        <f>"فروش داخلي تهران - وزارت راه - شرکت ساخت و توسعه راهها"</f>
        <v>فروش داخلي تهران - وزارت راه - شرکت ساخت و توسعه راهها</v>
      </c>
      <c r="AE101" s="3" t="str">
        <f>"فروش داخلي"</f>
        <v>فروش داخلي</v>
      </c>
      <c r="AG101" s="3" t="str">
        <f>"97/12/07"</f>
        <v>97/12/07</v>
      </c>
      <c r="AH101" s="3" t="str">
        <f>"20:35"</f>
        <v>20:35</v>
      </c>
      <c r="AI101" s="3" t="str">
        <f>"حواله فروش"</f>
        <v>حواله فروش</v>
      </c>
    </row>
    <row r="102" spans="1:35" x14ac:dyDescent="0.2">
      <c r="A102" s="3" t="str">
        <f>"97/12/08"</f>
        <v>97/12/08</v>
      </c>
      <c r="B102" s="3" t="str">
        <f>"09:17"</f>
        <v>09:17</v>
      </c>
      <c r="C102" s="3" t="str">
        <f>"09:26"</f>
        <v>09:26</v>
      </c>
      <c r="D102" s="3" t="str">
        <f>"قير  PG64-22"</f>
        <v>قير  PG64-22</v>
      </c>
      <c r="E102" s="3" t="str">
        <f>"112ع59 ايران13"</f>
        <v>112ع59 ايران13</v>
      </c>
      <c r="F102" s="3" t="str">
        <f>"سيدحسين کتابي پور"</f>
        <v>سيدحسين کتابي پور</v>
      </c>
      <c r="G102" s="3">
        <v>444464</v>
      </c>
      <c r="H102" s="3">
        <v>444470</v>
      </c>
      <c r="I102" s="3">
        <v>4737</v>
      </c>
      <c r="J102" s="3">
        <v>39188</v>
      </c>
      <c r="K102" s="3" t="str">
        <f>"9400606294"</f>
        <v>9400606294</v>
      </c>
      <c r="L102" s="3">
        <v>22800</v>
      </c>
      <c r="M102" s="3">
        <v>22800</v>
      </c>
      <c r="N102" s="3">
        <v>100</v>
      </c>
      <c r="O102" s="3" t="str">
        <f>"مخازن قير اصفهان"</f>
        <v>مخازن قير اصفهان</v>
      </c>
      <c r="P102" s="3" t="str">
        <f>"فله"</f>
        <v>فله</v>
      </c>
      <c r="Q102" s="3">
        <v>0</v>
      </c>
      <c r="R102" s="3">
        <v>0</v>
      </c>
      <c r="S102" s="3">
        <v>0</v>
      </c>
      <c r="T102" s="3">
        <v>971800050</v>
      </c>
      <c r="U102" s="3" t="str">
        <f>"97/07/22"</f>
        <v>97/07/22</v>
      </c>
      <c r="V102" s="3" t="str">
        <f>"پورباقري ترابر (4914036)"</f>
        <v>پورباقري ترابر (4914036)</v>
      </c>
      <c r="W102" s="3" t="str">
        <f>"قرارگاه سازندگي خاتم الانبياء(ص )"</f>
        <v>قرارگاه سازندگي خاتم الانبياء(ص )</v>
      </c>
      <c r="X102" s="3" t="str">
        <f>"718/97"</f>
        <v>718/97</v>
      </c>
      <c r="Y102" s="3" t="str">
        <f>""</f>
        <v/>
      </c>
      <c r="Z102" s="3">
        <v>97050763</v>
      </c>
      <c r="AA102" s="3" t="str">
        <f>"مسعود ليموچي"</f>
        <v>مسعود ليموچي</v>
      </c>
      <c r="AB102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2" s="3">
        <v>18</v>
      </c>
      <c r="AD102" s="3" t="str">
        <f>"فروش داخلي تهران - وزارت راه - شرکت ساخت و توسعه راهها"</f>
        <v>فروش داخلي تهران - وزارت راه - شرکت ساخت و توسعه راهها</v>
      </c>
      <c r="AE102" s="3" t="str">
        <f>"فروش داخلي"</f>
        <v>فروش داخلي</v>
      </c>
      <c r="AG102" s="3" t="str">
        <f>"97/12/08"</f>
        <v>97/12/08</v>
      </c>
      <c r="AH102" s="3" t="str">
        <f>"10:10"</f>
        <v>10:10</v>
      </c>
      <c r="AI102" s="3" t="str">
        <f>"حواله فروش"</f>
        <v>حواله فروش</v>
      </c>
    </row>
    <row r="103" spans="1:35" x14ac:dyDescent="0.2">
      <c r="A103" s="3" t="str">
        <f>"97/12/08"</f>
        <v>97/12/08</v>
      </c>
      <c r="B103" s="3" t="str">
        <f>"10:39"</f>
        <v>10:39</v>
      </c>
      <c r="C103" s="3" t="str">
        <f>"11:11"</f>
        <v>11:11</v>
      </c>
      <c r="D103" s="3" t="str">
        <f>"قير  PG64-22"</f>
        <v>قير  PG64-22</v>
      </c>
      <c r="E103" s="3" t="str">
        <f>"474ع28 ايران13"</f>
        <v>474ع28 ايران13</v>
      </c>
      <c r="F103" s="3" t="str">
        <f>"رسول کمالي"</f>
        <v>رسول کمالي</v>
      </c>
      <c r="G103" s="3">
        <v>444117</v>
      </c>
      <c r="H103" s="3">
        <v>444115</v>
      </c>
      <c r="I103" s="3">
        <v>4740</v>
      </c>
      <c r="J103" s="3">
        <v>39228</v>
      </c>
      <c r="K103" s="3" t="str">
        <f>"9283077224"</f>
        <v>9283077224</v>
      </c>
      <c r="L103" s="3">
        <v>23420</v>
      </c>
      <c r="M103" s="3">
        <v>23420</v>
      </c>
      <c r="N103" s="3">
        <v>100</v>
      </c>
      <c r="O103" s="3" t="str">
        <f>"مخازن قير اصفهان"</f>
        <v>مخازن قير اصفهان</v>
      </c>
      <c r="P103" s="3" t="str">
        <f>"فله"</f>
        <v>فله</v>
      </c>
      <c r="Q103" s="3">
        <v>0</v>
      </c>
      <c r="R103" s="3">
        <v>0</v>
      </c>
      <c r="S103" s="3">
        <v>0</v>
      </c>
      <c r="T103" s="3">
        <v>971800050</v>
      </c>
      <c r="U103" s="3" t="str">
        <f>"97/07/22"</f>
        <v>97/07/22</v>
      </c>
      <c r="V103" s="3" t="str">
        <f>"پورباقري ترابر (4914036)"</f>
        <v>پورباقري ترابر (4914036)</v>
      </c>
      <c r="W103" s="3" t="str">
        <f>"قرارگاه سازندگي خاتم الانبياء(ص )"</f>
        <v>قرارگاه سازندگي خاتم الانبياء(ص )</v>
      </c>
      <c r="X103" s="3" t="str">
        <f>"718/97"</f>
        <v>718/97</v>
      </c>
      <c r="Y103" s="3" t="str">
        <f>""</f>
        <v/>
      </c>
      <c r="Z103" s="3">
        <v>97050781</v>
      </c>
      <c r="AA103" s="3" t="str">
        <f>"محمد جواد صابريان اردستاني"</f>
        <v>محمد جواد صابريان اردستاني</v>
      </c>
      <c r="AB103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3" s="3">
        <v>18</v>
      </c>
      <c r="AD103" s="3" t="str">
        <f>"فروش داخلي تهران - وزارت راه - شرکت ساخت و توسعه راهها"</f>
        <v>فروش داخلي تهران - وزارت راه - شرکت ساخت و توسعه راهها</v>
      </c>
      <c r="AE103" s="3" t="str">
        <f>"فروش داخلي"</f>
        <v>فروش داخلي</v>
      </c>
      <c r="AG103" s="3" t="str">
        <f>"97/12/08"</f>
        <v>97/12/08</v>
      </c>
      <c r="AH103" s="3" t="str">
        <f>"12:00"</f>
        <v>12:00</v>
      </c>
      <c r="AI103" s="3" t="str">
        <f>"حواله فروش"</f>
        <v>حواله فروش</v>
      </c>
    </row>
    <row r="104" spans="1:35" x14ac:dyDescent="0.2">
      <c r="A104" s="3" t="str">
        <f>"97/12/10"</f>
        <v>97/12/10</v>
      </c>
      <c r="B104" s="3" t="str">
        <f>"18:55"</f>
        <v>18:55</v>
      </c>
      <c r="C104" s="3" t="str">
        <f>"19:06"</f>
        <v>19:06</v>
      </c>
      <c r="D104" s="3" t="str">
        <f>"قير  PG64-22"</f>
        <v>قير  PG64-22</v>
      </c>
      <c r="E104" s="3" t="str">
        <f>"457ع63 ايران13"</f>
        <v>457ع63 ايران13</v>
      </c>
      <c r="F104" s="3" t="str">
        <f>"محمد مهدي مسلمي"</f>
        <v>محمد مهدي مسلمي</v>
      </c>
      <c r="G104" s="3">
        <v>460469</v>
      </c>
      <c r="H104" s="3">
        <v>460509</v>
      </c>
      <c r="I104" s="3">
        <v>4768</v>
      </c>
      <c r="J104" s="3">
        <v>39602</v>
      </c>
      <c r="K104" s="3" t="str">
        <f>"9402140758"</f>
        <v>9402140758</v>
      </c>
      <c r="L104" s="3">
        <v>24540</v>
      </c>
      <c r="M104" s="3">
        <v>24540</v>
      </c>
      <c r="N104" s="3">
        <v>100</v>
      </c>
      <c r="O104" s="3" t="str">
        <f>"مخازن قير اصفهان"</f>
        <v>مخازن قير اصفهان</v>
      </c>
      <c r="P104" s="3" t="str">
        <f>"فله"</f>
        <v>فله</v>
      </c>
      <c r="Q104" s="3">
        <v>0</v>
      </c>
      <c r="R104" s="3">
        <v>0</v>
      </c>
      <c r="S104" s="3">
        <v>0</v>
      </c>
      <c r="T104" s="3">
        <v>971800050</v>
      </c>
      <c r="U104" s="3" t="str">
        <f>"97/07/22"</f>
        <v>97/07/22</v>
      </c>
      <c r="V104" s="3" t="str">
        <f>"پورباقري ترابر (4914036)"</f>
        <v>پورباقري ترابر (4914036)</v>
      </c>
      <c r="W104" s="3" t="str">
        <f>"قرارگاه سازندگي خاتم الانبياء(ص )"</f>
        <v>قرارگاه سازندگي خاتم الانبياء(ص )</v>
      </c>
      <c r="X104" s="3" t="str">
        <f>"723/97"</f>
        <v>723/97</v>
      </c>
      <c r="Y104" s="3" t="str">
        <f>""</f>
        <v/>
      </c>
      <c r="Z104" s="3">
        <v>97051161</v>
      </c>
      <c r="AA104" s="3" t="str">
        <f>"داريوش سليماني مهر"</f>
        <v>داريوش سليماني مهر</v>
      </c>
      <c r="AB104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4" s="3">
        <v>18</v>
      </c>
      <c r="AD104" s="3" t="str">
        <f>"فروش داخلي تهران - وزارت راه - شرکت ساخت و توسعه راهها"</f>
        <v>فروش داخلي تهران - وزارت راه - شرکت ساخت و توسعه راهها</v>
      </c>
      <c r="AE104" s="3" t="str">
        <f>"فروش داخلي"</f>
        <v>فروش داخلي</v>
      </c>
      <c r="AG104" s="3" t="str">
        <f>"97/12/10"</f>
        <v>97/12/10</v>
      </c>
      <c r="AH104" s="3" t="str">
        <f>"19:31"</f>
        <v>19:31</v>
      </c>
      <c r="AI104" s="3" t="str">
        <f>"حواله فروش"</f>
        <v>حواله فروش</v>
      </c>
    </row>
    <row r="105" spans="1:35" x14ac:dyDescent="0.2">
      <c r="A105" s="3" t="str">
        <f>"97/12/10"</f>
        <v>97/12/10</v>
      </c>
      <c r="B105" s="3" t="str">
        <f>"19:03"</f>
        <v>19:03</v>
      </c>
      <c r="C105" s="3" t="str">
        <f>"19:11"</f>
        <v>19:11</v>
      </c>
      <c r="D105" s="3" t="str">
        <f>"قير  PG64-22"</f>
        <v>قير  PG64-22</v>
      </c>
      <c r="E105" s="3" t="str">
        <f>"776ع31 ايران13"</f>
        <v>776ع31 ايران13</v>
      </c>
      <c r="F105" s="3" t="str">
        <f>"عظيم لاري"</f>
        <v>عظيم لاري</v>
      </c>
      <c r="G105" s="3">
        <v>460520</v>
      </c>
      <c r="H105" s="3">
        <v>460263</v>
      </c>
      <c r="I105" s="3">
        <v>4769</v>
      </c>
      <c r="J105" s="3">
        <v>39601</v>
      </c>
      <c r="K105" s="3" t="str">
        <f>"9601663501"</f>
        <v>9601663501</v>
      </c>
      <c r="L105" s="3">
        <v>23800</v>
      </c>
      <c r="M105" s="3">
        <v>23800</v>
      </c>
      <c r="N105" s="3">
        <v>100</v>
      </c>
      <c r="O105" s="3" t="str">
        <f>"مخازن قير اصفهان"</f>
        <v>مخازن قير اصفهان</v>
      </c>
      <c r="P105" s="3" t="str">
        <f>"فله"</f>
        <v>فله</v>
      </c>
      <c r="Q105" s="3">
        <v>0</v>
      </c>
      <c r="R105" s="3">
        <v>0</v>
      </c>
      <c r="S105" s="3">
        <v>0</v>
      </c>
      <c r="T105" s="3">
        <v>971800050</v>
      </c>
      <c r="U105" s="3" t="str">
        <f>"97/07/22"</f>
        <v>97/07/22</v>
      </c>
      <c r="V105" s="3" t="str">
        <f>"پورباقري ترابر (4914036)"</f>
        <v>پورباقري ترابر (4914036)</v>
      </c>
      <c r="W105" s="3" t="str">
        <f>"قرارگاه سازندگي خاتم الانبياء(ص )"</f>
        <v>قرارگاه سازندگي خاتم الانبياء(ص )</v>
      </c>
      <c r="X105" s="3" t="str">
        <f>"723/97"</f>
        <v>723/97</v>
      </c>
      <c r="Y105" s="3" t="str">
        <f>""</f>
        <v/>
      </c>
      <c r="Z105" s="3">
        <v>97051162</v>
      </c>
      <c r="AA105" s="3" t="str">
        <f>"داريوش سليماني مهر"</f>
        <v>داريوش سليماني مهر</v>
      </c>
      <c r="AB105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5" s="3">
        <v>18</v>
      </c>
      <c r="AD105" s="3" t="str">
        <f>"فروش داخلي تهران - وزارت راه - شرکت ساخت و توسعه راهها"</f>
        <v>فروش داخلي تهران - وزارت راه - شرکت ساخت و توسعه راهها</v>
      </c>
      <c r="AE105" s="3" t="str">
        <f>"فروش داخلي"</f>
        <v>فروش داخلي</v>
      </c>
      <c r="AG105" s="3" t="str">
        <f>"97/12/10"</f>
        <v>97/12/10</v>
      </c>
      <c r="AH105" s="3" t="str">
        <f>"19:33"</f>
        <v>19:33</v>
      </c>
      <c r="AI105" s="3" t="str">
        <f>"حواله فروش"</f>
        <v>حواله فروش</v>
      </c>
    </row>
    <row r="106" spans="1:35" x14ac:dyDescent="0.2">
      <c r="A106" s="3" t="str">
        <f>"97/12/14"</f>
        <v>97/12/14</v>
      </c>
      <c r="B106" s="3" t="str">
        <f>"22:45"</f>
        <v>22:45</v>
      </c>
      <c r="C106" s="3" t="str">
        <f>"23:15"</f>
        <v>23:15</v>
      </c>
      <c r="D106" s="3" t="str">
        <f>"قير  PG64-22"</f>
        <v>قير  PG64-22</v>
      </c>
      <c r="E106" s="3" t="str">
        <f>"972ع66 ايران43"</f>
        <v>972ع66 ايران43</v>
      </c>
      <c r="F106" s="3" t="str">
        <f>"مهدي لطفي"</f>
        <v>مهدي لطفي</v>
      </c>
      <c r="G106" s="3">
        <v>460725</v>
      </c>
      <c r="H106" s="3">
        <v>460629</v>
      </c>
      <c r="I106" s="3">
        <v>4839</v>
      </c>
      <c r="J106" s="3">
        <v>40160</v>
      </c>
      <c r="K106" s="3" t="str">
        <f>"9600942253"</f>
        <v>9600942253</v>
      </c>
      <c r="L106" s="3">
        <v>25160</v>
      </c>
      <c r="M106" s="3">
        <v>25160</v>
      </c>
      <c r="N106" s="3">
        <v>100</v>
      </c>
      <c r="O106" s="3" t="str">
        <f>"مخازن قير اصفهان"</f>
        <v>مخازن قير اصفهان</v>
      </c>
      <c r="P106" s="3" t="str">
        <f>"فله"</f>
        <v>فله</v>
      </c>
      <c r="Q106" s="3">
        <v>0</v>
      </c>
      <c r="R106" s="3">
        <v>0</v>
      </c>
      <c r="S106" s="3">
        <v>0</v>
      </c>
      <c r="T106" s="3">
        <v>971800050</v>
      </c>
      <c r="U106" s="3" t="str">
        <f>"97/07/22"</f>
        <v>97/07/22</v>
      </c>
      <c r="V106" s="3" t="str">
        <f>"پورباقري ترابر (4914036)"</f>
        <v>پورباقري ترابر (4914036)</v>
      </c>
      <c r="W106" s="3" t="str">
        <f>"قرارگاه سازندگي خاتم الانبياء(ص )"</f>
        <v>قرارگاه سازندگي خاتم الانبياء(ص )</v>
      </c>
      <c r="X106" s="3" t="str">
        <f>"722/97"</f>
        <v>722/97</v>
      </c>
      <c r="Y106" s="3" t="str">
        <f>""</f>
        <v/>
      </c>
      <c r="Z106" s="3">
        <v>97051766</v>
      </c>
      <c r="AA106" s="3" t="str">
        <f>"داريوش سليماني مهر"</f>
        <v>داريوش سليماني مهر</v>
      </c>
      <c r="AB106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6" s="3">
        <v>18</v>
      </c>
      <c r="AD106" s="3" t="str">
        <f>"فروش داخلي تهران - وزارت راه - شرکت ساخت و توسعه راهها"</f>
        <v>فروش داخلي تهران - وزارت راه - شرکت ساخت و توسعه راهها</v>
      </c>
      <c r="AE106" s="3" t="str">
        <f>"فروش داخلي"</f>
        <v>فروش داخلي</v>
      </c>
      <c r="AG106" s="3" t="str">
        <f>"97/12/14"</f>
        <v>97/12/14</v>
      </c>
      <c r="AH106" s="3" t="str">
        <f>"23:50"</f>
        <v>23:50</v>
      </c>
      <c r="AI106" s="3" t="str">
        <f>"حواله فروش"</f>
        <v>حواله فروش</v>
      </c>
    </row>
    <row r="107" spans="1:35" x14ac:dyDescent="0.2">
      <c r="A107" s="3" t="str">
        <f>"97/12/15"</f>
        <v>97/12/15</v>
      </c>
      <c r="B107" s="3" t="str">
        <f>"08:13"</f>
        <v>08:13</v>
      </c>
      <c r="C107" s="3" t="str">
        <f>"08:23"</f>
        <v>08:23</v>
      </c>
      <c r="D107" s="3" t="str">
        <f>"قير  PG64-22"</f>
        <v>قير  PG64-22</v>
      </c>
      <c r="E107" s="3" t="str">
        <f>"975ع37 ايران23"</f>
        <v>975ع37 ايران23</v>
      </c>
      <c r="F107" s="3" t="str">
        <f>"محمد تقي صالحي"</f>
        <v>محمد تقي صالحي</v>
      </c>
      <c r="G107" s="3">
        <v>399007</v>
      </c>
      <c r="H107" s="3">
        <v>399929</v>
      </c>
      <c r="I107" s="3">
        <v>4842</v>
      </c>
      <c r="J107" s="3">
        <v>40188</v>
      </c>
      <c r="K107" s="3" t="str">
        <f>"9210071280"</f>
        <v>9210071280</v>
      </c>
      <c r="L107" s="3">
        <v>24660</v>
      </c>
      <c r="M107" s="3">
        <v>24660</v>
      </c>
      <c r="N107" s="3">
        <v>100</v>
      </c>
      <c r="O107" s="3" t="str">
        <f>"مخازن قير اصفهان"</f>
        <v>مخازن قير اصفهان</v>
      </c>
      <c r="P107" s="3" t="str">
        <f>"فله"</f>
        <v>فله</v>
      </c>
      <c r="Q107" s="3">
        <v>0</v>
      </c>
      <c r="R107" s="3">
        <v>0</v>
      </c>
      <c r="S107" s="3">
        <v>0</v>
      </c>
      <c r="T107" s="3">
        <v>971800050</v>
      </c>
      <c r="U107" s="3" t="str">
        <f>"97/07/22"</f>
        <v>97/07/22</v>
      </c>
      <c r="V107" s="3" t="str">
        <f>"پورباقري ترابر (4914036)"</f>
        <v>پورباقري ترابر (4914036)</v>
      </c>
      <c r="W107" s="3" t="str">
        <f>"قرارگاه سازندگي خاتم الانبياء(ص )"</f>
        <v>قرارگاه سازندگي خاتم الانبياء(ص )</v>
      </c>
      <c r="X107" s="3" t="str">
        <f>"731/97"</f>
        <v>731/97</v>
      </c>
      <c r="Y107" s="3" t="str">
        <f>""</f>
        <v/>
      </c>
      <c r="Z107" s="3">
        <v>97051786</v>
      </c>
      <c r="AA107" s="3" t="str">
        <f>"علي قشقائي فر"</f>
        <v>علي قشقائي فر</v>
      </c>
      <c r="AB107" s="3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AC107" s="3">
        <v>18</v>
      </c>
      <c r="AD107" s="3" t="str">
        <f>"فروش داخلي تهران - وزارت راه - شرکت ساخت و توسعه راهها"</f>
        <v>فروش داخلي تهران - وزارت راه - شرکت ساخت و توسعه راهها</v>
      </c>
      <c r="AE107" s="3" t="str">
        <f>"فروش داخلي"</f>
        <v>فروش داخلي</v>
      </c>
      <c r="AG107" s="3" t="str">
        <f>"97/12/15"</f>
        <v>97/12/15</v>
      </c>
      <c r="AH107" s="3" t="str">
        <f>"09:17"</f>
        <v>09:17</v>
      </c>
      <c r="AI107" s="3" t="str">
        <f>"حواله فروش"</f>
        <v>حواله فروش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971800050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Javad Saberian</dc:creator>
  <cp:lastModifiedBy>Mohammad Javad Saberian</cp:lastModifiedBy>
  <dcterms:created xsi:type="dcterms:W3CDTF">2022-01-25T08:26:37Z</dcterms:created>
  <dcterms:modified xsi:type="dcterms:W3CDTF">2022-01-25T08:30:16Z</dcterms:modified>
</cp:coreProperties>
</file>